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894\Desktop\FE analýzy\LMWH\"/>
    </mc:Choice>
  </mc:AlternateContent>
  <xr:revisionPtr revIDLastSave="0" documentId="13_ncr:1_{09725737-87DD-45EE-8993-C5620C0963F9}" xr6:coauthVersionLast="36" xr6:coauthVersionMax="36" xr10:uidLastSave="{00000000-0000-0000-0000-000000000000}"/>
  <bookViews>
    <workbookView xWindow="0" yWindow="0" windowWidth="28800" windowHeight="11690" firstSheet="1" activeTab="2" xr2:uid="{00000000-000D-0000-FFFF-FFFF00000000}"/>
  </bookViews>
  <sheets>
    <sheet name="Přehled všech " sheetId="1" r:id="rId1"/>
    <sheet name="Přehled profylaktických" sheetId="8" r:id="rId2"/>
    <sheet name="Přehled terapeutických" sheetId="7" r:id="rId3"/>
    <sheet name="Clexane" sheetId="4" r:id="rId4"/>
    <sheet name="Inhixa" sheetId="5" r:id="rId5"/>
    <sheet name="Fraxiparine" sheetId="6" r:id="rId6"/>
  </sheets>
  <definedNames>
    <definedName name="_xlnm._FilterDatabase" localSheetId="3" hidden="1">Clexane!$A$3:$AT$51</definedName>
    <definedName name="_xlnm._FilterDatabase" localSheetId="5" hidden="1">Fraxiparine!$A$3:$AT$51</definedName>
    <definedName name="_xlnm._FilterDatabase" localSheetId="4" hidden="1">Inhixa!$A$3:$AT$51</definedName>
    <definedName name="_xlnm._FilterDatabase" localSheetId="1" hidden="1">'Přehled profylaktických'!$A$3:$AT$51</definedName>
    <definedName name="_xlnm._FilterDatabase" localSheetId="2" hidden="1">'Přehled terapeutických'!$A$3:$AT$51</definedName>
    <definedName name="_xlnm._FilterDatabase" localSheetId="0" hidden="1">'Přehled všech '!$A$3:$AT$51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" i="1" l="1"/>
  <c r="AN13" i="1"/>
  <c r="AN15" i="1"/>
  <c r="AN17" i="1"/>
  <c r="AN19" i="1"/>
  <c r="AN21" i="1"/>
  <c r="AN23" i="1"/>
  <c r="AN24" i="1"/>
  <c r="AN51" i="8" l="1"/>
  <c r="Y51" i="8" s="1"/>
  <c r="AN50" i="8"/>
  <c r="Y50" i="8" s="1"/>
  <c r="AN49" i="8"/>
  <c r="Y49" i="8" s="1"/>
  <c r="AC49" i="8" s="1"/>
  <c r="AK49" i="8" s="1"/>
  <c r="AN48" i="8"/>
  <c r="Y48" i="8" s="1"/>
  <c r="AN47" i="8"/>
  <c r="Y47" i="8" s="1"/>
  <c r="AN46" i="8"/>
  <c r="Y46" i="8" s="1"/>
  <c r="AN45" i="8"/>
  <c r="Y45" i="8" s="1"/>
  <c r="AN44" i="8"/>
  <c r="Y44" i="8" s="1"/>
  <c r="AE44" i="8" s="1"/>
  <c r="AL44" i="8" s="1"/>
  <c r="AN43" i="8"/>
  <c r="Y43" i="8" s="1"/>
  <c r="Z43" i="8" s="1"/>
  <c r="AN42" i="8"/>
  <c r="Y42" i="8" s="1"/>
  <c r="AA42" i="8" s="1"/>
  <c r="AI42" i="8" s="1"/>
  <c r="AN41" i="8"/>
  <c r="Y41" i="8" s="1"/>
  <c r="AN40" i="8"/>
  <c r="Y40" i="8" s="1"/>
  <c r="AN39" i="8"/>
  <c r="Y39" i="8" s="1"/>
  <c r="AN38" i="8"/>
  <c r="Y38" i="8" s="1"/>
  <c r="AN37" i="8"/>
  <c r="Y37" i="8" s="1"/>
  <c r="AN36" i="8"/>
  <c r="Y36" i="8" s="1"/>
  <c r="Z36" i="8" s="1"/>
  <c r="AN35" i="8"/>
  <c r="Y35" i="8" s="1"/>
  <c r="AE35" i="8" s="1"/>
  <c r="AN34" i="8"/>
  <c r="Y34" i="8" s="1"/>
  <c r="Z34" i="8" s="1"/>
  <c r="AN33" i="8"/>
  <c r="Y33" i="8" s="1"/>
  <c r="AN32" i="8"/>
  <c r="Y32" i="8" s="1"/>
  <c r="Z32" i="8" s="1"/>
  <c r="AN31" i="8"/>
  <c r="Y31" i="8" s="1"/>
  <c r="AC31" i="8" s="1"/>
  <c r="AN30" i="8"/>
  <c r="Y30" i="8" s="1"/>
  <c r="AN29" i="8"/>
  <c r="Y29" i="8" s="1"/>
  <c r="AN28" i="8"/>
  <c r="Y28" i="8" s="1"/>
  <c r="Z28" i="8" s="1"/>
  <c r="AF28" i="8" s="1"/>
  <c r="AN27" i="8"/>
  <c r="Y27" i="8" s="1"/>
  <c r="AN26" i="8"/>
  <c r="Y26" i="8" s="1"/>
  <c r="AN25" i="8"/>
  <c r="Y25" i="8" s="1"/>
  <c r="Z25" i="8" s="1"/>
  <c r="AF25" i="8" s="1"/>
  <c r="AN24" i="8"/>
  <c r="Y24" i="8" s="1"/>
  <c r="AN23" i="8"/>
  <c r="Y23" i="8" s="1"/>
  <c r="AN22" i="8"/>
  <c r="Y22" i="8" s="1"/>
  <c r="Z22" i="8" s="1"/>
  <c r="AN21" i="8"/>
  <c r="Y21" i="8" s="1"/>
  <c r="AE21" i="8" s="1"/>
  <c r="AN20" i="8"/>
  <c r="Y20" i="8" s="1"/>
  <c r="Z20" i="8" s="1"/>
  <c r="AN19" i="8"/>
  <c r="Y19" i="8" s="1"/>
  <c r="AN18" i="8"/>
  <c r="Y18" i="8" s="1"/>
  <c r="Z18" i="8" s="1"/>
  <c r="AN17" i="8"/>
  <c r="Y17" i="8" s="1"/>
  <c r="AE17" i="8" s="1"/>
  <c r="AN16" i="8"/>
  <c r="Y16" i="8" s="1"/>
  <c r="AN15" i="8"/>
  <c r="Y15" i="8" s="1"/>
  <c r="AN14" i="8"/>
  <c r="Y14" i="8" s="1"/>
  <c r="Z14" i="8" s="1"/>
  <c r="AF14" i="8" s="1"/>
  <c r="AN13" i="8"/>
  <c r="Y13" i="8" s="1"/>
  <c r="AA13" i="8" s="1"/>
  <c r="AN12" i="8"/>
  <c r="Y12" i="8" s="1"/>
  <c r="AN11" i="8"/>
  <c r="Y11" i="8" s="1"/>
  <c r="Z11" i="8" s="1"/>
  <c r="AF11" i="8" s="1"/>
  <c r="AN10" i="8"/>
  <c r="Y10" i="8" s="1"/>
  <c r="AN9" i="8"/>
  <c r="Y9" i="8" s="1"/>
  <c r="AN8" i="8"/>
  <c r="Y8" i="8" s="1"/>
  <c r="AC8" i="8" s="1"/>
  <c r="AN7" i="8"/>
  <c r="Y7" i="8" s="1"/>
  <c r="AN6" i="8"/>
  <c r="Y6" i="8" s="1"/>
  <c r="AN5" i="8"/>
  <c r="Y5" i="8" s="1"/>
  <c r="AN4" i="8"/>
  <c r="Y4" i="8" s="1"/>
  <c r="AA4" i="8" s="1"/>
  <c r="AJ4" i="8" s="1"/>
  <c r="AN51" i="7"/>
  <c r="Y51" i="7" s="1"/>
  <c r="Z51" i="7" s="1"/>
  <c r="AF51" i="7" s="1"/>
  <c r="AN50" i="7"/>
  <c r="Y50" i="7" s="1"/>
  <c r="AC50" i="7" s="1"/>
  <c r="AN49" i="7"/>
  <c r="Y49" i="7" s="1"/>
  <c r="AN48" i="7"/>
  <c r="Y48" i="7" s="1"/>
  <c r="AN47" i="7"/>
  <c r="Y47" i="7" s="1"/>
  <c r="AN46" i="7"/>
  <c r="Y46" i="7" s="1"/>
  <c r="AN45" i="7"/>
  <c r="Y45" i="7" s="1"/>
  <c r="Z45" i="7" s="1"/>
  <c r="AN44" i="7"/>
  <c r="Y44" i="7" s="1"/>
  <c r="AN43" i="7"/>
  <c r="Y43" i="7" s="1"/>
  <c r="AN42" i="7"/>
  <c r="Y42" i="7" s="1"/>
  <c r="AN41" i="7"/>
  <c r="Y41" i="7" s="1"/>
  <c r="AN40" i="7"/>
  <c r="Y40" i="7" s="1"/>
  <c r="Z40" i="7" s="1"/>
  <c r="AF40" i="7" s="1"/>
  <c r="AA40" i="7"/>
  <c r="AH40" i="7" s="1"/>
  <c r="AN39" i="7"/>
  <c r="Y39" i="7" s="1"/>
  <c r="AN38" i="7"/>
  <c r="Y38" i="7" s="1"/>
  <c r="AN37" i="7"/>
  <c r="Y37" i="7" s="1"/>
  <c r="AN36" i="7"/>
  <c r="Y36" i="7" s="1"/>
  <c r="AN35" i="7"/>
  <c r="Y35" i="7" s="1"/>
  <c r="AN34" i="7"/>
  <c r="Y34" i="7" s="1"/>
  <c r="Z34" i="7" s="1"/>
  <c r="AN33" i="7"/>
  <c r="Y33" i="7" s="1"/>
  <c r="AE33" i="7" s="1"/>
  <c r="AL33" i="7" s="1"/>
  <c r="AN32" i="7"/>
  <c r="Y32" i="7" s="1"/>
  <c r="AN31" i="7"/>
  <c r="Y31" i="7" s="1"/>
  <c r="AN30" i="7"/>
  <c r="Y30" i="7" s="1"/>
  <c r="AE30" i="7" s="1"/>
  <c r="AN29" i="7"/>
  <c r="Y29" i="7" s="1"/>
  <c r="Z29" i="7" s="1"/>
  <c r="AN28" i="7"/>
  <c r="Y28" i="7" s="1"/>
  <c r="AA28" i="7" s="1"/>
  <c r="AI28" i="7" s="1"/>
  <c r="AN27" i="7"/>
  <c r="Y27" i="7" s="1"/>
  <c r="AN26" i="7"/>
  <c r="Y26" i="7" s="1"/>
  <c r="Z26" i="7" s="1"/>
  <c r="AF26" i="7" s="1"/>
  <c r="AN25" i="7"/>
  <c r="Y25" i="7" s="1"/>
  <c r="AN24" i="7"/>
  <c r="Y24" i="7" s="1"/>
  <c r="Z24" i="7" s="1"/>
  <c r="AN23" i="7"/>
  <c r="Y23" i="7" s="1"/>
  <c r="AN22" i="7"/>
  <c r="Y22" i="7" s="1"/>
  <c r="AN21" i="7"/>
  <c r="Y21" i="7" s="1"/>
  <c r="AN20" i="7"/>
  <c r="Y20" i="7" s="1"/>
  <c r="Z20" i="7" s="1"/>
  <c r="AN19" i="7"/>
  <c r="Y19" i="7" s="1"/>
  <c r="AE19" i="7" s="1"/>
  <c r="AL19" i="7" s="1"/>
  <c r="AN18" i="7"/>
  <c r="Y18" i="7" s="1"/>
  <c r="AN17" i="7"/>
  <c r="Y17" i="7" s="1"/>
  <c r="Z17" i="7" s="1"/>
  <c r="AN16" i="7"/>
  <c r="Y16" i="7" s="1"/>
  <c r="AE16" i="7" s="1"/>
  <c r="AN15" i="7"/>
  <c r="Y15" i="7" s="1"/>
  <c r="Z15" i="7" s="1"/>
  <c r="AN14" i="7"/>
  <c r="Y14" i="7" s="1"/>
  <c r="AA14" i="7" s="1"/>
  <c r="AI14" i="7" s="1"/>
  <c r="AN13" i="7"/>
  <c r="Y13" i="7" s="1"/>
  <c r="AN12" i="7"/>
  <c r="Y12" i="7" s="1"/>
  <c r="Z12" i="7" s="1"/>
  <c r="AF12" i="7" s="1"/>
  <c r="AN11" i="7"/>
  <c r="Y11" i="7" s="1"/>
  <c r="AN10" i="7"/>
  <c r="Y10" i="7" s="1"/>
  <c r="AN9" i="7"/>
  <c r="Y9" i="7" s="1"/>
  <c r="Z9" i="7" s="1"/>
  <c r="AN8" i="7"/>
  <c r="Y8" i="7" s="1"/>
  <c r="AN7" i="7"/>
  <c r="Y7" i="7" s="1"/>
  <c r="AN6" i="7"/>
  <c r="Y6" i="7" s="1"/>
  <c r="AN5" i="7"/>
  <c r="Y5" i="7" s="1"/>
  <c r="AA5" i="7" s="1"/>
  <c r="AJ5" i="7" s="1"/>
  <c r="AN4" i="7"/>
  <c r="Y4" i="7" s="1"/>
  <c r="AA4" i="7" s="1"/>
  <c r="AJ4" i="7" s="1"/>
  <c r="AA51" i="7" l="1"/>
  <c r="AH51" i="7" s="1"/>
  <c r="Z50" i="7"/>
  <c r="Z21" i="7"/>
  <c r="AC21" i="7"/>
  <c r="AC31" i="7"/>
  <c r="AE31" i="7"/>
  <c r="Z31" i="7"/>
  <c r="Z10" i="7"/>
  <c r="AC10" i="7"/>
  <c r="AK10" i="7" s="1"/>
  <c r="AC35" i="7"/>
  <c r="AE35" i="7"/>
  <c r="Z35" i="7"/>
  <c r="AC46" i="7"/>
  <c r="AD46" i="7"/>
  <c r="Z46" i="7"/>
  <c r="AC17" i="7"/>
  <c r="Z5" i="7"/>
  <c r="AF5" i="7" s="1"/>
  <c r="AC24" i="7"/>
  <c r="Z44" i="7"/>
  <c r="AE44" i="7"/>
  <c r="AL44" i="7" s="1"/>
  <c r="Z42" i="7"/>
  <c r="AF42" i="7" s="1"/>
  <c r="AA42" i="7"/>
  <c r="AI42" i="7" s="1"/>
  <c r="Z4" i="7"/>
  <c r="AF4" i="7" s="1"/>
  <c r="AE17" i="7"/>
  <c r="AE21" i="7"/>
  <c r="AE24" i="7"/>
  <c r="AE29" i="7"/>
  <c r="AE45" i="7"/>
  <c r="AC9" i="7"/>
  <c r="AK9" i="7" s="1"/>
  <c r="Z30" i="7"/>
  <c r="AI51" i="7"/>
  <c r="Z49" i="7"/>
  <c r="AC49" i="7"/>
  <c r="AK49" i="7" s="1"/>
  <c r="Z16" i="7"/>
  <c r="AC46" i="8"/>
  <c r="Z46" i="8"/>
  <c r="AD46" i="8"/>
  <c r="AC48" i="8"/>
  <c r="AK48" i="8" s="1"/>
  <c r="Z48" i="8"/>
  <c r="AG19" i="8"/>
  <c r="AE19" i="8"/>
  <c r="AL19" i="8" s="1"/>
  <c r="AC24" i="8"/>
  <c r="AE24" i="8"/>
  <c r="Z9" i="8"/>
  <c r="AC9" i="8"/>
  <c r="AK9" i="8" s="1"/>
  <c r="Z47" i="8"/>
  <c r="AC47" i="8"/>
  <c r="AC23" i="8"/>
  <c r="AK23" i="8" s="1"/>
  <c r="AE23" i="8"/>
  <c r="AD8" i="8"/>
  <c r="Z17" i="8"/>
  <c r="Z21" i="8"/>
  <c r="AA43" i="8"/>
  <c r="AC17" i="8"/>
  <c r="AC21" i="8"/>
  <c r="AE31" i="8"/>
  <c r="AA41" i="8"/>
  <c r="AE41" i="8"/>
  <c r="Z41" i="8"/>
  <c r="AA27" i="8"/>
  <c r="AI27" i="8" s="1"/>
  <c r="Z27" i="8"/>
  <c r="AF27" i="8" s="1"/>
  <c r="Z31" i="8"/>
  <c r="AG33" i="8"/>
  <c r="AE33" i="8"/>
  <c r="AL33" i="8" s="1"/>
  <c r="Z33" i="8"/>
  <c r="Z35" i="8"/>
  <c r="AC35" i="8"/>
  <c r="Z38" i="8"/>
  <c r="AC38" i="8"/>
  <c r="Z24" i="8"/>
  <c r="Z10" i="8"/>
  <c r="AC10" i="8"/>
  <c r="AK10" i="8" s="1"/>
  <c r="AA12" i="8"/>
  <c r="AJ12" i="8" s="1"/>
  <c r="Z12" i="8"/>
  <c r="AF12" i="8" s="1"/>
  <c r="AA26" i="8"/>
  <c r="Z26" i="8"/>
  <c r="AF26" i="8" s="1"/>
  <c r="AA5" i="8"/>
  <c r="AJ5" i="8" s="1"/>
  <c r="Z5" i="8"/>
  <c r="AF5" i="8" s="1"/>
  <c r="AE15" i="8"/>
  <c r="Z15" i="8"/>
  <c r="AE37" i="8"/>
  <c r="AC37" i="8"/>
  <c r="Z37" i="8"/>
  <c r="AA39" i="8"/>
  <c r="AJ39" i="8" s="1"/>
  <c r="Z39" i="8"/>
  <c r="AF39" i="8" s="1"/>
  <c r="AC6" i="8"/>
  <c r="Z6" i="8"/>
  <c r="AE16" i="8"/>
  <c r="Z16" i="8"/>
  <c r="AA40" i="8"/>
  <c r="AH40" i="8" s="1"/>
  <c r="Z40" i="8"/>
  <c r="AF40" i="8" s="1"/>
  <c r="AE45" i="8"/>
  <c r="Z45" i="8"/>
  <c r="AE30" i="8"/>
  <c r="Z30" i="8"/>
  <c r="AC50" i="8"/>
  <c r="Z50" i="8"/>
  <c r="AH13" i="8"/>
  <c r="AI13" i="8"/>
  <c r="AH27" i="8"/>
  <c r="AA51" i="8"/>
  <c r="Z51" i="8"/>
  <c r="AF51" i="8" s="1"/>
  <c r="AC7" i="8"/>
  <c r="Z7" i="8"/>
  <c r="AE29" i="8"/>
  <c r="Z29" i="8"/>
  <c r="Z4" i="8"/>
  <c r="AF4" i="8" s="1"/>
  <c r="Z8" i="8"/>
  <c r="AA11" i="8"/>
  <c r="AJ11" i="8" s="1"/>
  <c r="Z13" i="8"/>
  <c r="AF13" i="8" s="1"/>
  <c r="AA14" i="8"/>
  <c r="AC18" i="8"/>
  <c r="Z19" i="8"/>
  <c r="AC20" i="8"/>
  <c r="AC22" i="8"/>
  <c r="Z23" i="8"/>
  <c r="AA25" i="8"/>
  <c r="AJ25" i="8" s="1"/>
  <c r="AA28" i="8"/>
  <c r="AC32" i="8"/>
  <c r="AC34" i="8"/>
  <c r="AC36" i="8"/>
  <c r="AE18" i="8"/>
  <c r="AC19" i="8"/>
  <c r="AE20" i="8"/>
  <c r="AL20" i="8" s="1"/>
  <c r="AE22" i="8"/>
  <c r="AE32" i="8"/>
  <c r="AC33" i="8"/>
  <c r="AE34" i="8"/>
  <c r="AL34" i="8" s="1"/>
  <c r="AE36" i="8"/>
  <c r="AE38" i="8"/>
  <c r="Z42" i="8"/>
  <c r="AF42" i="8" s="1"/>
  <c r="AE43" i="8"/>
  <c r="Z44" i="8"/>
  <c r="AD47" i="8"/>
  <c r="Z49" i="8"/>
  <c r="AG20" i="8"/>
  <c r="AG34" i="8"/>
  <c r="AG43" i="8"/>
  <c r="AC6" i="7"/>
  <c r="Z6" i="7"/>
  <c r="AE43" i="7"/>
  <c r="AA43" i="7"/>
  <c r="AG43" i="7"/>
  <c r="Z43" i="7"/>
  <c r="AA11" i="7"/>
  <c r="AJ11" i="7" s="1"/>
  <c r="Z11" i="7"/>
  <c r="AF11" i="7" s="1"/>
  <c r="AC8" i="7"/>
  <c r="Z8" i="7"/>
  <c r="AD8" i="7"/>
  <c r="AE22" i="7"/>
  <c r="AC22" i="7"/>
  <c r="Z22" i="7"/>
  <c r="AA25" i="7"/>
  <c r="AJ25" i="7" s="1"/>
  <c r="Z25" i="7"/>
  <c r="AF25" i="7" s="1"/>
  <c r="AE36" i="7"/>
  <c r="AC36" i="7"/>
  <c r="Z36" i="7"/>
  <c r="AA41" i="7"/>
  <c r="Z41" i="7"/>
  <c r="AE41" i="7"/>
  <c r="AD47" i="7"/>
  <c r="AC47" i="7"/>
  <c r="Z47" i="7"/>
  <c r="AC37" i="7"/>
  <c r="Z37" i="7"/>
  <c r="AH14" i="7"/>
  <c r="AE15" i="7"/>
  <c r="AH28" i="7"/>
  <c r="AC7" i="7"/>
  <c r="Z7" i="7"/>
  <c r="AA13" i="7"/>
  <c r="Z13" i="7"/>
  <c r="AF13" i="7" s="1"/>
  <c r="AE18" i="7"/>
  <c r="AC18" i="7"/>
  <c r="AC23" i="7"/>
  <c r="AK23" i="7" s="1"/>
  <c r="Z23" i="7"/>
  <c r="AA27" i="7"/>
  <c r="Z27" i="7"/>
  <c r="AF27" i="7" s="1"/>
  <c r="AC19" i="7"/>
  <c r="Z19" i="7"/>
  <c r="AE20" i="7"/>
  <c r="AL20" i="7" s="1"/>
  <c r="AC20" i="7"/>
  <c r="AC33" i="7"/>
  <c r="Z33" i="7"/>
  <c r="AE34" i="7"/>
  <c r="AL34" i="7" s="1"/>
  <c r="AC34" i="7"/>
  <c r="AA39" i="7"/>
  <c r="AJ39" i="7" s="1"/>
  <c r="Z39" i="7"/>
  <c r="AF39" i="7" s="1"/>
  <c r="AE32" i="7"/>
  <c r="AC32" i="7"/>
  <c r="AE38" i="7"/>
  <c r="AC38" i="7"/>
  <c r="AC48" i="7"/>
  <c r="AK48" i="7" s="1"/>
  <c r="Z48" i="7"/>
  <c r="AA12" i="7"/>
  <c r="Z14" i="7"/>
  <c r="AF14" i="7" s="1"/>
  <c r="Z18" i="7"/>
  <c r="AG19" i="7"/>
  <c r="AG20" i="7"/>
  <c r="AE23" i="7"/>
  <c r="AA26" i="7"/>
  <c r="Z28" i="7"/>
  <c r="AF28" i="7" s="1"/>
  <c r="Z32" i="7"/>
  <c r="AG33" i="7"/>
  <c r="AG34" i="7"/>
  <c r="AE37" i="7"/>
  <c r="Z38" i="7"/>
  <c r="AM50" i="6"/>
  <c r="AM49" i="6"/>
  <c r="AM47" i="6"/>
  <c r="AM46" i="6"/>
  <c r="AM45" i="6"/>
  <c r="AM44" i="6"/>
  <c r="AM42" i="6"/>
  <c r="AM40" i="6"/>
  <c r="AM39" i="6"/>
  <c r="AM38" i="5"/>
  <c r="AM37" i="5"/>
  <c r="AM35" i="5"/>
  <c r="AM33" i="5"/>
  <c r="AM31" i="5"/>
  <c r="AM29" i="5"/>
  <c r="AM27" i="5"/>
  <c r="AM25" i="5"/>
  <c r="AM24" i="4"/>
  <c r="AM23" i="4"/>
  <c r="AM21" i="4"/>
  <c r="AM19" i="4"/>
  <c r="AM17" i="4"/>
  <c r="AM15" i="4"/>
  <c r="AM13" i="4"/>
  <c r="AM11" i="4"/>
  <c r="AI14" i="8" l="1"/>
  <c r="AH14" i="8"/>
  <c r="AI28" i="8"/>
  <c r="AH28" i="8"/>
  <c r="AI26" i="8"/>
  <c r="AH26" i="8"/>
  <c r="AI51" i="8"/>
  <c r="AH51" i="8"/>
  <c r="AK37" i="8"/>
  <c r="AO37" i="8"/>
  <c r="AI13" i="7"/>
  <c r="AH13" i="7"/>
  <c r="AO37" i="7"/>
  <c r="AK37" i="7"/>
  <c r="AI12" i="7"/>
  <c r="AH12" i="7"/>
  <c r="AI26" i="7"/>
  <c r="AH26" i="7"/>
  <c r="AI27" i="7"/>
  <c r="AH27" i="7"/>
  <c r="C179" i="6"/>
  <c r="C178" i="6"/>
  <c r="C108" i="6" l="1"/>
  <c r="C97" i="6"/>
  <c r="AN51" i="6" l="1"/>
  <c r="Y51" i="6" s="1"/>
  <c r="AN50" i="6"/>
  <c r="AN49" i="6"/>
  <c r="AN48" i="6"/>
  <c r="AN47" i="6"/>
  <c r="AN46" i="6"/>
  <c r="AN44" i="6"/>
  <c r="AN43" i="6"/>
  <c r="AN42" i="6"/>
  <c r="AN41" i="6"/>
  <c r="AN40" i="6"/>
  <c r="AN39" i="6"/>
  <c r="AN38" i="6"/>
  <c r="Y38" i="6" s="1"/>
  <c r="AN37" i="6"/>
  <c r="Y37" i="6" s="1"/>
  <c r="AN36" i="6"/>
  <c r="Y36" i="6" s="1"/>
  <c r="AN35" i="6"/>
  <c r="Y35" i="6" s="1"/>
  <c r="Z35" i="6" s="1"/>
  <c r="AN34" i="6"/>
  <c r="Y34" i="6" s="1"/>
  <c r="AG34" i="6" s="1"/>
  <c r="AN33" i="6"/>
  <c r="Y33" i="6" s="1"/>
  <c r="AN32" i="6"/>
  <c r="Y32" i="6" s="1"/>
  <c r="AN31" i="6"/>
  <c r="Y31" i="6" s="1"/>
  <c r="Z31" i="6" s="1"/>
  <c r="AN30" i="6"/>
  <c r="Y30" i="6" s="1"/>
  <c r="Z30" i="6" s="1"/>
  <c r="AN29" i="6"/>
  <c r="Y29" i="6" s="1"/>
  <c r="Z29" i="6" s="1"/>
  <c r="AN28" i="6"/>
  <c r="Y28" i="6" s="1"/>
  <c r="AN27" i="6"/>
  <c r="Y27" i="6" s="1"/>
  <c r="AN26" i="6"/>
  <c r="Y26" i="6" s="1"/>
  <c r="AN25" i="6"/>
  <c r="Y25" i="6" s="1"/>
  <c r="AN24" i="6"/>
  <c r="Y24" i="6" s="1"/>
  <c r="AN23" i="6"/>
  <c r="Y23" i="6" s="1"/>
  <c r="AN22" i="6"/>
  <c r="Y22" i="6" s="1"/>
  <c r="AN21" i="6"/>
  <c r="Y21" i="6" s="1"/>
  <c r="AN20" i="6"/>
  <c r="Y20" i="6" s="1"/>
  <c r="AN19" i="6"/>
  <c r="Y19" i="6" s="1"/>
  <c r="AC19" i="6" s="1"/>
  <c r="AN18" i="6"/>
  <c r="Y18" i="6" s="1"/>
  <c r="AN17" i="6"/>
  <c r="Y17" i="6" s="1"/>
  <c r="AN16" i="6"/>
  <c r="Y16" i="6" s="1"/>
  <c r="AN15" i="6"/>
  <c r="Y15" i="6" s="1"/>
  <c r="AN14" i="6"/>
  <c r="Y14" i="6" s="1"/>
  <c r="AN13" i="6"/>
  <c r="Y13" i="6" s="1"/>
  <c r="AN12" i="6"/>
  <c r="Y12" i="6" s="1"/>
  <c r="AA12" i="6" s="1"/>
  <c r="AH12" i="6" s="1"/>
  <c r="AN11" i="6"/>
  <c r="Y11" i="6" s="1"/>
  <c r="AA11" i="6" s="1"/>
  <c r="AJ11" i="6" s="1"/>
  <c r="AN10" i="6"/>
  <c r="Y10" i="6" s="1"/>
  <c r="Z10" i="6" s="1"/>
  <c r="AN9" i="6"/>
  <c r="Y9" i="6" s="1"/>
  <c r="AC9" i="6" s="1"/>
  <c r="AK9" i="6" s="1"/>
  <c r="AN8" i="6"/>
  <c r="Y8" i="6" s="1"/>
  <c r="AC8" i="6" s="1"/>
  <c r="AN7" i="6"/>
  <c r="Y7" i="6" s="1"/>
  <c r="Z7" i="6" s="1"/>
  <c r="AN6" i="6"/>
  <c r="Y6" i="6" s="1"/>
  <c r="AN5" i="6"/>
  <c r="Y5" i="6" s="1"/>
  <c r="AN4" i="6"/>
  <c r="Y4" i="6" s="1"/>
  <c r="Z4" i="6" s="1"/>
  <c r="AF4" i="6" s="1"/>
  <c r="AN30" i="1"/>
  <c r="AN29" i="1"/>
  <c r="AN29" i="5"/>
  <c r="AN51" i="5"/>
  <c r="Y51" i="5" s="1"/>
  <c r="AN50" i="5"/>
  <c r="Y50" i="5" s="1"/>
  <c r="AN49" i="5"/>
  <c r="AN48" i="5"/>
  <c r="AN47" i="5"/>
  <c r="AN46" i="5"/>
  <c r="AN44" i="5"/>
  <c r="Y44" i="5" s="1"/>
  <c r="AN43" i="5"/>
  <c r="Y43" i="5" s="1"/>
  <c r="AE43" i="5" s="1"/>
  <c r="AN42" i="5"/>
  <c r="Y42" i="5" s="1"/>
  <c r="AN41" i="5"/>
  <c r="Y41" i="5" s="1"/>
  <c r="AN40" i="5"/>
  <c r="AN38" i="5"/>
  <c r="AN37" i="5"/>
  <c r="AN36" i="5"/>
  <c r="Y36" i="5" s="1"/>
  <c r="AN35" i="5"/>
  <c r="AN34" i="5"/>
  <c r="Y34" i="5" s="1"/>
  <c r="AN33" i="5"/>
  <c r="AN32" i="5"/>
  <c r="Y32" i="5" s="1"/>
  <c r="AE32" i="5" s="1"/>
  <c r="AN31" i="5"/>
  <c r="Y30" i="5"/>
  <c r="AN28" i="5"/>
  <c r="Y28" i="5" s="1"/>
  <c r="AA28" i="5" s="1"/>
  <c r="AN27" i="5"/>
  <c r="AN26" i="5"/>
  <c r="Y26" i="5" s="1"/>
  <c r="AN25" i="5"/>
  <c r="AN24" i="5"/>
  <c r="Y24" i="5" s="1"/>
  <c r="AN23" i="5"/>
  <c r="Y23" i="5" s="1"/>
  <c r="AN22" i="5"/>
  <c r="Y22" i="5" s="1"/>
  <c r="Z22" i="5" s="1"/>
  <c r="AN21" i="5"/>
  <c r="Y21" i="5" s="1"/>
  <c r="AN20" i="5"/>
  <c r="Y20" i="5" s="1"/>
  <c r="AC20" i="5" s="1"/>
  <c r="AN19" i="5"/>
  <c r="Y19" i="5" s="1"/>
  <c r="Z19" i="5" s="1"/>
  <c r="AN18" i="5"/>
  <c r="Y18" i="5" s="1"/>
  <c r="AN17" i="5"/>
  <c r="Y17" i="5" s="1"/>
  <c r="AN16" i="5"/>
  <c r="Y16" i="5" s="1"/>
  <c r="Z16" i="5" s="1"/>
  <c r="AN15" i="5"/>
  <c r="Y15" i="5" s="1"/>
  <c r="Z15" i="5" s="1"/>
  <c r="AN14" i="5"/>
  <c r="Y14" i="5" s="1"/>
  <c r="AA14" i="5" s="1"/>
  <c r="AN13" i="5"/>
  <c r="Y13" i="5" s="1"/>
  <c r="Z13" i="5" s="1"/>
  <c r="AF13" i="5" s="1"/>
  <c r="AN12" i="5"/>
  <c r="Y12" i="5" s="1"/>
  <c r="AA12" i="5" s="1"/>
  <c r="AH12" i="5" s="1"/>
  <c r="AN11" i="5"/>
  <c r="Y11" i="5" s="1"/>
  <c r="AA11" i="5" s="1"/>
  <c r="AJ11" i="5" s="1"/>
  <c r="AN10" i="5"/>
  <c r="Y10" i="5" s="1"/>
  <c r="Z10" i="5" s="1"/>
  <c r="AN9" i="5"/>
  <c r="Y9" i="5" s="1"/>
  <c r="AC9" i="5" s="1"/>
  <c r="AK9" i="5" s="1"/>
  <c r="AN8" i="5"/>
  <c r="Y8" i="5" s="1"/>
  <c r="AD8" i="5" s="1"/>
  <c r="AN7" i="5"/>
  <c r="Y7" i="5" s="1"/>
  <c r="AC7" i="5" s="1"/>
  <c r="AN6" i="5"/>
  <c r="Y6" i="5" s="1"/>
  <c r="AC6" i="5" s="1"/>
  <c r="AN5" i="5"/>
  <c r="Y5" i="5" s="1"/>
  <c r="AN4" i="5"/>
  <c r="Y4" i="5" s="1"/>
  <c r="Z14" i="5" l="1"/>
  <c r="AF14" i="5" s="1"/>
  <c r="AE18" i="5"/>
  <c r="AC18" i="5"/>
  <c r="Z18" i="5"/>
  <c r="AI12" i="6"/>
  <c r="Z11" i="6"/>
  <c r="AF11" i="6" s="1"/>
  <c r="Z5" i="6"/>
  <c r="AF5" i="6" s="1"/>
  <c r="AA5" i="6"/>
  <c r="AJ5" i="6" s="1"/>
  <c r="AC18" i="6"/>
  <c r="AE18" i="6"/>
  <c r="Z18" i="6"/>
  <c r="AC22" i="6"/>
  <c r="Z22" i="6"/>
  <c r="AE22" i="6"/>
  <c r="AC32" i="6"/>
  <c r="Z32" i="6"/>
  <c r="AE32" i="6"/>
  <c r="AC38" i="6"/>
  <c r="AE38" i="6"/>
  <c r="Z38" i="6"/>
  <c r="Z6" i="6"/>
  <c r="AC6" i="6"/>
  <c r="AE23" i="6"/>
  <c r="AC23" i="6"/>
  <c r="AK23" i="6" s="1"/>
  <c r="AA14" i="6"/>
  <c r="AI14" i="6" s="1"/>
  <c r="Z14" i="6"/>
  <c r="AF14" i="6" s="1"/>
  <c r="AG20" i="6"/>
  <c r="AE20" i="6"/>
  <c r="AL20" i="6" s="1"/>
  <c r="Z20" i="6"/>
  <c r="AA28" i="6"/>
  <c r="AH28" i="6" s="1"/>
  <c r="Z28" i="6"/>
  <c r="AF28" i="6" s="1"/>
  <c r="AC36" i="6"/>
  <c r="AE36" i="6"/>
  <c r="Z36" i="6"/>
  <c r="AE37" i="6"/>
  <c r="AC37" i="6"/>
  <c r="AA4" i="6"/>
  <c r="AJ4" i="6" s="1"/>
  <c r="Z34" i="6"/>
  <c r="Z9" i="6"/>
  <c r="AE34" i="6"/>
  <c r="AL34" i="6" s="1"/>
  <c r="Z13" i="6"/>
  <c r="AF13" i="6" s="1"/>
  <c r="AA13" i="6"/>
  <c r="Z16" i="6"/>
  <c r="AE16" i="6"/>
  <c r="AA26" i="6"/>
  <c r="Z26" i="6"/>
  <c r="AF26" i="6" s="1"/>
  <c r="AE33" i="6"/>
  <c r="AC33" i="6"/>
  <c r="Z33" i="6"/>
  <c r="AG33" i="6"/>
  <c r="AE19" i="6"/>
  <c r="AL19" i="6" s="1"/>
  <c r="Z19" i="6"/>
  <c r="AG19" i="6"/>
  <c r="AA27" i="6"/>
  <c r="Z27" i="6"/>
  <c r="AF27" i="6" s="1"/>
  <c r="AC10" i="6"/>
  <c r="AK10" i="6" s="1"/>
  <c r="Z15" i="6"/>
  <c r="AE15" i="6"/>
  <c r="Z17" i="6"/>
  <c r="AE17" i="6"/>
  <c r="AC17" i="6"/>
  <c r="Z21" i="6"/>
  <c r="AE21" i="6"/>
  <c r="AC21" i="6"/>
  <c r="Z24" i="6"/>
  <c r="AE24" i="6"/>
  <c r="AC24" i="6"/>
  <c r="AD8" i="6"/>
  <c r="Z8" i="6"/>
  <c r="AA51" i="6"/>
  <c r="Z51" i="6"/>
  <c r="AF51" i="6" s="1"/>
  <c r="AC7" i="6"/>
  <c r="Z12" i="6"/>
  <c r="AF12" i="6" s="1"/>
  <c r="AA25" i="6"/>
  <c r="Z25" i="6"/>
  <c r="AF25" i="6" s="1"/>
  <c r="AE29" i="6"/>
  <c r="AE30" i="6"/>
  <c r="AC31" i="6"/>
  <c r="AC35" i="6"/>
  <c r="AN45" i="6"/>
  <c r="AC20" i="6"/>
  <c r="Z23" i="6"/>
  <c r="AE31" i="6"/>
  <c r="AC34" i="6"/>
  <c r="AE35" i="6"/>
  <c r="Z37" i="6"/>
  <c r="Z11" i="5"/>
  <c r="AF11" i="5" s="1"/>
  <c r="AC22" i="5"/>
  <c r="AE22" i="5"/>
  <c r="AG43" i="5"/>
  <c r="Z4" i="5"/>
  <c r="AF4" i="5" s="1"/>
  <c r="AA4" i="5"/>
  <c r="AJ4" i="5" s="1"/>
  <c r="Z24" i="5"/>
  <c r="AE24" i="5"/>
  <c r="AC24" i="5"/>
  <c r="Z5" i="5"/>
  <c r="AF5" i="5" s="1"/>
  <c r="AA5" i="5"/>
  <c r="AJ5" i="5" s="1"/>
  <c r="Z21" i="5"/>
  <c r="AE21" i="5"/>
  <c r="AC21" i="5"/>
  <c r="AG34" i="5"/>
  <c r="AE34" i="5"/>
  <c r="AL34" i="5" s="1"/>
  <c r="Y46" i="5"/>
  <c r="Z46" i="5" s="1"/>
  <c r="Y48" i="5"/>
  <c r="Z48" i="5" s="1"/>
  <c r="AA13" i="5"/>
  <c r="AH13" i="5" s="1"/>
  <c r="Z43" i="5"/>
  <c r="AN39" i="5"/>
  <c r="Y39" i="5" s="1"/>
  <c r="AE23" i="5"/>
  <c r="AC23" i="5"/>
  <c r="AK23" i="5" s="1"/>
  <c r="Z23" i="5"/>
  <c r="AE44" i="5"/>
  <c r="AL44" i="5" s="1"/>
  <c r="Z44" i="5"/>
  <c r="AH14" i="5"/>
  <c r="AI14" i="5"/>
  <c r="Z17" i="5"/>
  <c r="AC17" i="5"/>
  <c r="AE17" i="5"/>
  <c r="AH28" i="5"/>
  <c r="AI28" i="5"/>
  <c r="AE30" i="5"/>
  <c r="Z30" i="5"/>
  <c r="AE41" i="5"/>
  <c r="Z41" i="5"/>
  <c r="AC50" i="5"/>
  <c r="Z50" i="5"/>
  <c r="Z6" i="5"/>
  <c r="Z7" i="5"/>
  <c r="Z9" i="5"/>
  <c r="AC10" i="5"/>
  <c r="AK10" i="5" s="1"/>
  <c r="AA26" i="5"/>
  <c r="Z26" i="5"/>
  <c r="AF26" i="5" s="1"/>
  <c r="AC36" i="5"/>
  <c r="Z36" i="5"/>
  <c r="AA51" i="5"/>
  <c r="Z51" i="5"/>
  <c r="AF51" i="5" s="1"/>
  <c r="AC8" i="5"/>
  <c r="AE15" i="5"/>
  <c r="AG19" i="5"/>
  <c r="Z28" i="5"/>
  <c r="AF28" i="5" s="1"/>
  <c r="AC34" i="5"/>
  <c r="Z34" i="5"/>
  <c r="AE36" i="5"/>
  <c r="AA42" i="5"/>
  <c r="AI42" i="5" s="1"/>
  <c r="Z42" i="5"/>
  <c r="AF42" i="5" s="1"/>
  <c r="AI12" i="5"/>
  <c r="AG20" i="5"/>
  <c r="AE20" i="5"/>
  <c r="AL20" i="5" s="1"/>
  <c r="AC32" i="5"/>
  <c r="Z32" i="5"/>
  <c r="Z8" i="5"/>
  <c r="Z12" i="5"/>
  <c r="AF12" i="5" s="1"/>
  <c r="AE16" i="5"/>
  <c r="Z20" i="5"/>
  <c r="AE19" i="5"/>
  <c r="AL19" i="5" s="1"/>
  <c r="AC19" i="5"/>
  <c r="Y40" i="5"/>
  <c r="AN45" i="5"/>
  <c r="Y45" i="5" s="1"/>
  <c r="Y47" i="5"/>
  <c r="Y49" i="5"/>
  <c r="AN15" i="4"/>
  <c r="AC46" i="5" l="1"/>
  <c r="AD46" i="5"/>
  <c r="AH14" i="6"/>
  <c r="AI28" i="6"/>
  <c r="AL33" i="6"/>
  <c r="AJ25" i="6"/>
  <c r="AK37" i="6"/>
  <c r="AI27" i="6"/>
  <c r="AH27" i="6"/>
  <c r="AI13" i="6"/>
  <c r="AH13" i="6"/>
  <c r="AI26" i="6"/>
  <c r="AH26" i="6"/>
  <c r="AI51" i="6"/>
  <c r="AH51" i="6"/>
  <c r="AC48" i="5"/>
  <c r="AK48" i="5" s="1"/>
  <c r="Z39" i="5"/>
  <c r="AF39" i="5" s="1"/>
  <c r="AA39" i="5"/>
  <c r="AJ39" i="5" s="1"/>
  <c r="AI13" i="5"/>
  <c r="AE45" i="5"/>
  <c r="Z45" i="5"/>
  <c r="AC49" i="5"/>
  <c r="Z49" i="5"/>
  <c r="AD47" i="5"/>
  <c r="AC47" i="5"/>
  <c r="Z47" i="5"/>
  <c r="AI51" i="5"/>
  <c r="AH51" i="5"/>
  <c r="AI26" i="5"/>
  <c r="AH26" i="5"/>
  <c r="Z40" i="5"/>
  <c r="AF40" i="5" s="1"/>
  <c r="AA40" i="5"/>
  <c r="AN51" i="4"/>
  <c r="Y51" i="4" s="1"/>
  <c r="AN50" i="4"/>
  <c r="Y50" i="4" s="1"/>
  <c r="AN49" i="4"/>
  <c r="AN48" i="4"/>
  <c r="AN47" i="4"/>
  <c r="AN46" i="4"/>
  <c r="AN45" i="4"/>
  <c r="Y45" i="4" s="1"/>
  <c r="AN44" i="4"/>
  <c r="AN43" i="4"/>
  <c r="Y43" i="4" s="1"/>
  <c r="AN42" i="4"/>
  <c r="Y42" i="4" s="1"/>
  <c r="AA42" i="4" s="1"/>
  <c r="AI42" i="4" s="1"/>
  <c r="AN41" i="4"/>
  <c r="Y41" i="4" s="1"/>
  <c r="AN39" i="4"/>
  <c r="Y39" i="4" s="1"/>
  <c r="AN38" i="4"/>
  <c r="Y38" i="4" s="1"/>
  <c r="AN37" i="4"/>
  <c r="Y37" i="4" s="1"/>
  <c r="AN36" i="4"/>
  <c r="Y36" i="4" s="1"/>
  <c r="AN35" i="4"/>
  <c r="Y35" i="4" s="1"/>
  <c r="AE35" i="4" s="1"/>
  <c r="AN34" i="4"/>
  <c r="Y34" i="4" s="1"/>
  <c r="AN33" i="4"/>
  <c r="Y33" i="4" s="1"/>
  <c r="AN32" i="4"/>
  <c r="Y32" i="4" s="1"/>
  <c r="AN31" i="4"/>
  <c r="Y31" i="4" s="1"/>
  <c r="Y30" i="4"/>
  <c r="AE30" i="4" s="1"/>
  <c r="Y29" i="4"/>
  <c r="Z29" i="4" s="1"/>
  <c r="AN28" i="4"/>
  <c r="Y28" i="4" s="1"/>
  <c r="AN27" i="4"/>
  <c r="Y27" i="4" s="1"/>
  <c r="AN26" i="4"/>
  <c r="Y26" i="4" s="1"/>
  <c r="AA26" i="4" s="1"/>
  <c r="AN25" i="4"/>
  <c r="Y25" i="4" s="1"/>
  <c r="AN24" i="4"/>
  <c r="AN23" i="4"/>
  <c r="AN22" i="4"/>
  <c r="Y22" i="4" s="1"/>
  <c r="AN21" i="4"/>
  <c r="AN20" i="4"/>
  <c r="Y20" i="4" s="1"/>
  <c r="AN19" i="4"/>
  <c r="AN18" i="4"/>
  <c r="Y18" i="4" s="1"/>
  <c r="AC18" i="4" s="1"/>
  <c r="AN17" i="4"/>
  <c r="AN16" i="4"/>
  <c r="Y16" i="4" s="1"/>
  <c r="Z16" i="4" s="1"/>
  <c r="AN14" i="4"/>
  <c r="Y14" i="4" s="1"/>
  <c r="AA14" i="4" s="1"/>
  <c r="AH14" i="4" s="1"/>
  <c r="AN13" i="4"/>
  <c r="AN12" i="4"/>
  <c r="Y12" i="4" s="1"/>
  <c r="AA12" i="4" s="1"/>
  <c r="AN11" i="4"/>
  <c r="AN10" i="4"/>
  <c r="Y10" i="4" s="1"/>
  <c r="AN9" i="4"/>
  <c r="Y9" i="4" s="1"/>
  <c r="AC9" i="4" s="1"/>
  <c r="AK9" i="4" s="1"/>
  <c r="AN8" i="4"/>
  <c r="Y8" i="4" s="1"/>
  <c r="AN7" i="4"/>
  <c r="Y7" i="4" s="1"/>
  <c r="AN6" i="4"/>
  <c r="Y6" i="4" s="1"/>
  <c r="AN5" i="4"/>
  <c r="Y5" i="4" s="1"/>
  <c r="Z5" i="4" s="1"/>
  <c r="AF5" i="4" s="1"/>
  <c r="AN4" i="4"/>
  <c r="Y4" i="4" s="1"/>
  <c r="AK49" i="5" l="1"/>
  <c r="AI40" i="5"/>
  <c r="AH40" i="5"/>
  <c r="Y46" i="4"/>
  <c r="AD46" i="4" s="1"/>
  <c r="Y48" i="4"/>
  <c r="AC48" i="4" s="1"/>
  <c r="AK48" i="4" s="1"/>
  <c r="AC50" i="4"/>
  <c r="Z50" i="4"/>
  <c r="AE29" i="4"/>
  <c r="AE18" i="4"/>
  <c r="AC36" i="4"/>
  <c r="AE36" i="4"/>
  <c r="AG43" i="4"/>
  <c r="AE43" i="4"/>
  <c r="Z43" i="4"/>
  <c r="AC34" i="4"/>
  <c r="AE34" i="4"/>
  <c r="AL34" i="4" s="1"/>
  <c r="AC32" i="4"/>
  <c r="AE32" i="4"/>
  <c r="Z10" i="4"/>
  <c r="AC10" i="4"/>
  <c r="AK10" i="4" s="1"/>
  <c r="AE22" i="4"/>
  <c r="Z22" i="4"/>
  <c r="AC22" i="4"/>
  <c r="AC38" i="4"/>
  <c r="AE38" i="4"/>
  <c r="AN40" i="4"/>
  <c r="Y40" i="4" s="1"/>
  <c r="AA5" i="4"/>
  <c r="AJ5" i="4" s="1"/>
  <c r="Z18" i="4"/>
  <c r="AI14" i="4"/>
  <c r="AE16" i="4"/>
  <c r="AD8" i="4"/>
  <c r="AC8" i="4"/>
  <c r="Z8" i="4"/>
  <c r="AG20" i="4"/>
  <c r="AC20" i="4"/>
  <c r="AE20" i="4"/>
  <c r="AL20" i="4" s="1"/>
  <c r="AA25" i="4"/>
  <c r="Z25" i="4"/>
  <c r="AF25" i="4" s="1"/>
  <c r="Z4" i="4"/>
  <c r="AF4" i="4" s="1"/>
  <c r="AA4" i="4"/>
  <c r="AJ4" i="4" s="1"/>
  <c r="AC7" i="4"/>
  <c r="Z7" i="4"/>
  <c r="AI12" i="4"/>
  <c r="AH12" i="4"/>
  <c r="AH26" i="4"/>
  <c r="AI26" i="4"/>
  <c r="AA28" i="4"/>
  <c r="Z28" i="4"/>
  <c r="AF28" i="4" s="1"/>
  <c r="Z33" i="4"/>
  <c r="AE33" i="4"/>
  <c r="AL33" i="4" s="1"/>
  <c r="AG33" i="4"/>
  <c r="AC33" i="4"/>
  <c r="Z20" i="4"/>
  <c r="Z37" i="4"/>
  <c r="AC37" i="4"/>
  <c r="AE37" i="4"/>
  <c r="AE41" i="4"/>
  <c r="Z41" i="4"/>
  <c r="AE45" i="4"/>
  <c r="Z45" i="4"/>
  <c r="AE31" i="4"/>
  <c r="AC31" i="4"/>
  <c r="Z31" i="4"/>
  <c r="AC6" i="4"/>
  <c r="Z6" i="4"/>
  <c r="Z14" i="4"/>
  <c r="AF14" i="4" s="1"/>
  <c r="AA27" i="4"/>
  <c r="Z27" i="4"/>
  <c r="AF27" i="4" s="1"/>
  <c r="AA39" i="4"/>
  <c r="AJ39" i="4" s="1"/>
  <c r="Z39" i="4"/>
  <c r="AF39" i="4" s="1"/>
  <c r="AA51" i="4"/>
  <c r="Z51" i="4"/>
  <c r="AF51" i="4" s="1"/>
  <c r="AG34" i="4"/>
  <c r="Z35" i="4"/>
  <c r="Y44" i="4"/>
  <c r="Z9" i="4"/>
  <c r="Z12" i="4"/>
  <c r="AF12" i="4" s="1"/>
  <c r="Z26" i="4"/>
  <c r="AF26" i="4" s="1"/>
  <c r="Z30" i="4"/>
  <c r="Z32" i="4"/>
  <c r="Z34" i="4"/>
  <c r="AC35" i="4"/>
  <c r="Z36" i="4"/>
  <c r="Z38" i="4"/>
  <c r="Z42" i="4"/>
  <c r="AF42" i="4" s="1"/>
  <c r="Y47" i="4"/>
  <c r="Y49" i="4"/>
  <c r="AJ25" i="4" l="1"/>
  <c r="Z48" i="4"/>
  <c r="AC46" i="4"/>
  <c r="Z46" i="4"/>
  <c r="Z40" i="4"/>
  <c r="AF40" i="4" s="1"/>
  <c r="AA40" i="4"/>
  <c r="AH40" i="4" s="1"/>
  <c r="Z47" i="4"/>
  <c r="AD47" i="4"/>
  <c r="AC47" i="4"/>
  <c r="AI40" i="4"/>
  <c r="AE44" i="4"/>
  <c r="AL44" i="4" s="1"/>
  <c r="Z44" i="4"/>
  <c r="AI51" i="4"/>
  <c r="AH51" i="4"/>
  <c r="AI27" i="4"/>
  <c r="AH27" i="4"/>
  <c r="Z49" i="4"/>
  <c r="AC49" i="4"/>
  <c r="AK49" i="4" s="1"/>
  <c r="AK37" i="4"/>
  <c r="AH28" i="4"/>
  <c r="AI28" i="4"/>
  <c r="AO37" i="4" l="1"/>
  <c r="AN40" i="1"/>
  <c r="Y40" i="1" s="1"/>
  <c r="AN39" i="1"/>
  <c r="Y39" i="1" s="1"/>
  <c r="AN45" i="1"/>
  <c r="Y45" i="1" s="1"/>
  <c r="AN46" i="1"/>
  <c r="Y46" i="1" s="1"/>
  <c r="AN47" i="1"/>
  <c r="Y47" i="1" s="1"/>
  <c r="AN48" i="1"/>
  <c r="Y48" i="1" s="1"/>
  <c r="AN42" i="1"/>
  <c r="Y42" i="1" s="1"/>
  <c r="AN51" i="1"/>
  <c r="Y51" i="1" s="1"/>
  <c r="AN50" i="1"/>
  <c r="Y50" i="1" s="1"/>
  <c r="AN49" i="1"/>
  <c r="Y49" i="1" s="1"/>
  <c r="AN44" i="1"/>
  <c r="Y44" i="1" s="1"/>
  <c r="AN43" i="1"/>
  <c r="Y43" i="1" s="1"/>
  <c r="AN41" i="1"/>
  <c r="Y41" i="1" s="1"/>
  <c r="AN38" i="1"/>
  <c r="Y38" i="1" s="1"/>
  <c r="Y38" i="5" s="1"/>
  <c r="Z38" i="5" s="1"/>
  <c r="AN37" i="1"/>
  <c r="Y37" i="1" s="1"/>
  <c r="AN36" i="1"/>
  <c r="Y36" i="1" s="1"/>
  <c r="AN35" i="1"/>
  <c r="Y35" i="1" s="1"/>
  <c r="AN34" i="1"/>
  <c r="Y34" i="1" s="1"/>
  <c r="AN33" i="1"/>
  <c r="Y33" i="1" s="1"/>
  <c r="AN32" i="1"/>
  <c r="Y32" i="1" s="1"/>
  <c r="AN31" i="1"/>
  <c r="Y31" i="1" s="1"/>
  <c r="Y30" i="1"/>
  <c r="AE30" i="1" s="1"/>
  <c r="Y29" i="1"/>
  <c r="AN28" i="1"/>
  <c r="Y28" i="1" s="1"/>
  <c r="AA28" i="1" s="1"/>
  <c r="AN27" i="1"/>
  <c r="Y27" i="1" s="1"/>
  <c r="AN26" i="1"/>
  <c r="Y26" i="1" s="1"/>
  <c r="AA26" i="1" s="1"/>
  <c r="AN25" i="1"/>
  <c r="Y25" i="1" s="1"/>
  <c r="Y23" i="1"/>
  <c r="AN22" i="1"/>
  <c r="Y21" i="1"/>
  <c r="AN20" i="1"/>
  <c r="Y19" i="1"/>
  <c r="AN18" i="1"/>
  <c r="Y17" i="1"/>
  <c r="AN16" i="1"/>
  <c r="Y16" i="1" s="1"/>
  <c r="AN14" i="1"/>
  <c r="Y14" i="1" s="1"/>
  <c r="AN12" i="1"/>
  <c r="Y12" i="1" s="1"/>
  <c r="Y11" i="1"/>
  <c r="AN10" i="1"/>
  <c r="Y10" i="1" s="1"/>
  <c r="AC10" i="1" s="1"/>
  <c r="AK10" i="1" s="1"/>
  <c r="AN9" i="1"/>
  <c r="Y9" i="1" s="1"/>
  <c r="AN8" i="1"/>
  <c r="Y8" i="1" s="1"/>
  <c r="AN7" i="1"/>
  <c r="Y7" i="1" s="1"/>
  <c r="AC7" i="1" s="1"/>
  <c r="AN6" i="1"/>
  <c r="Y6" i="1" s="1"/>
  <c r="AN5" i="1"/>
  <c r="Y5" i="1" s="1"/>
  <c r="AN4" i="1"/>
  <c r="Y4" i="1" s="1"/>
  <c r="Y18" i="1" l="1"/>
  <c r="Z18" i="1" s="1"/>
  <c r="Y22" i="1"/>
  <c r="AE22" i="1" s="1"/>
  <c r="Y15" i="1"/>
  <c r="AE15" i="1" s="1"/>
  <c r="Y20" i="1"/>
  <c r="AG20" i="1" s="1"/>
  <c r="Y24" i="1"/>
  <c r="AC24" i="1" s="1"/>
  <c r="Y13" i="1"/>
  <c r="Z13" i="1" s="1"/>
  <c r="AF13" i="1" s="1"/>
  <c r="AA51" i="1"/>
  <c r="AH51" i="1" s="1"/>
  <c r="Y17" i="4"/>
  <c r="AC17" i="4" s="1"/>
  <c r="Y21" i="4"/>
  <c r="Z21" i="4" s="1"/>
  <c r="Y19" i="4"/>
  <c r="Z19" i="4" s="1"/>
  <c r="Y23" i="4"/>
  <c r="Z23" i="4" s="1"/>
  <c r="Y11" i="4"/>
  <c r="Z11" i="4" s="1"/>
  <c r="AF11" i="4" s="1"/>
  <c r="Y43" i="6"/>
  <c r="AE43" i="6" s="1"/>
  <c r="Y44" i="6"/>
  <c r="AE44" i="6" s="1"/>
  <c r="Y42" i="6"/>
  <c r="Z42" i="6" s="1"/>
  <c r="Y49" i="6"/>
  <c r="AC49" i="6" s="1"/>
  <c r="Y41" i="6"/>
  <c r="AA41" i="6" s="1"/>
  <c r="Y47" i="6"/>
  <c r="AD47" i="6" s="1"/>
  <c r="Y40" i="6"/>
  <c r="AA40" i="6" s="1"/>
  <c r="AC9" i="1"/>
  <c r="AK9" i="1" s="1"/>
  <c r="AC6" i="1"/>
  <c r="AA5" i="1"/>
  <c r="AJ5" i="1" s="1"/>
  <c r="Y35" i="5"/>
  <c r="Z35" i="5" s="1"/>
  <c r="Y31" i="5"/>
  <c r="Z31" i="5" s="1"/>
  <c r="Y25" i="5"/>
  <c r="Z25" i="5" s="1"/>
  <c r="AF25" i="5" s="1"/>
  <c r="Z40" i="6"/>
  <c r="AF40" i="6" s="1"/>
  <c r="Z47" i="6"/>
  <c r="Z43" i="6"/>
  <c r="AD46" i="1"/>
  <c r="Y46" i="6"/>
  <c r="AC50" i="1"/>
  <c r="Y50" i="6"/>
  <c r="AE45" i="1"/>
  <c r="Y45" i="6"/>
  <c r="AC48" i="1"/>
  <c r="AK48" i="1" s="1"/>
  <c r="Y48" i="6"/>
  <c r="AA39" i="1"/>
  <c r="AJ39" i="1" s="1"/>
  <c r="Y39" i="6"/>
  <c r="AE41" i="1"/>
  <c r="AA41" i="1"/>
  <c r="AG43" i="1"/>
  <c r="AA43" i="1"/>
  <c r="AE29" i="1"/>
  <c r="AE29" i="5" s="1"/>
  <c r="C158" i="5" s="1"/>
  <c r="Y29" i="5"/>
  <c r="Z29" i="5" s="1"/>
  <c r="AG33" i="1"/>
  <c r="Y33" i="5"/>
  <c r="AE37" i="1"/>
  <c r="AE37" i="5" s="1"/>
  <c r="Y37" i="5"/>
  <c r="Z37" i="5" s="1"/>
  <c r="AA27" i="1"/>
  <c r="AA27" i="5" s="1"/>
  <c r="Y27" i="5"/>
  <c r="Z27" i="5" s="1"/>
  <c r="AF27" i="5" s="1"/>
  <c r="AE23" i="4"/>
  <c r="Z5" i="1"/>
  <c r="AF5" i="1" s="1"/>
  <c r="AI28" i="1"/>
  <c r="AH28" i="1"/>
  <c r="Z21" i="1"/>
  <c r="AE21" i="1"/>
  <c r="AC21" i="1"/>
  <c r="Z38" i="1"/>
  <c r="AE38" i="1"/>
  <c r="AE38" i="5" s="1"/>
  <c r="AC38" i="1"/>
  <c r="AC38" i="5" s="1"/>
  <c r="C145" i="5" s="1"/>
  <c r="Z40" i="1"/>
  <c r="AF40" i="1" s="1"/>
  <c r="AA40" i="1"/>
  <c r="AC49" i="1"/>
  <c r="AK49" i="1" s="1"/>
  <c r="Z49" i="1"/>
  <c r="Z11" i="1"/>
  <c r="AF11" i="1" s="1"/>
  <c r="AA11" i="1"/>
  <c r="AA14" i="1"/>
  <c r="Z14" i="1"/>
  <c r="AF14" i="1" s="1"/>
  <c r="AC23" i="1"/>
  <c r="AK23" i="1" s="1"/>
  <c r="Z23" i="1"/>
  <c r="AE23" i="1"/>
  <c r="AE16" i="1"/>
  <c r="Z16" i="1"/>
  <c r="AA42" i="1"/>
  <c r="AI42" i="1" s="1"/>
  <c r="Z42" i="1"/>
  <c r="AF42" i="1" s="1"/>
  <c r="AE31" i="1"/>
  <c r="AE31" i="5" s="1"/>
  <c r="AC31" i="1"/>
  <c r="AC31" i="5" s="1"/>
  <c r="Z31" i="1"/>
  <c r="Z17" i="1"/>
  <c r="AE17" i="1"/>
  <c r="AC17" i="1"/>
  <c r="AA25" i="1"/>
  <c r="Z25" i="1"/>
  <c r="AF25" i="1" s="1"/>
  <c r="Z34" i="1"/>
  <c r="AG34" i="1"/>
  <c r="AE34" i="1"/>
  <c r="AL34" i="1" s="1"/>
  <c r="AC34" i="1"/>
  <c r="Z27" i="1"/>
  <c r="AF27" i="1" s="1"/>
  <c r="AA12" i="1"/>
  <c r="Z12" i="1"/>
  <c r="AF12" i="1" s="1"/>
  <c r="Z32" i="1"/>
  <c r="AE32" i="1"/>
  <c r="AC32" i="1"/>
  <c r="AD8" i="1"/>
  <c r="AC8" i="1"/>
  <c r="Z8" i="1"/>
  <c r="AI26" i="1"/>
  <c r="AH26" i="1"/>
  <c r="AE35" i="1"/>
  <c r="AE35" i="5" s="1"/>
  <c r="AC35" i="1"/>
  <c r="AC35" i="5" s="1"/>
  <c r="Z35" i="1"/>
  <c r="AC19" i="1"/>
  <c r="Z19" i="1"/>
  <c r="AG19" i="1"/>
  <c r="AE19" i="1"/>
  <c r="AL19" i="1" s="1"/>
  <c r="Z47" i="1"/>
  <c r="AC47" i="1"/>
  <c r="AD47" i="1"/>
  <c r="Z4" i="1"/>
  <c r="AF4" i="1" s="1"/>
  <c r="AA4" i="1"/>
  <c r="AJ4" i="1" s="1"/>
  <c r="Z36" i="1"/>
  <c r="AE36" i="1"/>
  <c r="AC36" i="1"/>
  <c r="AE44" i="1"/>
  <c r="AL44" i="1" s="1"/>
  <c r="Z44" i="1"/>
  <c r="Z29" i="1"/>
  <c r="Z45" i="1"/>
  <c r="Z50" i="1"/>
  <c r="Z26" i="1"/>
  <c r="AF26" i="1" s="1"/>
  <c r="Z30" i="1"/>
  <c r="Z43" i="1"/>
  <c r="Z48" i="1"/>
  <c r="Z7" i="1"/>
  <c r="Z22" i="1"/>
  <c r="Z33" i="1"/>
  <c r="Z37" i="1"/>
  <c r="Z39" i="1"/>
  <c r="AF39" i="1" s="1"/>
  <c r="AE43" i="1"/>
  <c r="Z6" i="1"/>
  <c r="Z9" i="1"/>
  <c r="Z28" i="1"/>
  <c r="AF28" i="1" s="1"/>
  <c r="AC33" i="1"/>
  <c r="AC33" i="5" s="1"/>
  <c r="AC37" i="1"/>
  <c r="AC37" i="5" s="1"/>
  <c r="Z41" i="1"/>
  <c r="Z46" i="1"/>
  <c r="Z51" i="1"/>
  <c r="AF51" i="1" s="1"/>
  <c r="Z10" i="1"/>
  <c r="AE33" i="1"/>
  <c r="AC46" i="1"/>
  <c r="Y24" i="4" l="1"/>
  <c r="Y13" i="4"/>
  <c r="Z13" i="4" s="1"/>
  <c r="AF13" i="4" s="1"/>
  <c r="Z49" i="6"/>
  <c r="AC47" i="6"/>
  <c r="C166" i="6" s="1"/>
  <c r="AE41" i="6"/>
  <c r="AE40" i="6"/>
  <c r="Z20" i="1"/>
  <c r="AC20" i="1"/>
  <c r="AI51" i="1"/>
  <c r="AA43" i="6"/>
  <c r="AA42" i="6"/>
  <c r="C128" i="6" s="1"/>
  <c r="AG42" i="6"/>
  <c r="Z41" i="6"/>
  <c r="AA44" i="6"/>
  <c r="AG43" i="6"/>
  <c r="AE19" i="4"/>
  <c r="C90" i="4" s="1"/>
  <c r="AC18" i="1"/>
  <c r="Z24" i="1"/>
  <c r="Y15" i="4"/>
  <c r="Z15" i="4" s="1"/>
  <c r="AE24" i="1"/>
  <c r="AE18" i="1"/>
  <c r="Z15" i="1"/>
  <c r="AC19" i="4"/>
  <c r="C127" i="4" s="1"/>
  <c r="AE20" i="1"/>
  <c r="AL20" i="1" s="1"/>
  <c r="AC22" i="1"/>
  <c r="AG19" i="4"/>
  <c r="AC21" i="4"/>
  <c r="AA13" i="1"/>
  <c r="AA13" i="4" s="1"/>
  <c r="C99" i="4" s="1"/>
  <c r="AE21" i="4"/>
  <c r="C164" i="4" s="1"/>
  <c r="AC23" i="4"/>
  <c r="C144" i="4" s="1"/>
  <c r="Z17" i="4"/>
  <c r="AE17" i="4"/>
  <c r="C148" i="4" s="1"/>
  <c r="Z44" i="6"/>
  <c r="AH27" i="1"/>
  <c r="AI27" i="1"/>
  <c r="AA39" i="6"/>
  <c r="Z39" i="6"/>
  <c r="AF39" i="6" s="1"/>
  <c r="C109" i="6"/>
  <c r="C181" i="6"/>
  <c r="AL44" i="6"/>
  <c r="C180" i="6"/>
  <c r="C98" i="6"/>
  <c r="Z46" i="6"/>
  <c r="AC46" i="6"/>
  <c r="AD46" i="6"/>
  <c r="C140" i="6"/>
  <c r="C118" i="6"/>
  <c r="C101" i="6"/>
  <c r="C81" i="6"/>
  <c r="C157" i="6"/>
  <c r="C127" i="6"/>
  <c r="C92" i="6"/>
  <c r="C131" i="6"/>
  <c r="C103" i="6"/>
  <c r="C58" i="6"/>
  <c r="AI40" i="6"/>
  <c r="C150" i="6"/>
  <c r="C74" i="6"/>
  <c r="C62" i="6"/>
  <c r="AH40" i="6"/>
  <c r="AK49" i="6"/>
  <c r="C167" i="6"/>
  <c r="AO37" i="6"/>
  <c r="AI42" i="6"/>
  <c r="C132" i="6"/>
  <c r="C76" i="6"/>
  <c r="C64" i="6"/>
  <c r="C151" i="6"/>
  <c r="C83" i="6"/>
  <c r="C141" i="6"/>
  <c r="C119" i="6"/>
  <c r="C133" i="6"/>
  <c r="C129" i="6"/>
  <c r="C152" i="6"/>
  <c r="C94" i="6"/>
  <c r="C142" i="6"/>
  <c r="C120" i="6"/>
  <c r="Z48" i="6"/>
  <c r="AC48" i="6"/>
  <c r="AK48" i="6" s="1"/>
  <c r="AE45" i="6"/>
  <c r="Z45" i="6"/>
  <c r="Z50" i="6"/>
  <c r="AC50" i="6"/>
  <c r="C168" i="6" s="1"/>
  <c r="C96" i="6"/>
  <c r="C165" i="6"/>
  <c r="C177" i="6"/>
  <c r="C176" i="6"/>
  <c r="C107" i="6"/>
  <c r="C88" i="5"/>
  <c r="C79" i="5"/>
  <c r="C60" i="5"/>
  <c r="C59" i="5"/>
  <c r="C58" i="5"/>
  <c r="C147" i="5"/>
  <c r="C157" i="5"/>
  <c r="C144" i="5"/>
  <c r="AK37" i="5"/>
  <c r="AO37" i="5"/>
  <c r="AJ25" i="1"/>
  <c r="AA25" i="5"/>
  <c r="C127" i="5"/>
  <c r="C142" i="5"/>
  <c r="C141" i="5"/>
  <c r="C133" i="5"/>
  <c r="C126" i="5"/>
  <c r="AG33" i="5"/>
  <c r="Z33" i="5"/>
  <c r="C164" i="5"/>
  <c r="C82" i="5"/>
  <c r="C150" i="5"/>
  <c r="C163" i="5"/>
  <c r="C91" i="5"/>
  <c r="AL33" i="1"/>
  <c r="AE33" i="5"/>
  <c r="C128" i="5"/>
  <c r="C143" i="5"/>
  <c r="C148" i="5"/>
  <c r="C160" i="5"/>
  <c r="C159" i="5"/>
  <c r="C80" i="5"/>
  <c r="C89" i="5"/>
  <c r="C125" i="5"/>
  <c r="C66" i="5"/>
  <c r="C110" i="5"/>
  <c r="C76" i="5"/>
  <c r="C106" i="5"/>
  <c r="C118" i="5"/>
  <c r="C83" i="5"/>
  <c r="C75" i="5"/>
  <c r="C131" i="5"/>
  <c r="C117" i="5"/>
  <c r="C119" i="5" s="1"/>
  <c r="C86" i="5"/>
  <c r="C98" i="5"/>
  <c r="AI27" i="5"/>
  <c r="C99" i="5"/>
  <c r="C107" i="5"/>
  <c r="AH27" i="5"/>
  <c r="C84" i="5"/>
  <c r="C85" i="5"/>
  <c r="C132" i="5"/>
  <c r="C68" i="5"/>
  <c r="C109" i="5"/>
  <c r="C67" i="5"/>
  <c r="C69" i="5"/>
  <c r="AJ11" i="1"/>
  <c r="AA11" i="4"/>
  <c r="C141" i="4"/>
  <c r="C133" i="4"/>
  <c r="C126" i="4"/>
  <c r="C128" i="4"/>
  <c r="C143" i="4"/>
  <c r="Z24" i="4"/>
  <c r="AC24" i="4"/>
  <c r="C145" i="4" s="1"/>
  <c r="AE24" i="4"/>
  <c r="AH40" i="1"/>
  <c r="AO37" i="1"/>
  <c r="AK37" i="1"/>
  <c r="AH14" i="1"/>
  <c r="AI14" i="1"/>
  <c r="AI12" i="1"/>
  <c r="AH12" i="1"/>
  <c r="C77" i="4" l="1"/>
  <c r="C162" i="4"/>
  <c r="C110" i="4"/>
  <c r="C69" i="4"/>
  <c r="AI13" i="4"/>
  <c r="C59" i="4"/>
  <c r="C125" i="4"/>
  <c r="C67" i="4"/>
  <c r="C149" i="4"/>
  <c r="C80" i="4"/>
  <c r="C83" i="4"/>
  <c r="AE15" i="4"/>
  <c r="C147" i="4" s="1"/>
  <c r="AK23" i="4"/>
  <c r="C82" i="4"/>
  <c r="C163" i="4"/>
  <c r="C150" i="4"/>
  <c r="C142" i="4"/>
  <c r="AL19" i="4"/>
  <c r="C81" i="4"/>
  <c r="C161" i="4"/>
  <c r="C58" i="4"/>
  <c r="C132" i="4"/>
  <c r="C68" i="4"/>
  <c r="C85" i="4"/>
  <c r="C76" i="4"/>
  <c r="C84" i="4"/>
  <c r="AH13" i="1"/>
  <c r="C60" i="4"/>
  <c r="C66" i="4"/>
  <c r="C98" i="4"/>
  <c r="C100" i="4" s="1"/>
  <c r="C75" i="4"/>
  <c r="C106" i="4"/>
  <c r="C86" i="4"/>
  <c r="C131" i="4"/>
  <c r="C107" i="4"/>
  <c r="C117" i="4"/>
  <c r="AH13" i="4"/>
  <c r="C118" i="4"/>
  <c r="C109" i="4"/>
  <c r="AI13" i="1"/>
  <c r="C91" i="4"/>
  <c r="C159" i="4"/>
  <c r="C89" i="4"/>
  <c r="C160" i="4"/>
  <c r="C70" i="5"/>
  <c r="C130" i="6"/>
  <c r="C149" i="6"/>
  <c r="C93" i="6"/>
  <c r="C91" i="6"/>
  <c r="C57" i="6"/>
  <c r="C126" i="6"/>
  <c r="C156" i="6"/>
  <c r="C104" i="6"/>
  <c r="C79" i="6"/>
  <c r="C60" i="6"/>
  <c r="C155" i="6"/>
  <c r="C100" i="6"/>
  <c r="C72" i="6"/>
  <c r="C85" i="6" s="1"/>
  <c r="C154" i="6"/>
  <c r="C102" i="6"/>
  <c r="C105" i="6"/>
  <c r="AJ39" i="6"/>
  <c r="C183" i="6"/>
  <c r="C182" i="6"/>
  <c r="C110" i="6"/>
  <c r="C99" i="6"/>
  <c r="C112" i="6" s="1"/>
  <c r="C100" i="5"/>
  <c r="C169" i="6"/>
  <c r="C121" i="6"/>
  <c r="C143" i="6"/>
  <c r="C57" i="5"/>
  <c r="C61" i="5" s="1"/>
  <c r="C105" i="5"/>
  <c r="C108" i="5"/>
  <c r="C57" i="4"/>
  <c r="C108" i="4"/>
  <c r="C105" i="4"/>
  <c r="C149" i="5"/>
  <c r="C151" i="5" s="1"/>
  <c r="C162" i="5"/>
  <c r="C90" i="5"/>
  <c r="C92" i="5" s="1"/>
  <c r="C81" i="5"/>
  <c r="AL33" i="5"/>
  <c r="C161" i="5"/>
  <c r="C165" i="5" s="1"/>
  <c r="C77" i="5"/>
  <c r="C130" i="5"/>
  <c r="C134" i="5" s="1"/>
  <c r="AJ25" i="5"/>
  <c r="C130" i="4"/>
  <c r="C134" i="4" s="1"/>
  <c r="AJ11" i="4"/>
  <c r="C151" i="4" l="1"/>
  <c r="C158" i="4"/>
  <c r="C157" i="4"/>
  <c r="C165" i="4" s="1"/>
  <c r="C79" i="4"/>
  <c r="C88" i="4"/>
  <c r="C92" i="4" s="1"/>
  <c r="C184" i="6"/>
  <c r="C186" i="6" s="1"/>
  <c r="C70" i="4"/>
  <c r="C61" i="4"/>
  <c r="C93" i="4"/>
  <c r="C119" i="4"/>
  <c r="C93" i="5"/>
  <c r="C111" i="6"/>
  <c r="C134" i="6"/>
  <c r="C158" i="6"/>
  <c r="C111" i="5"/>
  <c r="C66" i="6"/>
  <c r="C111" i="4"/>
  <c r="B169" i="5" l="1"/>
  <c r="B169" i="4"/>
  <c r="B188" i="6"/>
  <c r="C167" i="5"/>
  <c r="C166" i="5"/>
  <c r="C167" i="4"/>
  <c r="C166" i="4"/>
</calcChain>
</file>

<file path=xl/sharedStrings.xml><?xml version="1.0" encoding="utf-8"?>
<sst xmlns="http://schemas.openxmlformats.org/spreadsheetml/2006/main" count="3542" uniqueCount="420">
  <si>
    <r>
      <t>CAVE! některé úhrady (hlavně nižší síly) jsou i na off-label indikace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, úhrady upraveny podle dávkování přípravku dle SPC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</si>
  <si>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název přípravku </t>
  </si>
  <si>
    <t>název látky</t>
  </si>
  <si>
    <t>výrobce</t>
  </si>
  <si>
    <t>překlen. léčba před plán. operací</t>
  </si>
  <si>
    <t>prevence během hemodialýzy</t>
  </si>
  <si>
    <r>
      <t xml:space="preserve">prevence ŽT v periop. období </t>
    </r>
    <r>
      <rPr>
        <i/>
        <sz val="9"/>
        <color theme="1"/>
        <rFont val="Calibri"/>
        <family val="2"/>
        <charset val="238"/>
        <scheme val="minor"/>
      </rPr>
      <t>(střední riziko)</t>
    </r>
  </si>
  <si>
    <r>
      <t xml:space="preserve">prevence ŽT v periop. období </t>
    </r>
    <r>
      <rPr>
        <i/>
        <sz val="9"/>
        <color theme="1"/>
        <rFont val="Calibri"/>
        <family val="2"/>
        <charset val="238"/>
        <scheme val="minor"/>
      </rPr>
      <t>(vysoké riziko)</t>
    </r>
  </si>
  <si>
    <t xml:space="preserve">prevence ŽT při vroz. či získan. hyperkoag. stavu </t>
  </si>
  <si>
    <t>souběžná léčba s warfarinem 2-3 dny</t>
  </si>
  <si>
    <t>léčba akut. sympt. trombofleb. DK bez tromb.</t>
  </si>
  <si>
    <r>
      <t>léčba HŽT</t>
    </r>
    <r>
      <rPr>
        <i/>
        <sz val="9"/>
        <color theme="1"/>
        <rFont val="Calibri"/>
        <family val="2"/>
        <charset val="238"/>
        <scheme val="minor"/>
      </rPr>
      <t xml:space="preserve">   (</t>
    </r>
    <r>
      <rPr>
        <sz val="9"/>
        <color theme="1"/>
        <rFont val="Calibri"/>
        <family val="2"/>
        <charset val="238"/>
      </rPr>
      <t>˂</t>
    </r>
    <r>
      <rPr>
        <i/>
        <sz val="9"/>
        <color theme="1"/>
        <rFont val="Calibri"/>
        <family val="2"/>
        <charset val="238"/>
      </rPr>
      <t>50kg)</t>
    </r>
    <r>
      <rPr>
        <i/>
        <sz val="9"/>
        <color theme="1"/>
        <rFont val="Calibri"/>
        <family val="2"/>
        <charset val="238"/>
        <scheme val="minor"/>
      </rPr>
      <t xml:space="preserve">      </t>
    </r>
    <r>
      <rPr>
        <i/>
        <sz val="11"/>
        <color theme="1"/>
        <rFont val="Calibri"/>
        <family val="2"/>
        <charset val="238"/>
        <scheme val="minor"/>
      </rPr>
      <t xml:space="preserve">         </t>
    </r>
  </si>
  <si>
    <r>
      <t>léčba HŽT</t>
    </r>
    <r>
      <rPr>
        <i/>
        <sz val="9"/>
        <color theme="1"/>
        <rFont val="Calibri"/>
        <family val="2"/>
        <charset val="238"/>
        <scheme val="minor"/>
      </rPr>
      <t xml:space="preserve">   (</t>
    </r>
    <r>
      <rPr>
        <i/>
        <sz val="9"/>
        <color theme="1"/>
        <rFont val="Calibri"/>
        <family val="2"/>
        <charset val="238"/>
      </rPr>
      <t>50-70kg)</t>
    </r>
    <r>
      <rPr>
        <i/>
        <sz val="9"/>
        <color theme="1"/>
        <rFont val="Calibri"/>
        <family val="2"/>
        <charset val="238"/>
        <scheme val="minor"/>
      </rPr>
      <t xml:space="preserve">      </t>
    </r>
    <r>
      <rPr>
        <i/>
        <sz val="11"/>
        <color theme="1"/>
        <rFont val="Calibri"/>
        <family val="2"/>
        <charset val="238"/>
        <scheme val="minor"/>
      </rPr>
      <t xml:space="preserve">         </t>
    </r>
  </si>
  <si>
    <r>
      <t>léčba HŽT</t>
    </r>
    <r>
      <rPr>
        <i/>
        <sz val="9"/>
        <color theme="1"/>
        <rFont val="Calibri"/>
        <family val="2"/>
        <charset val="238"/>
        <scheme val="minor"/>
      </rPr>
      <t xml:space="preserve">   (70</t>
    </r>
    <r>
      <rPr>
        <i/>
        <sz val="9"/>
        <color theme="1"/>
        <rFont val="Calibri"/>
        <family val="2"/>
        <charset val="238"/>
      </rPr>
      <t>-90kg)</t>
    </r>
    <r>
      <rPr>
        <i/>
        <sz val="9"/>
        <color theme="1"/>
        <rFont val="Calibri"/>
        <family val="2"/>
        <charset val="238"/>
        <scheme val="minor"/>
      </rPr>
      <t xml:space="preserve">      </t>
    </r>
    <r>
      <rPr>
        <i/>
        <sz val="11"/>
        <color theme="1"/>
        <rFont val="Calibri"/>
        <family val="2"/>
        <charset val="238"/>
        <scheme val="minor"/>
      </rPr>
      <t xml:space="preserve">         </t>
    </r>
  </si>
  <si>
    <r>
      <t>léčba HŽT</t>
    </r>
    <r>
      <rPr>
        <i/>
        <sz val="9"/>
        <color theme="1"/>
        <rFont val="Calibri"/>
        <family val="2"/>
        <charset val="238"/>
        <scheme val="minor"/>
      </rPr>
      <t xml:space="preserve">              (90</t>
    </r>
    <r>
      <rPr>
        <i/>
        <sz val="9"/>
        <color theme="1"/>
        <rFont val="Calibri"/>
        <family val="2"/>
        <charset val="238"/>
      </rPr>
      <t>-110kg jen do BMI 40!)</t>
    </r>
    <r>
      <rPr>
        <i/>
        <sz val="9"/>
        <color theme="1"/>
        <rFont val="Calibri"/>
        <family val="2"/>
        <charset val="238"/>
        <scheme val="minor"/>
      </rPr>
      <t xml:space="preserve">                     </t>
    </r>
    <r>
      <rPr>
        <i/>
        <sz val="11"/>
        <color theme="1"/>
        <rFont val="Calibri"/>
        <family val="2"/>
        <charset val="238"/>
        <scheme val="minor"/>
      </rPr>
      <t xml:space="preserve">   </t>
    </r>
  </si>
  <si>
    <r>
      <t>léčba HŽT</t>
    </r>
    <r>
      <rPr>
        <i/>
        <sz val="9"/>
        <color theme="1"/>
        <rFont val="Calibri"/>
        <family val="2"/>
        <charset val="238"/>
        <scheme val="minor"/>
      </rPr>
      <t xml:space="preserve">   (110</t>
    </r>
    <r>
      <rPr>
        <i/>
        <sz val="9"/>
        <color theme="1"/>
        <rFont val="Calibri"/>
        <family val="2"/>
        <charset val="238"/>
      </rPr>
      <t>-130kg jen do BMI 40!)</t>
    </r>
    <r>
      <rPr>
        <i/>
        <sz val="9"/>
        <color theme="1"/>
        <rFont val="Calibri"/>
        <family val="2"/>
        <charset val="238"/>
        <scheme val="minor"/>
      </rPr>
      <t xml:space="preserve">      </t>
    </r>
    <r>
      <rPr>
        <i/>
        <sz val="11"/>
        <color theme="1"/>
        <rFont val="Calibri"/>
        <family val="2"/>
        <charset val="238"/>
        <scheme val="minor"/>
      </rPr>
      <t xml:space="preserve">         </t>
    </r>
  </si>
  <si>
    <r>
      <t>léčba HŽT</t>
    </r>
    <r>
      <rPr>
        <i/>
        <sz val="9"/>
        <color theme="1"/>
        <rFont val="Calibri"/>
        <family val="2"/>
        <charset val="238"/>
        <scheme val="minor"/>
      </rPr>
      <t xml:space="preserve">   (</t>
    </r>
    <r>
      <rPr>
        <sz val="9"/>
        <color theme="1"/>
        <rFont val="Calibri"/>
        <family val="2"/>
        <charset val="238"/>
      </rPr>
      <t>˃</t>
    </r>
    <r>
      <rPr>
        <i/>
        <sz val="9"/>
        <color theme="1"/>
        <rFont val="Calibri"/>
        <family val="2"/>
        <charset val="238"/>
      </rPr>
      <t>130kg jen do BMI 40!)</t>
    </r>
    <r>
      <rPr>
        <i/>
        <sz val="9"/>
        <color theme="1"/>
        <rFont val="Calibri"/>
        <family val="2"/>
        <charset val="238"/>
        <scheme val="minor"/>
      </rPr>
      <t xml:space="preserve">      </t>
    </r>
    <r>
      <rPr>
        <i/>
        <sz val="11"/>
        <color theme="1"/>
        <rFont val="Calibri"/>
        <family val="2"/>
        <charset val="238"/>
        <scheme val="minor"/>
      </rPr>
      <t xml:space="preserve">         </t>
    </r>
  </si>
  <si>
    <t>antikoag. běhěm gravidity a šestinedělí, či před elekt. transpl. srdce</t>
  </si>
  <si>
    <r>
      <t>ODTD (IU/den, u fondapar. v mg/den) dle SUKLu</t>
    </r>
    <r>
      <rPr>
        <i/>
        <vertAlign val="superscript"/>
        <sz val="11"/>
        <color theme="1"/>
        <rFont val="Calibri"/>
        <family val="2"/>
        <charset val="238"/>
        <scheme val="minor"/>
      </rPr>
      <t>1,2,3</t>
    </r>
  </si>
  <si>
    <r>
      <t>počet ODTD v balení (dle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</si>
  <si>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t>cena za 1 ODTD</t>
  </si>
  <si>
    <t>cena za denní profylakt. léčbu (vždy 1xdenně)</t>
  </si>
  <si>
    <t>cena za denní léčbu (při 1x denně)</t>
  </si>
  <si>
    <t>cena za denní léčbu (při 1x denně 2 inj.)</t>
  </si>
  <si>
    <t>cena za denní léčbu (při 2x denně)</t>
  </si>
  <si>
    <t>poměr ceny za ODTD vůči nejlevnějšímu (profylaxe)</t>
  </si>
  <si>
    <t>cena za denní léčbu (při 2x denně 2 inj.)</t>
  </si>
  <si>
    <t>poměr ceny vůči nejlevnějšímu  (terapie: 76-89 kg - 1xdenně)</t>
  </si>
  <si>
    <t>poměr ceny vůči nejlevnějšímu  (terapie: 76-89 kg - 2xdenně)</t>
  </si>
  <si>
    <t>obratový bonus</t>
  </si>
  <si>
    <t>NEJLEVNĚJŠÍ  (profylaxe - do 70 kg)</t>
  </si>
  <si>
    <t>NEJLEVNĚJŠÍ  (profylaxe - nad 70 kg)</t>
  </si>
  <si>
    <t>NEJLEVNĚJŠÍ  (terapie:             76-89 kg - 1xdenně)</t>
  </si>
  <si>
    <t>NEJLEVNĚJŠÍ  (terapie:              76-89 kg - 2xdenně)</t>
  </si>
  <si>
    <t>Zibor 2500 IU/0,2ml                  10x0,2ml</t>
  </si>
  <si>
    <r>
      <rPr>
        <b/>
        <sz val="11"/>
        <color theme="1"/>
        <rFont val="Calibri"/>
        <family val="2"/>
        <charset val="238"/>
        <scheme val="minor"/>
      </rPr>
      <t>bemiparin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(nízkodávkový 12.500 IU/ml)</t>
    </r>
  </si>
  <si>
    <t>Berlin-Chemie/ A.Menarini</t>
  </si>
  <si>
    <t>ANO</t>
  </si>
  <si>
    <r>
      <t xml:space="preserve">ANO </t>
    </r>
    <r>
      <rPr>
        <sz val="9"/>
        <color theme="1"/>
        <rFont val="Calibri"/>
        <family val="2"/>
        <charset val="238"/>
        <scheme val="minor"/>
      </rPr>
      <t>(jednorázově-méně než 60kg)</t>
    </r>
  </si>
  <si>
    <r>
      <t xml:space="preserve">ANO                        </t>
    </r>
    <r>
      <rPr>
        <sz val="9"/>
        <color theme="1"/>
        <rFont val="Calibri"/>
        <family val="2"/>
        <charset val="238"/>
        <scheme val="minor"/>
      </rPr>
      <t xml:space="preserve">    (</t>
    </r>
    <r>
      <rPr>
        <sz val="9"/>
        <color theme="1"/>
        <rFont val="Calibri"/>
        <family val="2"/>
        <charset val="238"/>
      </rPr>
      <t>1xdenně-bez ohledu na hmot.)</t>
    </r>
  </si>
  <si>
    <r>
      <t xml:space="preserve">ANO                           </t>
    </r>
    <r>
      <rPr>
        <sz val="9"/>
        <color theme="1"/>
        <rFont val="Calibri"/>
        <family val="2"/>
        <charset val="238"/>
        <scheme val="minor"/>
      </rPr>
      <t xml:space="preserve"> (v SPC není dávk. uvedeno)</t>
    </r>
  </si>
  <si>
    <t>Zibor 3500 IU/0,2ml                     10x0,2ml</t>
  </si>
  <si>
    <r>
      <rPr>
        <b/>
        <sz val="11"/>
        <color theme="1"/>
        <rFont val="Calibri"/>
        <family val="2"/>
        <charset val="238"/>
        <scheme val="minor"/>
      </rPr>
      <t>bemiparin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(nízkodávkový 17.500 IU/ml)</t>
    </r>
  </si>
  <si>
    <r>
      <t xml:space="preserve">ANO </t>
    </r>
    <r>
      <rPr>
        <sz val="9"/>
        <color theme="1"/>
        <rFont val="Calibri"/>
        <family val="2"/>
        <charset val="238"/>
        <scheme val="minor"/>
      </rPr>
      <t>(jednorázově-více než 60kg)</t>
    </r>
  </si>
  <si>
    <t>Zibor 25.000 IU/ml                   10x0,2ml (tj. 5.000 IU ve stř.)</t>
  </si>
  <si>
    <r>
      <rPr>
        <b/>
        <sz val="11"/>
        <color theme="1"/>
        <rFont val="Calibri"/>
        <family val="2"/>
        <charset val="238"/>
        <scheme val="minor"/>
      </rPr>
      <t>bemiparin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(výsokodávkový 25.000 IU/ml)</t>
    </r>
  </si>
  <si>
    <r>
      <t xml:space="preserve">ANO                            </t>
    </r>
    <r>
      <rPr>
        <sz val="10"/>
        <color theme="1"/>
        <rFont val="Calibri"/>
        <family val="2"/>
        <charset val="238"/>
        <scheme val="minor"/>
      </rPr>
      <t>(</t>
    </r>
    <r>
      <rPr>
        <sz val="10"/>
        <color theme="1"/>
        <rFont val="Calibri"/>
        <family val="2"/>
        <charset val="238"/>
      </rPr>
      <t>1xdenně)</t>
    </r>
  </si>
  <si>
    <t>Zibor 25.000 IU/ml                   2x0,2ml (tj. 5.000 IU ve stř.)</t>
  </si>
  <si>
    <t>Zibor 25.000 IU/ml                   10x0,3ml (tj. 7.500 IU ve stř.)</t>
  </si>
  <si>
    <r>
      <t xml:space="preserve">ANO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2 inj. - jen 119-130kg)</t>
    </r>
  </si>
  <si>
    <r>
      <t xml:space="preserve">ANO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2 inj. - jen do 139kg)</t>
    </r>
  </si>
  <si>
    <t>Zibor 25.000 IU/ml                 10x0,4ml (tj. 10.000 IU ve stř.)</t>
  </si>
  <si>
    <r>
      <t xml:space="preserve">ANO                            </t>
    </r>
    <r>
      <rPr>
        <sz val="10"/>
        <color theme="1"/>
        <rFont val="Calibri"/>
        <family val="2"/>
        <charset val="238"/>
        <scheme val="minor"/>
      </rPr>
      <t>(</t>
    </r>
    <r>
      <rPr>
        <sz val="10"/>
        <color theme="1"/>
        <rFont val="Calibri"/>
        <family val="2"/>
        <charset val="238"/>
      </rPr>
      <t>1xdenně - jen do 97kg!)</t>
    </r>
  </si>
  <si>
    <t>Zibor 25.000 IU/ml                 2x0,4ml (tj. 10.000 IU ve stř.)</t>
  </si>
  <si>
    <t xml:space="preserve">Clexane 2.000 IU/0,2ml 10x0,2ml                     </t>
  </si>
  <si>
    <r>
      <rPr>
        <b/>
        <sz val="11"/>
        <color theme="1"/>
        <rFont val="Calibri"/>
        <family val="2"/>
        <charset val="238"/>
        <scheme val="minor"/>
      </rPr>
      <t>enoxaparin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(10.000 IU/ml)</t>
    </r>
  </si>
  <si>
    <t>Sanofi- Aventis</t>
  </si>
  <si>
    <r>
      <t xml:space="preserve">ANO </t>
    </r>
    <r>
      <rPr>
        <sz val="9"/>
        <color theme="1"/>
        <rFont val="Calibri"/>
        <family val="2"/>
        <charset val="238"/>
        <scheme val="minor"/>
      </rPr>
      <t>(většinou jednorázově-100IU/kg)</t>
    </r>
  </si>
  <si>
    <t xml:space="preserve">Clexane 2.000 IU/0,2ml 50x0,2ml                     </t>
  </si>
  <si>
    <t xml:space="preserve">Clexane 4.000 IU/0,4ml 10x0,4ml                     </t>
  </si>
  <si>
    <t xml:space="preserve">Clexane 4.000 IU/0,4ml 50x0,4ml                     </t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</si>
  <si>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- komplik. pac.)</t>
    </r>
  </si>
  <si>
    <t xml:space="preserve">Clexane 6.000 IU/0,6ml 10x0,6ml                     </t>
  </si>
  <si>
    <r>
      <t xml:space="preserve">ANO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theme="1"/>
        <rFont val="Calibri"/>
        <family val="2"/>
        <charset val="238"/>
      </rPr>
      <t>1xdenně - nekomplik. pac.- ale až ˂46kg</t>
    </r>
    <r>
      <rPr>
        <sz val="9"/>
        <color theme="1"/>
        <rFont val="Calibri"/>
        <family val="2"/>
        <charset val="238"/>
        <scheme val="minor"/>
      </rPr>
      <t>)</t>
    </r>
  </si>
  <si>
    <t xml:space="preserve">Clexane 6.000 IU/0,6ml 50x0,6ml                     </t>
  </si>
  <si>
    <t xml:space="preserve">Clexane 8.000 IU/0,8ml 10x0,8ml                     </t>
  </si>
  <si>
    <r>
      <t xml:space="preserve">ANO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theme="1"/>
        <rFont val="Calibri"/>
        <family val="2"/>
        <charset val="238"/>
      </rPr>
      <t>1xdenně - nekomplik. pac.- ale jen 47-49kg</t>
    </r>
    <r>
      <rPr>
        <sz val="9"/>
        <color theme="1"/>
        <rFont val="Calibri"/>
        <family val="2"/>
        <charset val="238"/>
        <scheme val="minor"/>
      </rPr>
      <t>)</t>
    </r>
  </si>
  <si>
    <r>
      <t xml:space="preserve">ANO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theme="1"/>
        <rFont val="Calibri"/>
        <family val="2"/>
        <charset val="238"/>
      </rPr>
      <t>1xdenně - nekomplik. pac.- ale jen 50-60kg</t>
    </r>
    <r>
      <rPr>
        <sz val="9"/>
        <color theme="1"/>
        <rFont val="Calibri"/>
        <family val="2"/>
        <charset val="238"/>
        <scheme val="minor"/>
      </rPr>
      <t>)</t>
    </r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</si>
  <si>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2 inj. - komplik. pac.- 155-169kg)</t>
    </r>
  </si>
  <si>
    <t xml:space="preserve">Clexane 8.000 IU/0,8ml 50x0,8ml                     </t>
  </si>
  <si>
    <t xml:space="preserve">Clexane 10.000 IU/1ml          10x1ml                     </t>
  </si>
  <si>
    <r>
      <t xml:space="preserve">ANO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theme="1"/>
        <rFont val="Calibri"/>
        <family val="2"/>
        <charset val="238"/>
      </rPr>
      <t>1xdenně - nekomplik. pac.- ale jen 61-69kg</t>
    </r>
    <r>
      <rPr>
        <sz val="9"/>
        <color theme="1"/>
        <rFont val="Calibri"/>
        <family val="2"/>
        <charset val="238"/>
        <scheme val="minor"/>
      </rPr>
      <t>)</t>
    </r>
  </si>
  <si>
    <r>
      <t xml:space="preserve">ANO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theme="1"/>
        <rFont val="Calibri"/>
        <family val="2"/>
        <charset val="238"/>
      </rPr>
      <t>1xdenně - nekomplik. pac.- ale jen 70-73kg</t>
    </r>
    <r>
      <rPr>
        <sz val="9"/>
        <color theme="1"/>
        <rFont val="Calibri"/>
        <family val="2"/>
        <charset val="238"/>
        <scheme val="minor"/>
      </rPr>
      <t>)</t>
    </r>
  </si>
  <si>
    <t xml:space="preserve">Clexane 10.000 IU/1ml          50x1ml                     </t>
  </si>
  <si>
    <t xml:space="preserve">Clexane forte 12.000 IU/0,8ml 10x0,8ml                     </t>
  </si>
  <si>
    <r>
      <rPr>
        <b/>
        <sz val="11"/>
        <color theme="1"/>
        <rFont val="Calibri"/>
        <family val="2"/>
        <charset val="238"/>
        <scheme val="minor"/>
      </rPr>
      <t>enoxaparin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(vysokodávkový 15.000 IU/ml)</t>
    </r>
  </si>
  <si>
    <r>
      <t xml:space="preserve">ANO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theme="1"/>
        <rFont val="Calibri"/>
        <family val="2"/>
        <charset val="238"/>
      </rPr>
      <t>1xdenně - nekomplik. pac.- ale jen 74-89kg</t>
    </r>
    <r>
      <rPr>
        <sz val="9"/>
        <color theme="1"/>
        <rFont val="Calibri"/>
        <family val="2"/>
        <charset val="238"/>
        <scheme val="minor"/>
      </rPr>
      <t>)</t>
    </r>
  </si>
  <si>
    <t xml:space="preserve">Clexane forte 15.000 IU/1ml 10x1ml                     </t>
  </si>
  <si>
    <r>
      <t xml:space="preserve">ANO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theme="1"/>
        <rFont val="Calibri"/>
        <family val="2"/>
        <charset val="238"/>
      </rPr>
      <t>1xdenně - nekomplik. pac.- ale jen 90-106kg - BMI max.30</t>
    </r>
    <r>
      <rPr>
        <sz val="9"/>
        <color theme="1"/>
        <rFont val="Calibri"/>
        <family val="2"/>
        <charset val="238"/>
        <scheme val="minor"/>
      </rPr>
      <t>)</t>
    </r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</si>
  <si>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- komplik. pac.- 145-154kg)</t>
    </r>
  </si>
  <si>
    <t xml:space="preserve">Inhixa 2.000 IU/0,2ml 10x0,2ml                     </t>
  </si>
  <si>
    <t xml:space="preserve">Inhixa 2.000 IU/0,2ml 50x0,2ml                     </t>
  </si>
  <si>
    <t xml:space="preserve">Inhixa 4.000 IU/0,4ml 10x0,4ml                     </t>
  </si>
  <si>
    <t xml:space="preserve">Inhixa 4.000 IU/0,4ml 50x0,4ml                     </t>
  </si>
  <si>
    <t xml:space="preserve">Inhixa 6.000 IU/0,6ml 10x0,6ml                     </t>
  </si>
  <si>
    <t xml:space="preserve">Inhixa 6.000 IU/0,6ml 50x0,6ml                     </t>
  </si>
  <si>
    <t xml:space="preserve">Inhixa 8.000 IU/0,8ml 10x0,8ml                     </t>
  </si>
  <si>
    <t xml:space="preserve">Inhixa 8.000 IU/0,8ml 50x0,8ml                     </t>
  </si>
  <si>
    <t xml:space="preserve">Inhixa 10.000 IU/1ml          10x1ml                     </t>
  </si>
  <si>
    <t xml:space="preserve">Inhixa 10.000 IU/1ml          50x1ml                     </t>
  </si>
  <si>
    <t xml:space="preserve">Inhixa 12.000 IU/0,8ml 10x0,8ml                     </t>
  </si>
  <si>
    <t xml:space="preserve">Inhixa 15.000 IU/1ml       10x1ml                     </t>
  </si>
  <si>
    <t>Fraxiparine 9.500 IU/ml        10x0,3ml</t>
  </si>
  <si>
    <r>
      <rPr>
        <b/>
        <sz val="11"/>
        <color theme="1"/>
        <rFont val="Calibri"/>
        <family val="2"/>
        <charset val="238"/>
        <scheme val="minor"/>
      </rPr>
      <t>nadroparin</t>
    </r>
    <r>
      <rPr>
        <sz val="11"/>
        <color theme="1"/>
        <rFont val="Calibri"/>
        <family val="2"/>
        <charset val="238"/>
        <scheme val="minor"/>
      </rPr>
      <t xml:space="preserve">                </t>
    </r>
    <r>
      <rPr>
        <sz val="9"/>
        <color theme="1"/>
        <rFont val="Calibri"/>
        <family val="2"/>
        <charset val="238"/>
        <scheme val="minor"/>
      </rPr>
      <t>(9.500 IU/ml)</t>
    </r>
  </si>
  <si>
    <r>
      <t xml:space="preserve">ANO </t>
    </r>
    <r>
      <rPr>
        <sz val="9"/>
        <color theme="1"/>
        <rFont val="Calibri"/>
        <family val="2"/>
        <charset val="238"/>
        <scheme val="minor"/>
      </rPr>
      <t>(většinou jednorázově-pod 50kg)</t>
    </r>
  </si>
  <si>
    <r>
      <t xml:space="preserve">ANO                                </t>
    </r>
    <r>
      <rPr>
        <sz val="8"/>
        <color theme="1"/>
        <rFont val="Calibri"/>
        <family val="2"/>
        <charset val="238"/>
        <scheme val="minor"/>
      </rPr>
      <t xml:space="preserve"> (</t>
    </r>
    <r>
      <rPr>
        <sz val="8"/>
        <color theme="1"/>
        <rFont val="Calibri"/>
        <family val="2"/>
        <charset val="238"/>
      </rPr>
      <t>1xdenně-od 4.dne  pod 50kg, 1xdenně-do 3.dne 50-69kg)</t>
    </r>
  </si>
  <si>
    <t>Fraxiparine 9.500 IU/ml        10x0,4ml</t>
  </si>
  <si>
    <r>
      <t xml:space="preserve">ANO </t>
    </r>
    <r>
      <rPr>
        <sz val="9"/>
        <color theme="1"/>
        <rFont val="Calibri"/>
        <family val="2"/>
        <charset val="238"/>
        <scheme val="minor"/>
      </rPr>
      <t>(většinou jednorázově-50-69kg)</t>
    </r>
  </si>
  <si>
    <r>
      <t xml:space="preserve">ANO                                </t>
    </r>
    <r>
      <rPr>
        <sz val="8"/>
        <color theme="1"/>
        <rFont val="Calibri"/>
        <family val="2"/>
        <charset val="238"/>
        <scheme val="minor"/>
      </rPr>
      <t xml:space="preserve"> (</t>
    </r>
    <r>
      <rPr>
        <sz val="8"/>
        <color theme="1"/>
        <rFont val="Calibri"/>
        <family val="2"/>
        <charset val="238"/>
      </rPr>
      <t>1xdenně-od 4.dne 50-69kg, 1xdenně-do 3.dne nad 70kg)</t>
    </r>
  </si>
  <si>
    <r>
      <t xml:space="preserve">ANO                                </t>
    </r>
    <r>
      <rPr>
        <sz val="8"/>
        <color theme="1"/>
        <rFont val="Calibri"/>
        <family val="2"/>
        <charset val="238"/>
        <scheme val="minor"/>
      </rPr>
      <t xml:space="preserve"> (</t>
    </r>
    <r>
      <rPr>
        <sz val="8"/>
        <color theme="1"/>
        <rFont val="Calibri"/>
        <family val="2"/>
        <charset val="238"/>
      </rPr>
      <t>1xdenně-pod 70kg, vč.)</t>
    </r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</si>
  <si>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- jen 50-55kg)</t>
    </r>
  </si>
  <si>
    <t>Fraxiparine 9.500 IU/ml        10x0,6ml</t>
  </si>
  <si>
    <r>
      <t xml:space="preserve">ANO </t>
    </r>
    <r>
      <rPr>
        <sz val="9"/>
        <color theme="1"/>
        <rFont val="Calibri"/>
        <family val="2"/>
        <charset val="238"/>
        <scheme val="minor"/>
      </rPr>
      <t>(většinou jednorázově-nad 70kg, vč.)</t>
    </r>
  </si>
  <si>
    <r>
      <t xml:space="preserve">ANO                                </t>
    </r>
    <r>
      <rPr>
        <sz val="8"/>
        <color theme="1"/>
        <rFont val="Calibri"/>
        <family val="2"/>
        <charset val="238"/>
        <scheme val="minor"/>
      </rPr>
      <t xml:space="preserve"> (</t>
    </r>
    <r>
      <rPr>
        <sz val="8"/>
        <color theme="1"/>
        <rFont val="Calibri"/>
        <family val="2"/>
        <charset val="238"/>
      </rPr>
      <t>1xdenně-od 4.dne nad 70kg)</t>
    </r>
  </si>
  <si>
    <r>
      <t xml:space="preserve">ANO                                </t>
    </r>
    <r>
      <rPr>
        <sz val="8"/>
        <color theme="1"/>
        <rFont val="Calibri"/>
        <family val="2"/>
        <charset val="238"/>
        <scheme val="minor"/>
      </rPr>
      <t xml:space="preserve"> (</t>
    </r>
    <r>
      <rPr>
        <sz val="8"/>
        <color theme="1"/>
        <rFont val="Calibri"/>
        <family val="2"/>
        <charset val="238"/>
      </rPr>
      <t>1xdenně-nad 70kg)</t>
    </r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</si>
  <si>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- jen 56-69kg)</t>
    </r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</si>
  <si>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- jen 70-75kg)</t>
    </r>
  </si>
  <si>
    <r>
      <t xml:space="preserve">ANO ?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2 inj. - jen 116-129kg)</t>
    </r>
  </si>
  <si>
    <r>
      <t xml:space="preserve">ANO ?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2 inj. - jen do 135kg)</t>
    </r>
  </si>
  <si>
    <t>Fraxiparine 9.500 IU/ml        10x0,8ml</t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</si>
  <si>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- jen 76-89kg)</t>
    </r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</si>
  <si>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- jen      90-95kg)</t>
    </r>
  </si>
  <si>
    <t>Fraxiparine 9.500 IU/ml        10x1ml</t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</si>
  <si>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- jen      96-109kg)</t>
    </r>
  </si>
  <si>
    <r>
      <t xml:space="preserve">ANO ?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</t>
    </r>
    <r>
      <rPr>
        <sz val="9"/>
        <color theme="1"/>
        <rFont val="Calibri"/>
        <family val="2"/>
        <charset val="238"/>
      </rPr>
      <t>2xdenně - jen      110-115kg)</t>
    </r>
  </si>
  <si>
    <t>Fraxiparine forte 19.000 IU/ml        10x0,6ml</t>
  </si>
  <si>
    <r>
      <rPr>
        <b/>
        <sz val="11"/>
        <color theme="1"/>
        <rFont val="Calibri"/>
        <family val="2"/>
        <charset val="238"/>
        <scheme val="minor"/>
      </rPr>
      <t>nadroparin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(vysokodávkový 19.000 IU/ml)</t>
    </r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</si>
  <si>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- jen 56-69kg)</t>
    </r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</si>
  <si>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- jen 70-75kg)</t>
    </r>
  </si>
  <si>
    <r>
      <t xml:space="preserve">ANO ?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2 inj. - jen 116-129kg)</t>
    </r>
  </si>
  <si>
    <r>
      <t xml:space="preserve">ANO ?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2 inj. - jen do 135kg)</t>
    </r>
  </si>
  <si>
    <t>Fraxiparine forte 19.000 IU/ml        2x0,6ml</t>
  </si>
  <si>
    <t>Fraxiparine forte 19.000 IU/ml        10x0,8ml</t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</si>
  <si>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- jen 76-89kg)</t>
    </r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</si>
  <si>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- jen       90-95kg)</t>
    </r>
  </si>
  <si>
    <t>Fraxiparine forte 19.000 IU/ml        2x0,8ml</t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</si>
  <si>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- jen      90-95kg)</t>
    </r>
  </si>
  <si>
    <t>Fraxiparine forte 19.000 IU/ml        10x1ml</t>
  </si>
  <si>
    <r>
      <t xml:space="preserve">ANO 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- jen      96-109kg)</t>
    </r>
  </si>
  <si>
    <r>
      <t xml:space="preserve">ANO ?                  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(1</t>
    </r>
    <r>
      <rPr>
        <sz val="9"/>
        <color theme="1"/>
        <rFont val="Calibri"/>
        <family val="2"/>
        <charset val="238"/>
      </rPr>
      <t>xdenně - jen      110-115kg)</t>
    </r>
  </si>
  <si>
    <t>Arixtra 2.5 mg/0,5ml        10x0,5ml</t>
  </si>
  <si>
    <t>fondaparinux</t>
  </si>
  <si>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Rozhodnutí SUKLu č.j. 137778/2021, Sp. zn. SUKLS11209/2021 z 10.5.2021</t>
    </r>
  </si>
  <si>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AISLP - 2021.3k, stav k 1.8.2021</t>
    </r>
  </si>
  <si>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 xml:space="preserve"> Rozhodnutí SUKLu č.j. 161739/2014, Sp. zn. SUKLS74966/2013 z 29.9.2014</t>
    </r>
  </si>
  <si>
    <t>Hmotnostní pásma pro terapii HŽT se mezi Inhixou (Clexane) a Fraxiparinem (norm. či forte) trochu liší (u Fraxiparinu chybí na trhu předpl. injekce s lichými čísly objemů !! a Multi už není), dávkování 2xdenně dle SPC u Inhixy (Clexane) má být zejména u rizikových pacientů - rizikové faktory viz SPC. U Fraxiparinu se to neřeší, protože při 1x denně je denní množství jednotek stejné jako u 2xdenně dávkování. U Clexane (Inhixi) je při 1xdenně 150 IU/kg, kdežto při 2x denně je jednotliv.dávka 100 IU/kg.</t>
  </si>
  <si>
    <r>
      <t>Dle CHEST guideline z 2012 (v příloze posílám také výňatek stran): "</t>
    </r>
    <r>
      <rPr>
        <i/>
        <sz val="12"/>
        <color rgb="FF000000"/>
        <rFont val="Calibri"/>
        <family val="2"/>
        <charset val="238"/>
        <scheme val="minor"/>
      </rPr>
      <t>2.5.2. In patients with acute DVT of the leg treated with LMWH, we suggest once- over twice-daily administration (Grade 2C) . Remarks: This recommendation only applies when the approved once-daily regimen uses the same daily dose as the twice-daily regimen (ie, the once-daily injection contains double the dose of each twicedaily injection). It also places value on avoiding an extra injection per day</t>
    </r>
    <r>
      <rPr>
        <sz val="12"/>
        <color rgb="FF000000"/>
        <rFont val="Calibri"/>
        <family val="2"/>
        <charset val="238"/>
        <scheme val="minor"/>
      </rPr>
      <t>. "</t>
    </r>
  </si>
  <si>
    <t>Viatris</t>
  </si>
  <si>
    <t>Novatin</t>
  </si>
  <si>
    <t>sukl kód</t>
  </si>
  <si>
    <t>marže</t>
  </si>
  <si>
    <t>doplatky</t>
  </si>
  <si>
    <t>úhrada</t>
  </si>
  <si>
    <t>poznámka</t>
  </si>
  <si>
    <t>POUŽITELNÝ JEN V CHIRURGII A JEN PŘI STŘEDNÍM RIZIKU !</t>
  </si>
  <si>
    <t>POUŽITELNÝ JEN V CHIRURGII A JEN PŘI VYSOKÉM RIZIKU !</t>
  </si>
  <si>
    <r>
      <t xml:space="preserve">NEJLEVNĚJŠÍ  (profylaxe - </t>
    </r>
    <r>
      <rPr>
        <b/>
        <u/>
        <sz val="9"/>
        <color theme="1"/>
        <rFont val="Calibri"/>
        <family val="2"/>
        <charset val="238"/>
        <scheme val="minor"/>
      </rPr>
      <t>jen chirurgická</t>
    </r>
    <r>
      <rPr>
        <b/>
        <sz val="9"/>
        <color theme="1"/>
        <rFont val="Calibri"/>
        <family val="2"/>
        <charset val="238"/>
        <scheme val="minor"/>
      </rPr>
      <t>!)</t>
    </r>
  </si>
  <si>
    <t>POUŽITELNÝ JEN V CHIRURGII  !</t>
  </si>
  <si>
    <t>NELZE POUŽÍT PŘI HEMODIALÝZE</t>
  </si>
  <si>
    <r>
      <t>poměr ceny vůči nejlevnějšímu  (</t>
    </r>
    <r>
      <rPr>
        <b/>
        <i/>
        <u/>
        <sz val="9"/>
        <color theme="1"/>
        <rFont val="Calibri"/>
        <family val="2"/>
        <charset val="238"/>
        <scheme val="minor"/>
      </rPr>
      <t>profylaxe chirurg. i interní</t>
    </r>
    <r>
      <rPr>
        <b/>
        <u/>
        <sz val="9"/>
        <color theme="1"/>
        <rFont val="Calibri"/>
        <family val="2"/>
        <charset val="238"/>
        <scheme val="minor"/>
      </rPr>
      <t xml:space="preserve"> - do 70 kg)</t>
    </r>
  </si>
  <si>
    <r>
      <t>poměr ceny vůči nejlevnějšímu  (</t>
    </r>
    <r>
      <rPr>
        <b/>
        <i/>
        <u/>
        <sz val="9"/>
        <color theme="1"/>
        <rFont val="Calibri"/>
        <family val="2"/>
        <charset val="238"/>
        <scheme val="minor"/>
      </rPr>
      <t>profylaxe chirurg. i interní</t>
    </r>
    <r>
      <rPr>
        <b/>
        <u/>
        <sz val="9"/>
        <color theme="1"/>
        <rFont val="Calibri"/>
        <family val="2"/>
        <charset val="238"/>
        <scheme val="minor"/>
      </rPr>
      <t xml:space="preserve"> - nad 70 kg)</t>
    </r>
  </si>
  <si>
    <r>
      <t>poměr ceny vůči nejlevnějšímu  (</t>
    </r>
    <r>
      <rPr>
        <b/>
        <i/>
        <u/>
        <sz val="9"/>
        <color theme="1"/>
        <rFont val="Calibri"/>
        <family val="2"/>
        <charset val="238"/>
        <scheme val="minor"/>
      </rPr>
      <t>profylaxe jen chirurgická !</t>
    </r>
    <r>
      <rPr>
        <b/>
        <u/>
        <sz val="9"/>
        <color theme="1"/>
        <rFont val="Calibri"/>
        <family val="2"/>
        <charset val="238"/>
        <scheme val="minor"/>
      </rPr>
      <t>)</t>
    </r>
  </si>
  <si>
    <t>V INTERNÍ PROFYL. JEN DO 70 KG!</t>
  </si>
  <si>
    <t>V OBOU PROFYL. JEN NAD 70 KG!</t>
  </si>
  <si>
    <t>jednotková cena (NC) s DPH při zohlednění obrat. bonusů k 1.8.2022</t>
  </si>
  <si>
    <t>V TERAPII 1x DENNĚ JEN NEKOMPLIK. PACIENT!</t>
  </si>
  <si>
    <t>V TERAPII 2x DENNĚ JEN KOMPLIK. PACIENT!</t>
  </si>
  <si>
    <t>Hmotnost pacienta</t>
  </si>
  <si>
    <t>cena</t>
  </si>
  <si>
    <t>%</t>
  </si>
  <si>
    <t>0,2   10 dní</t>
  </si>
  <si>
    <t>0,4   28 dní</t>
  </si>
  <si>
    <t xml:space="preserve">cena </t>
  </si>
  <si>
    <r>
      <t>Rizikovost pacienta</t>
    </r>
    <r>
      <rPr>
        <vertAlign val="superscript"/>
        <sz val="10"/>
        <rFont val="Arial"/>
        <family val="2"/>
        <charset val="238"/>
      </rPr>
      <t>1</t>
    </r>
  </si>
  <si>
    <t>ostatní operace (např. artroskopie kolene, operace nohy)</t>
  </si>
  <si>
    <t>0,4   10 dní</t>
  </si>
  <si>
    <r>
      <t>Rizikovost pacienta</t>
    </r>
    <r>
      <rPr>
        <vertAlign val="superscript"/>
        <sz val="10"/>
        <rFont val="Arial"/>
        <family val="2"/>
        <charset val="238"/>
      </rPr>
      <t>2</t>
    </r>
  </si>
  <si>
    <r>
      <t xml:space="preserve">Prevence tromboembolické choroby v perioperačním období u </t>
    </r>
    <r>
      <rPr>
        <b/>
        <sz val="10"/>
        <rFont val="Arial"/>
        <family val="2"/>
        <charset val="238"/>
      </rPr>
      <t>ortopedických</t>
    </r>
    <r>
      <rPr>
        <sz val="10"/>
        <rFont val="Arial"/>
        <family val="2"/>
        <charset val="238"/>
      </rPr>
      <t xml:space="preserve"> pacientů</t>
    </r>
  </si>
  <si>
    <t>0,4   45 dní</t>
  </si>
  <si>
    <r>
      <t>Rizikovost pacienta</t>
    </r>
    <r>
      <rPr>
        <vertAlign val="superscript"/>
        <sz val="10"/>
        <rFont val="Arial"/>
        <family val="2"/>
        <charset val="238"/>
      </rPr>
      <t>5</t>
    </r>
  </si>
  <si>
    <r>
      <t xml:space="preserve">např. trombus </t>
    </r>
    <r>
      <rPr>
        <sz val="10"/>
        <rFont val="Calibri"/>
        <family val="2"/>
        <charset val="238"/>
      </rPr>
      <t>˃ 5cm délky v GSV, AASV či SSV, nebo trombus v těchto žílách 3-5cm od SFJ či SPJ</t>
    </r>
    <r>
      <rPr>
        <vertAlign val="superscript"/>
        <sz val="10"/>
        <rFont val="Calibri"/>
        <family val="2"/>
        <charset val="238"/>
      </rPr>
      <t>5</t>
    </r>
  </si>
  <si>
    <t>střední riziko</t>
  </si>
  <si>
    <t>vysoké riziko (břišní/ pánevní operace pro onko onem.)</t>
  </si>
  <si>
    <t>náhrada kyčelního/ kolenního kloubu</t>
  </si>
  <si>
    <t>5 Scovell S. Superficial vein thrombosis and phlebitis of the lower extremity veins. UpToDate. Topic 8199. Version 52.0</t>
  </si>
  <si>
    <r>
      <t>0,4   35 dní (úhrada jen na 28 dní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)</t>
    </r>
  </si>
  <si>
    <r>
      <t>peri-postpartální skóre ≥</t>
    </r>
    <r>
      <rPr>
        <sz val="10"/>
        <rFont val="Calibri"/>
        <family val="2"/>
        <charset val="238"/>
      </rPr>
      <t xml:space="preserve"> 2 dle</t>
    </r>
    <r>
      <rPr>
        <vertAlign val="superscript"/>
        <sz val="10"/>
        <rFont val="Calibri"/>
        <family val="2"/>
        <charset val="238"/>
      </rPr>
      <t>3</t>
    </r>
  </si>
  <si>
    <r>
      <t>0,4   7 dní po porodu</t>
    </r>
    <r>
      <rPr>
        <vertAlign val="superscript"/>
        <sz val="10"/>
        <rFont val="Arial"/>
        <family val="2"/>
        <charset val="238"/>
      </rPr>
      <t>3</t>
    </r>
  </si>
  <si>
    <t>3 Antitrombotické zajištění žen v průběhu těhotenství, za porodu a v šestinedělí: část B - lůžková péče. Doporučený postup ČGPS ČLS JEP. 2022</t>
  </si>
  <si>
    <t>4 Penka A, et al. Antitrombotická profylaxe a péče o trombofilní stavy v gynekologii a porodnictví. Doporučený postup v perinatologii.</t>
  </si>
  <si>
    <t>střední dávka po celé těhotenství</t>
  </si>
  <si>
    <t>terapeutická dávka (dle hmotnosti) po celé těhotenství</t>
  </si>
  <si>
    <r>
      <t>Rizikovost pacienta</t>
    </r>
    <r>
      <rPr>
        <vertAlign val="superscript"/>
        <sz val="10"/>
        <rFont val="Arial"/>
        <family val="2"/>
        <charset val="238"/>
      </rPr>
      <t>4,6,7</t>
    </r>
  </si>
  <si>
    <r>
      <t>dávka (ml), délka podávání</t>
    </r>
    <r>
      <rPr>
        <vertAlign val="superscript"/>
        <sz val="10"/>
        <rFont val="Arial"/>
        <family val="2"/>
        <charset val="238"/>
      </rPr>
      <t>4,6,7</t>
    </r>
  </si>
  <si>
    <t>poporodní střední dávka (do doby nasazení VKA)</t>
  </si>
  <si>
    <t>poporodní terap. dávka (celé šestinedělí, dle hmotnosti)</t>
  </si>
  <si>
    <t>˂50kg</t>
  </si>
  <si>
    <t>profylaktická dávka od 20. g.t. těhotenství</t>
  </si>
  <si>
    <t>střední dávka od 20. g.t. těhotenství</t>
  </si>
  <si>
    <t>6 Bauer KA. Use of anticoagulants during pregnancy and postpartum. UpToDate. Topic 1342. Version 54.0</t>
  </si>
  <si>
    <t>7 Lockwood Ch, Bauer KA. Inherited thrombophilias in pregnancy. UpToDate. Topic 4792. Version 69.0</t>
  </si>
  <si>
    <t>CAVE! PRO STŘED. DÁVK. VIZ POZN. 8, U PROFYL. DÁVEK NUTNÁ ÚPRAVA U EXTRÉM. HMOT.,  U TERAP. MOŽNO UPRAVIT DLE ANTI-Xa</t>
  </si>
  <si>
    <t>1 mg/kg 2x denně   42 dní</t>
  </si>
  <si>
    <t>8 Dle zdroje pod pozn. 6 je možno použít alternativní způsob "středně vysoké" dávky LMWH enoxaparinu během těhotenství : 40mg 1x denně se zvyšováním dávky dle postupujícího těhotenství až na 1mg/kg 1x denně</t>
  </si>
  <si>
    <t>2x 0,8   7 dní po porodu</t>
  </si>
  <si>
    <t>2x 0,4   7 dní po porodu</t>
  </si>
  <si>
    <t>50-69kg</t>
  </si>
  <si>
    <t>70-89kg</t>
  </si>
  <si>
    <t>90-109kg jen do BMI 40!</t>
  </si>
  <si>
    <t>2x 0,4  42 dní</t>
  </si>
  <si>
    <t>poporodní terap. dávka 70-89kg (do doby nasazení VKA)</t>
  </si>
  <si>
    <t>2x 0,6  42 dní</t>
  </si>
  <si>
    <t>2x 0,8  42 dní</t>
  </si>
  <si>
    <t>2x 1,0  42 dní</t>
  </si>
  <si>
    <t>profylaktická dávka po celé těhotenství (tj. 40 týdnů)</t>
  </si>
  <si>
    <t>0,4   140 dní</t>
  </si>
  <si>
    <t>0,4   280 dní</t>
  </si>
  <si>
    <t>2x 0,4   140 dní</t>
  </si>
  <si>
    <t>2x 0,4   280 dní</t>
  </si>
  <si>
    <t>2x 0,4  280 dní</t>
  </si>
  <si>
    <t>2x 0,6  280 dní</t>
  </si>
  <si>
    <t>2x 0,8  280 dní</t>
  </si>
  <si>
    <t>2x 1,0  280 dní</t>
  </si>
  <si>
    <t>1  AISLP - 2022.3k, stav k 1.8.2022</t>
  </si>
  <si>
    <r>
      <t xml:space="preserve">enoxaparin 10.000 IU/ml  1 x denně či off-label 2x denně u extrémních obézních (BMI </t>
    </r>
    <r>
      <rPr>
        <sz val="10"/>
        <rFont val="Calibri"/>
        <family val="2"/>
        <charset val="238"/>
      </rPr>
      <t>≥</t>
    </r>
    <r>
      <rPr>
        <sz val="10"/>
        <rFont val="Arial"/>
        <family val="2"/>
        <charset val="238"/>
      </rPr>
      <t xml:space="preserve"> 40 kg/m2)</t>
    </r>
    <r>
      <rPr>
        <vertAlign val="superscript"/>
        <sz val="10"/>
        <rFont val="Arial"/>
        <family val="2"/>
        <charset val="238"/>
      </rPr>
      <t>9</t>
    </r>
  </si>
  <si>
    <r>
      <t>střední riziko + BMI ≥ 40-49 kg/m2</t>
    </r>
    <r>
      <rPr>
        <vertAlign val="superscript"/>
        <sz val="10"/>
        <rFont val="Arial"/>
        <family val="2"/>
        <charset val="238"/>
      </rPr>
      <t>9</t>
    </r>
  </si>
  <si>
    <r>
      <t>vysoké riz. (břišní/ pánev. operace pro onko)+ BMI ≥ 40-49 kg/m2</t>
    </r>
    <r>
      <rPr>
        <vertAlign val="superscript"/>
        <sz val="10"/>
        <rFont val="Arial"/>
        <family val="2"/>
        <charset val="238"/>
      </rPr>
      <t>9</t>
    </r>
  </si>
  <si>
    <t>2x 0,4   28 dní</t>
  </si>
  <si>
    <r>
      <t>enoxaparin 10.000 IU/ml  1 x denně či off-label 2x denně u extrémních obézních (BMI ≥ 40 kg/m2)</t>
    </r>
    <r>
      <rPr>
        <vertAlign val="superscript"/>
        <sz val="10"/>
        <rFont val="Arial"/>
        <family val="2"/>
        <charset val="238"/>
      </rPr>
      <t>9</t>
    </r>
  </si>
  <si>
    <r>
      <t>náhrada kyčelního/ kolenního kloubu + BMI ≥ 40-49 kg/m2</t>
    </r>
    <r>
      <rPr>
        <vertAlign val="superscript"/>
        <sz val="10"/>
        <rFont val="Arial"/>
        <family val="2"/>
        <charset val="238"/>
      </rPr>
      <t>9</t>
    </r>
  </si>
  <si>
    <r>
      <t>2x 0,4   35 dní (úhrada jen na 28 dní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)</t>
    </r>
  </si>
  <si>
    <r>
      <t>ostatní  (např. artrosk. kolene, operace nohy) + BMI ≥ 40-49 kg/m2</t>
    </r>
    <r>
      <rPr>
        <vertAlign val="superscript"/>
        <sz val="10"/>
        <rFont val="Arial"/>
        <family val="2"/>
        <charset val="238"/>
      </rPr>
      <t>9</t>
    </r>
  </si>
  <si>
    <t>2x 0,4   10 dní</t>
  </si>
  <si>
    <r>
      <t xml:space="preserve">např. trombus </t>
    </r>
    <r>
      <rPr>
        <sz val="10"/>
        <rFont val="Calibri"/>
        <family val="2"/>
        <charset val="238"/>
      </rPr>
      <t>˃ 5cm délky v GSV, AASV či SSV, nebo trombus v těchto žílách 3-5cm od SFJ či SPJ</t>
    </r>
    <r>
      <rPr>
        <vertAlign val="superscript"/>
        <sz val="10"/>
        <rFont val="Calibri"/>
        <family val="2"/>
        <charset val="238"/>
      </rPr>
      <t>5</t>
    </r>
    <r>
      <rPr>
        <sz val="10"/>
        <rFont val="Arial"/>
        <family val="2"/>
        <charset val="238"/>
      </rPr>
      <t xml:space="preserve"> + BMI ≥ 40-49 kg/m2</t>
    </r>
    <r>
      <rPr>
        <vertAlign val="superscript"/>
        <sz val="10"/>
        <rFont val="Arial"/>
        <family val="2"/>
        <charset val="238"/>
      </rPr>
      <t>9</t>
    </r>
  </si>
  <si>
    <t>2x 0,4   45 dní</t>
  </si>
  <si>
    <t>9 Hull RD, Garcia DA. Heparin and LMW heparin: Dosing and adverse effects. UpToDate. Topic 1348. Version 84.0</t>
  </si>
  <si>
    <t>10 Pai M, Douketis JD. Prevention of venous thromboembolic disease in acutely ill hospitalized medical adults. UpToDate. Topic 1346. Version 105.0</t>
  </si>
  <si>
    <r>
      <t xml:space="preserve">Prevence tromboembolické choroby v perioperačním období u </t>
    </r>
    <r>
      <rPr>
        <b/>
        <sz val="10"/>
        <rFont val="Arial"/>
        <family val="2"/>
        <charset val="238"/>
      </rPr>
      <t>chirurgických</t>
    </r>
    <r>
      <rPr>
        <sz val="10"/>
        <rFont val="Arial"/>
        <family val="2"/>
        <charset val="238"/>
      </rPr>
      <t xml:space="preserve"> pacientů</t>
    </r>
  </si>
  <si>
    <t>11 Vyhodnocení rizika HŽT u interně nemocných. Doporučení České společnosti pro trombózu a hemostázu ČLS JEP - staženo  z www.csth.cz dne 8.9.2022</t>
  </si>
  <si>
    <r>
      <t xml:space="preserve">U pac. se skóre </t>
    </r>
    <r>
      <rPr>
        <sz val="9"/>
        <rFont val="Arial"/>
        <family val="2"/>
        <charset val="238"/>
      </rPr>
      <t>≥</t>
    </r>
    <r>
      <rPr>
        <sz val="10"/>
        <rFont val="Arial"/>
        <family val="2"/>
        <charset val="238"/>
      </rPr>
      <t xml:space="preserve"> 3 podle vyhodnocení rizika dle doporučení ČSTH</t>
    </r>
    <r>
      <rPr>
        <vertAlign val="superscript"/>
        <sz val="10"/>
        <rFont val="Arial"/>
        <family val="2"/>
        <charset val="238"/>
      </rPr>
      <t>11</t>
    </r>
  </si>
  <si>
    <r>
      <t>dávka</t>
    </r>
    <r>
      <rPr>
        <vertAlign val="superscript"/>
        <sz val="10"/>
        <rFont val="Arial"/>
        <family val="2"/>
        <charset val="238"/>
      </rPr>
      <t>1,9</t>
    </r>
    <r>
      <rPr>
        <sz val="10"/>
        <rFont val="Arial"/>
        <family val="2"/>
        <charset val="238"/>
      </rPr>
      <t xml:space="preserve"> (ml), délka podávání</t>
    </r>
    <r>
      <rPr>
        <vertAlign val="superscript"/>
        <sz val="10"/>
        <rFont val="Arial"/>
        <family val="2"/>
        <charset val="238"/>
      </rPr>
      <t>1</t>
    </r>
  </si>
  <si>
    <r>
      <t>dávka</t>
    </r>
    <r>
      <rPr>
        <vertAlign val="superscript"/>
        <sz val="10"/>
        <rFont val="Arial"/>
        <family val="2"/>
        <charset val="238"/>
      </rPr>
      <t>1,9</t>
    </r>
    <r>
      <rPr>
        <sz val="10"/>
        <rFont val="Arial"/>
        <family val="2"/>
        <charset val="238"/>
      </rPr>
      <t xml:space="preserve"> (ml), délka podávání</t>
    </r>
    <r>
      <rPr>
        <vertAlign val="superscript"/>
        <sz val="10"/>
        <rFont val="Arial"/>
        <family val="2"/>
        <charset val="238"/>
      </rPr>
      <t>5</t>
    </r>
  </si>
  <si>
    <r>
      <t>dávka</t>
    </r>
    <r>
      <rPr>
        <vertAlign val="superscript"/>
        <sz val="10"/>
        <rFont val="Arial"/>
        <family val="2"/>
        <charset val="238"/>
      </rPr>
      <t>1,9</t>
    </r>
    <r>
      <rPr>
        <sz val="10"/>
        <rFont val="Arial"/>
        <family val="2"/>
        <charset val="238"/>
      </rPr>
      <t xml:space="preserve"> (ml), délka podávání</t>
    </r>
    <r>
      <rPr>
        <vertAlign val="superscript"/>
        <sz val="10"/>
        <rFont val="Arial"/>
        <family val="2"/>
        <charset val="238"/>
      </rPr>
      <t>2</t>
    </r>
  </si>
  <si>
    <t>pac. s BMI do 39 kg/m2 s kratší hospitalizací</t>
  </si>
  <si>
    <r>
      <t>pac. s BMI ≥ 40-49 kg/m2</t>
    </r>
    <r>
      <rPr>
        <vertAlign val="superscript"/>
        <sz val="10"/>
        <rFont val="Arial"/>
        <family val="2"/>
        <charset val="238"/>
      </rPr>
      <t>9</t>
    </r>
    <r>
      <rPr>
        <sz val="10"/>
        <rFont val="Arial"/>
        <family val="2"/>
        <charset val="238"/>
      </rPr>
      <t xml:space="preserve"> s kratší hospitalizací</t>
    </r>
  </si>
  <si>
    <t>pac. s BMI do 39 kg/m2 s delší hospitalizací</t>
  </si>
  <si>
    <r>
      <t>pac. s BMI ≥ 40-49 kg/m2</t>
    </r>
    <r>
      <rPr>
        <vertAlign val="superscript"/>
        <sz val="10"/>
        <rFont val="Arial"/>
        <family val="2"/>
        <charset val="238"/>
      </rPr>
      <t>9</t>
    </r>
    <r>
      <rPr>
        <sz val="10"/>
        <rFont val="Arial"/>
        <family val="2"/>
        <charset val="238"/>
      </rPr>
      <t xml:space="preserve"> s delší hospitalizací</t>
    </r>
  </si>
  <si>
    <r>
      <t xml:space="preserve">Prevence tromboembol. onem. </t>
    </r>
    <r>
      <rPr>
        <b/>
        <sz val="10"/>
        <rFont val="Arial"/>
        <family val="2"/>
        <charset val="238"/>
      </rPr>
      <t xml:space="preserve">u akutně nemocných hospitalizovaných </t>
    </r>
    <r>
      <rPr>
        <sz val="10"/>
        <rFont val="Arial"/>
        <family val="2"/>
        <charset val="238"/>
      </rPr>
      <t>pac. (interna,neuro.,onko.,gyn.por.,plicní, JIP+ARO, atd)</t>
    </r>
  </si>
  <si>
    <t>0,4   6 dní</t>
  </si>
  <si>
    <t>2x 0,4   6 dní</t>
  </si>
  <si>
    <t>0,4   14 dní</t>
  </si>
  <si>
    <t>2x 0,4   14 dní</t>
  </si>
  <si>
    <r>
      <t>Rizikovost pacienta</t>
    </r>
    <r>
      <rPr>
        <vertAlign val="superscript"/>
        <sz val="10"/>
        <rFont val="Arial"/>
        <family val="2"/>
        <charset val="238"/>
      </rPr>
      <t>9</t>
    </r>
  </si>
  <si>
    <r>
      <t>Prevence tromboembol. onem.</t>
    </r>
    <r>
      <rPr>
        <b/>
        <sz val="10"/>
        <rFont val="Arial"/>
        <family val="2"/>
        <charset val="238"/>
      </rPr>
      <t xml:space="preserve"> u ambulatních onko. pac. s</t>
    </r>
    <r>
      <rPr>
        <sz val="10"/>
        <rFont val="Arial"/>
        <family val="2"/>
        <charset val="238"/>
      </rPr>
      <t xml:space="preserve"> MM/nonHL léčených režimy s IMiD, s Khorana skóre 2 začínajících novou </t>
    </r>
  </si>
  <si>
    <t>12 Bauer KA. Risk and prevention of venous thromboembolism in adults with cancer. UpToDate. Topic 1352. Version 88.0</t>
  </si>
  <si>
    <r>
      <t>dávka</t>
    </r>
    <r>
      <rPr>
        <vertAlign val="superscript"/>
        <sz val="10"/>
        <rFont val="Arial"/>
        <family val="2"/>
        <charset val="238"/>
      </rPr>
      <t>9</t>
    </r>
    <r>
      <rPr>
        <sz val="10"/>
        <rFont val="Arial"/>
        <family val="2"/>
        <charset val="238"/>
      </rPr>
      <t xml:space="preserve"> (ml), délka podávání (průměr 1/2 roku)</t>
    </r>
  </si>
  <si>
    <t xml:space="preserve">pac. s BMI do 39 kg/m2 </t>
  </si>
  <si>
    <r>
      <t>pac. s BMI ≥ 40-49 kg/m2</t>
    </r>
    <r>
      <rPr>
        <vertAlign val="superscript"/>
        <sz val="10"/>
        <rFont val="Arial"/>
        <family val="2"/>
        <charset val="238"/>
      </rPr>
      <t>9</t>
    </r>
  </si>
  <si>
    <t>0,4   182 dní</t>
  </si>
  <si>
    <t>2x 0,4  182 dní</t>
  </si>
  <si>
    <t>1 mg/kg 2x denně   280 dní</t>
  </si>
  <si>
    <t>Prevence trombů během hemodialýzy</t>
  </si>
  <si>
    <r>
      <t>dávka (ml)</t>
    </r>
    <r>
      <rPr>
        <vertAlign val="superscript"/>
        <sz val="10"/>
        <rFont val="Arial"/>
        <family val="2"/>
        <charset val="238"/>
      </rPr>
      <t>1</t>
    </r>
  </si>
  <si>
    <r>
      <t>enoxaparin  jednorázová dávka postačující na 4 hod dialýzu</t>
    </r>
    <r>
      <rPr>
        <vertAlign val="superscript"/>
        <sz val="10"/>
        <rFont val="Arial"/>
        <family val="2"/>
        <charset val="238"/>
      </rPr>
      <t>1</t>
    </r>
  </si>
  <si>
    <t>pacienti nerizikoví z hlediska krvácení</t>
  </si>
  <si>
    <t>pacienti rizikoví z hlediska krvácení</t>
  </si>
  <si>
    <t xml:space="preserve">1 mg/kg </t>
  </si>
  <si>
    <t>0,5 mg/kg</t>
  </si>
  <si>
    <r>
      <t>Rizikovost pacienta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, hmotnost pacienta</t>
    </r>
  </si>
  <si>
    <r>
      <t>dávka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(ml), délka podávání</t>
    </r>
    <r>
      <rPr>
        <vertAlign val="superscript"/>
        <sz val="10"/>
        <rFont val="Arial"/>
        <family val="2"/>
        <charset val="238"/>
      </rPr>
      <t>1</t>
    </r>
  </si>
  <si>
    <t>Léčba hluboké žilní trombózy a plicní embolie</t>
  </si>
  <si>
    <t>nekomplikovaní s nízkým rizikem rekurence VTE</t>
  </si>
  <si>
    <t>1,5 mg/kg 1x denně        10 dní         (do přechodu na p.o. antikoagulancia)</t>
  </si>
  <si>
    <t>komplikovaní (např. obězní, se symtomp. PE, s onko onem., s rekurentní VTE, s proxim. trombózou)</t>
  </si>
  <si>
    <t>1,0 mg/kg 2x denně        10 dní         (do přechodu na p.o. antikoagulancia)</t>
  </si>
  <si>
    <t>2x 0,4  10 dní</t>
  </si>
  <si>
    <t>2x 0,6  10 dní</t>
  </si>
  <si>
    <t>2x 0,8  10 dní</t>
  </si>
  <si>
    <t>2x 1,0  10 dní</t>
  </si>
  <si>
    <t>0,6  10 dní</t>
  </si>
  <si>
    <t>47-60kg</t>
  </si>
  <si>
    <t>≤46kg</t>
  </si>
  <si>
    <t>0,8  10 dní</t>
  </si>
  <si>
    <t>1,0  10 dní</t>
  </si>
  <si>
    <t>61-73kg</t>
  </si>
  <si>
    <t>forte 0,8  10 dní</t>
  </si>
  <si>
    <t>enoxaparin  10.000 IU/ml i 15.000 IU/ml 1-2 x denně</t>
  </si>
  <si>
    <t>74-89kg</t>
  </si>
  <si>
    <t>90-106kg - BMI max.30 !</t>
  </si>
  <si>
    <t>forte 1,0  10 dní</t>
  </si>
  <si>
    <t>enoxaparin  10.000 IU/ml 2 x denně</t>
  </si>
  <si>
    <t xml:space="preserve">1,0 mg/kg 2x denně   </t>
  </si>
  <si>
    <t>2x 0,4  3 dny</t>
  </si>
  <si>
    <t>2x 0,4  8 dní</t>
  </si>
  <si>
    <t>2x 0,6  3 dny</t>
  </si>
  <si>
    <t>2x 0,6  8 dní</t>
  </si>
  <si>
    <t>2x 0,8  3 dny</t>
  </si>
  <si>
    <t>2x 0,8  8 dní</t>
  </si>
  <si>
    <t>2x 1,0  8 dní</t>
  </si>
  <si>
    <t>2x 1,0  3 dny</t>
  </si>
  <si>
    <t>Léčba nestabilní anginy pectoris (2-8 dní), NSTEMI (2-8 dní) a STEMI (8 dní či do doby propuštění)</t>
  </si>
  <si>
    <r>
      <t xml:space="preserve">2 Lošťák J., Gallo J. Profylaxe trombóz po ortopedických operacích. </t>
    </r>
    <r>
      <rPr>
        <i/>
        <sz val="9"/>
        <color theme="1"/>
        <rFont val="Calibri"/>
        <family val="2"/>
        <charset val="238"/>
        <scheme val="minor"/>
      </rPr>
      <t>Klin Farmakol Farm</t>
    </r>
    <r>
      <rPr>
        <sz val="9"/>
        <color theme="1"/>
        <rFont val="Calibri"/>
        <family val="2"/>
        <charset val="238"/>
        <scheme val="minor"/>
      </rPr>
      <t xml:space="preserve"> 2017; 31(4): 9–13</t>
    </r>
  </si>
  <si>
    <t>13 Pai M, Douketis JD. Prevention of venous thromboembolic disease in adult nonorthopedic surgical patients. UpToDate. Topic 1339. Version 107.0</t>
  </si>
  <si>
    <t>14 Suggested doses of low molecular weight heparins in adult patients with a high body mass index (BMI). UpToDate. Graphic 65464. Version 18:0</t>
  </si>
  <si>
    <r>
      <t>Rizikovost pacienta</t>
    </r>
    <r>
      <rPr>
        <vertAlign val="superscript"/>
        <sz val="10"/>
        <rFont val="Arial"/>
        <family val="2"/>
        <charset val="238"/>
      </rPr>
      <t>13</t>
    </r>
  </si>
  <si>
    <r>
      <t>dávka</t>
    </r>
    <r>
      <rPr>
        <vertAlign val="superscript"/>
        <sz val="10"/>
        <rFont val="Arial"/>
        <family val="2"/>
        <charset val="238"/>
      </rPr>
      <t>1,14</t>
    </r>
    <r>
      <rPr>
        <sz val="10"/>
        <rFont val="Arial"/>
        <family val="2"/>
        <charset val="238"/>
      </rPr>
      <t xml:space="preserve"> (ml), délka podávání</t>
    </r>
    <r>
      <rPr>
        <vertAlign val="superscript"/>
        <sz val="10"/>
        <rFont val="Arial"/>
        <family val="2"/>
        <charset val="238"/>
      </rPr>
      <t>13</t>
    </r>
  </si>
  <si>
    <t>off label:  0,4   10 dní</t>
  </si>
  <si>
    <t>0,3   10 dní</t>
  </si>
  <si>
    <r>
      <t xml:space="preserve">enoxaparin 10.000 IU/ml  1 x denně či off-label 2x denně u extrém. obézních (BMI </t>
    </r>
    <r>
      <rPr>
        <sz val="10"/>
        <rFont val="Calibri"/>
        <family val="2"/>
        <charset val="238"/>
      </rPr>
      <t>≥</t>
    </r>
    <r>
      <rPr>
        <sz val="10"/>
        <rFont val="Arial"/>
        <family val="2"/>
        <charset val="238"/>
      </rPr>
      <t xml:space="preserve"> 40 kg/m2)</t>
    </r>
    <r>
      <rPr>
        <vertAlign val="superscript"/>
        <sz val="10"/>
        <rFont val="Arial"/>
        <family val="2"/>
        <charset val="238"/>
      </rPr>
      <t>9</t>
    </r>
    <r>
      <rPr>
        <sz val="10"/>
        <rFont val="Arial"/>
        <family val="2"/>
        <charset val="238"/>
      </rPr>
      <t xml:space="preserve"> - 1. dávka je 2 či 12 hod před operací</t>
    </r>
  </si>
  <si>
    <r>
      <t>střední riziko</t>
    </r>
    <r>
      <rPr>
        <vertAlign val="superscript"/>
        <sz val="10"/>
        <rFont val="Arial"/>
        <family val="2"/>
        <charset val="238"/>
      </rPr>
      <t>13</t>
    </r>
  </si>
  <si>
    <r>
      <t>nadroparin 9.500 IU/ml  1 x denně - 1. dávka je 2-4 hod nebo 12 hod před operací</t>
    </r>
    <r>
      <rPr>
        <vertAlign val="superscript"/>
        <sz val="10"/>
        <rFont val="Arial"/>
        <family val="2"/>
        <charset val="238"/>
      </rPr>
      <t>1</t>
    </r>
  </si>
  <si>
    <r>
      <t>50-69kg</t>
    </r>
    <r>
      <rPr>
        <vertAlign val="superscript"/>
        <sz val="10"/>
        <rFont val="Arial"/>
        <family val="2"/>
        <charset val="238"/>
      </rPr>
      <t>1</t>
    </r>
  </si>
  <si>
    <r>
      <t>vysoké riziko (břišní/ pánevní operace pro onko onem.)</t>
    </r>
    <r>
      <rPr>
        <vertAlign val="superscript"/>
        <sz val="10"/>
        <rFont val="Arial"/>
        <family val="2"/>
        <charset val="238"/>
      </rPr>
      <t>13</t>
    </r>
    <r>
      <rPr>
        <sz val="10"/>
        <rFont val="Arial"/>
        <family val="2"/>
        <charset val="238"/>
      </rPr>
      <t xml:space="preserve">          38 IU/kg 1x denně do 3. dne, pak 57 IU/kg 1x denně</t>
    </r>
  </si>
  <si>
    <t>off label:  0,3 do 3.dne</t>
  </si>
  <si>
    <t>off label:  0,4  4. - 28. den</t>
  </si>
  <si>
    <t>off label:  0,4 do 3.dne</t>
  </si>
  <si>
    <t>off label:  0,6  4. - 28. den</t>
  </si>
  <si>
    <r>
      <t>střední riziko + BMI ≥ 40 kg/m2</t>
    </r>
    <r>
      <rPr>
        <vertAlign val="superscript"/>
        <sz val="10"/>
        <rFont val="Arial"/>
        <family val="2"/>
        <charset val="238"/>
      </rPr>
      <t>14</t>
    </r>
  </si>
  <si>
    <t>off label:  0,6 do 3.dne</t>
  </si>
  <si>
    <t>off label:  0,8  4. - 28. den</t>
  </si>
  <si>
    <r>
      <t>cca 105-145kg</t>
    </r>
    <r>
      <rPr>
        <vertAlign val="superscript"/>
        <sz val="10"/>
        <rFont val="Arial"/>
        <family val="2"/>
        <charset val="238"/>
      </rPr>
      <t>14</t>
    </r>
  </si>
  <si>
    <r>
      <t>dávka</t>
    </r>
    <r>
      <rPr>
        <vertAlign val="superscript"/>
        <sz val="10"/>
        <rFont val="Arial"/>
        <family val="2"/>
        <charset val="238"/>
      </rPr>
      <t>1,14</t>
    </r>
    <r>
      <rPr>
        <sz val="10"/>
        <rFont val="Arial"/>
        <family val="2"/>
        <charset val="238"/>
      </rPr>
      <t xml:space="preserve"> (ml), délka podávání</t>
    </r>
    <r>
      <rPr>
        <vertAlign val="superscript"/>
        <sz val="10"/>
        <rFont val="Arial"/>
        <family val="2"/>
        <charset val="238"/>
      </rPr>
      <t>2</t>
    </r>
  </si>
  <si>
    <t>náhrada kyčelního/ kolenního kloubu                  38 IU/kg 1x denně do 3. dne, pak 57 IU/kg 1x denně</t>
  </si>
  <si>
    <r>
      <t>nadroparin 9.500 IU/ml  1 x denně - 1. dávka je 12 hod před operací</t>
    </r>
    <r>
      <rPr>
        <vertAlign val="superscript"/>
        <sz val="10"/>
        <rFont val="Arial"/>
        <family val="2"/>
        <charset val="238"/>
      </rPr>
      <t>1</t>
    </r>
  </si>
  <si>
    <t>0,3 do 3.dne</t>
  </si>
  <si>
    <r>
      <t>0,4  4.-35. den (úhrada jen na 28 dní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)</t>
    </r>
  </si>
  <si>
    <t>0,4 do 3.dne</t>
  </si>
  <si>
    <r>
      <t>0,6  4.-35. den (úhrada jen na 28 dní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)</t>
    </r>
  </si>
  <si>
    <r>
      <t>0,8  4.-35. den (úhrada jen na 28 dní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)</t>
    </r>
  </si>
  <si>
    <t>0,4  4.-10. den</t>
  </si>
  <si>
    <t xml:space="preserve">0,6  4.-10. den </t>
  </si>
  <si>
    <t xml:space="preserve">off label:  0,8  4.-10. den </t>
  </si>
  <si>
    <r>
      <t>0,3   7 dní po porodu</t>
    </r>
    <r>
      <rPr>
        <vertAlign val="superscript"/>
        <sz val="10"/>
        <rFont val="Arial"/>
        <family val="2"/>
        <charset val="238"/>
      </rPr>
      <t>3</t>
    </r>
  </si>
  <si>
    <t>2x 0,3   7 dní po porodu</t>
  </si>
  <si>
    <r>
      <t>dávka</t>
    </r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(ml), délka podávání</t>
    </r>
    <r>
      <rPr>
        <vertAlign val="superscript"/>
        <sz val="10"/>
        <rFont val="Arial"/>
        <family val="2"/>
        <charset val="238"/>
      </rPr>
      <t>4,6,7</t>
    </r>
  </si>
  <si>
    <r>
      <t xml:space="preserve">Prevence tromboembol. </t>
    </r>
    <r>
      <rPr>
        <b/>
        <sz val="10"/>
        <rFont val="Arial"/>
        <family val="2"/>
        <charset val="238"/>
      </rPr>
      <t xml:space="preserve">během těhotenství a periporodního </t>
    </r>
    <r>
      <rPr>
        <sz val="10"/>
        <rFont val="Arial"/>
        <family val="2"/>
        <charset val="238"/>
      </rPr>
      <t>období (</t>
    </r>
    <r>
      <rPr>
        <u/>
        <sz val="10"/>
        <rFont val="Arial"/>
        <family val="2"/>
        <charset val="238"/>
      </rPr>
      <t>off label indikace, ale je hrazená</t>
    </r>
    <r>
      <rPr>
        <sz val="10"/>
        <rFont val="Arial"/>
        <family val="2"/>
        <charset val="238"/>
      </rPr>
      <t>) - nadroparin  1-2 x denně</t>
    </r>
  </si>
  <si>
    <r>
      <t>86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-100</t>
    </r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IU/kg 2x denně   42 dní</t>
    </r>
  </si>
  <si>
    <t>˂54kg</t>
  </si>
  <si>
    <t>55-74kg</t>
  </si>
  <si>
    <t>75-94kg</t>
  </si>
  <si>
    <t>95-109kg</t>
  </si>
  <si>
    <t>poporodní terap. dávka 75-94kg (do doby nasazení VKA)</t>
  </si>
  <si>
    <r>
      <t>U PROFYL. DÁVEK NUTNÁ ÚPRAVA U EXTRÉM. HMOTNOSTÍ</t>
    </r>
    <r>
      <rPr>
        <b/>
        <vertAlign val="superscript"/>
        <sz val="8"/>
        <rFont val="Arial"/>
        <family val="2"/>
        <charset val="238"/>
      </rPr>
      <t>14</t>
    </r>
    <r>
      <rPr>
        <b/>
        <sz val="8"/>
        <rFont val="Arial"/>
        <family val="2"/>
        <charset val="238"/>
      </rPr>
      <t>,  U TERAP. MOŽNO UPRAVIT DLE ANTI-Xa</t>
    </r>
  </si>
  <si>
    <r>
      <t>0,3</t>
    </r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  140 dní</t>
    </r>
  </si>
  <si>
    <r>
      <t xml:space="preserve">0,4   140 dní  - </t>
    </r>
    <r>
      <rPr>
        <sz val="8"/>
        <rFont val="Arial"/>
        <family val="2"/>
        <charset val="238"/>
      </rPr>
      <t>dávka dle SPC</t>
    </r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pro profylaxi u vysoce rizik. pac. do 70k</t>
    </r>
    <r>
      <rPr>
        <sz val="10"/>
        <rFont val="Arial"/>
        <family val="2"/>
        <charset val="238"/>
      </rPr>
      <t>g</t>
    </r>
  </si>
  <si>
    <r>
      <t>0,4   7 dní po porodu -</t>
    </r>
    <r>
      <rPr>
        <sz val="8"/>
        <rFont val="Arial"/>
        <family val="2"/>
        <charset val="238"/>
      </rPr>
      <t>dávka dle SPC</t>
    </r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pro profylaxi u vysoce rizik. pac. do 70k</t>
    </r>
    <r>
      <rPr>
        <sz val="10"/>
        <rFont val="Arial"/>
        <family val="2"/>
        <charset val="238"/>
      </rPr>
      <t>g</t>
    </r>
  </si>
  <si>
    <t>2x 0,3   140 dní</t>
  </si>
  <si>
    <t>2x 0,3   280 dní</t>
  </si>
  <si>
    <r>
      <t xml:space="preserve">0,4   280 dní  - </t>
    </r>
    <r>
      <rPr>
        <sz val="8"/>
        <rFont val="Arial"/>
        <family val="2"/>
        <charset val="238"/>
      </rPr>
      <t>dávka dle SPC</t>
    </r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pro profylaxi u vysoce rizik. pac. do 70k</t>
    </r>
    <r>
      <rPr>
        <sz val="10"/>
        <rFont val="Arial"/>
        <family val="2"/>
        <charset val="238"/>
      </rPr>
      <t>g</t>
    </r>
  </si>
  <si>
    <t>ostatní operace (např. artroskopie kolene, operace nohy)             38 IU/kg 1x denně do 3. dne, pak 57 IU/kg 1x denně</t>
  </si>
  <si>
    <r>
      <t>86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-100</t>
    </r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IU/kg 2x denně   280 dní</t>
    </r>
  </si>
  <si>
    <r>
      <t>0,3</t>
    </r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  280 dní</t>
    </r>
  </si>
  <si>
    <r>
      <t>CAVE! V TÉTO INDIKACI NEJSOU V UPTODATE</t>
    </r>
    <r>
      <rPr>
        <b/>
        <u/>
        <vertAlign val="superscript"/>
        <sz val="9"/>
        <rFont val="Arial"/>
        <family val="2"/>
        <charset val="238"/>
      </rPr>
      <t>6</t>
    </r>
    <r>
      <rPr>
        <b/>
        <u/>
        <sz val="9"/>
        <rFont val="Arial"/>
        <family val="2"/>
        <charset val="238"/>
      </rPr>
      <t xml:space="preserve"> K NADROPARINU (OPROTI ENOXAPARINU) KONKRÉTNÍ ÚDAJE O DÁVKOVÁNÍ </t>
    </r>
  </si>
  <si>
    <r>
      <t xml:space="preserve">Prevence tromboembol. choroby u pac. s </t>
    </r>
    <r>
      <rPr>
        <b/>
        <sz val="10"/>
        <rFont val="Arial"/>
        <family val="2"/>
        <charset val="238"/>
      </rPr>
      <t xml:space="preserve">nekomplikovanou SVT a se středním rizikem HŽT </t>
    </r>
    <r>
      <rPr>
        <sz val="10"/>
        <rFont val="Arial"/>
        <family val="2"/>
        <charset val="238"/>
      </rPr>
      <t xml:space="preserve">- </t>
    </r>
    <r>
      <rPr>
        <u/>
        <sz val="10"/>
        <rFont val="Arial"/>
        <family val="2"/>
        <charset val="238"/>
      </rPr>
      <t>off label indikace, ale je hrazená</t>
    </r>
  </si>
  <si>
    <r>
      <t xml:space="preserve">Prevence tromboembol. </t>
    </r>
    <r>
      <rPr>
        <b/>
        <sz val="10"/>
        <rFont val="Arial"/>
        <family val="2"/>
        <charset val="238"/>
      </rPr>
      <t xml:space="preserve">během těhotenství a periporodního </t>
    </r>
    <r>
      <rPr>
        <sz val="10"/>
        <rFont val="Arial"/>
        <family val="2"/>
        <charset val="238"/>
      </rPr>
      <t>období (</t>
    </r>
    <r>
      <rPr>
        <u/>
        <sz val="10"/>
        <rFont val="Arial"/>
        <family val="2"/>
        <charset val="238"/>
      </rPr>
      <t>off label indikace, ale je hrazená</t>
    </r>
    <r>
      <rPr>
        <sz val="10"/>
        <rFont val="Arial"/>
        <family val="2"/>
        <charset val="238"/>
      </rPr>
      <t>)- enoxaparin  1-2 x denně</t>
    </r>
  </si>
  <si>
    <r>
      <t>CAVE! V TÉTO INDIKACI NEJSOU V UPTODATE</t>
    </r>
    <r>
      <rPr>
        <b/>
        <u/>
        <vertAlign val="superscript"/>
        <sz val="9"/>
        <rFont val="Arial"/>
        <family val="2"/>
        <charset val="238"/>
      </rPr>
      <t>5</t>
    </r>
    <r>
      <rPr>
        <b/>
        <u/>
        <sz val="9"/>
        <rFont val="Arial"/>
        <family val="2"/>
        <charset val="238"/>
      </rPr>
      <t xml:space="preserve"> K NADROPARINU (OPROTI ENOXAPARINU) KONKRÉTNÍ ÚDAJE O DÁVKOVÁNÍ </t>
    </r>
  </si>
  <si>
    <t xml:space="preserve">nadroparin 9.500 IU/ml  1 x denně    1 x denně </t>
  </si>
  <si>
    <t>≤ 70kg</t>
  </si>
  <si>
    <t>˃ 70kg</t>
  </si>
  <si>
    <r>
      <t>˃ 70kg  +  BMI ≥ 40 kg/m2</t>
    </r>
    <r>
      <rPr>
        <vertAlign val="superscript"/>
        <sz val="10"/>
        <rFont val="Arial"/>
        <family val="2"/>
        <charset val="238"/>
      </rPr>
      <t>14</t>
    </r>
  </si>
  <si>
    <t>0,6   45 dní</t>
  </si>
  <si>
    <r>
      <t>dávka</t>
    </r>
    <r>
      <rPr>
        <vertAlign val="superscript"/>
        <sz val="10"/>
        <rFont val="Arial"/>
        <family val="2"/>
        <charset val="238"/>
      </rPr>
      <t>1,14</t>
    </r>
    <r>
      <rPr>
        <sz val="10"/>
        <rFont val="Arial"/>
        <family val="2"/>
        <charset val="238"/>
      </rPr>
      <t xml:space="preserve"> (ml), délka podávání</t>
    </r>
    <r>
      <rPr>
        <vertAlign val="superscript"/>
        <sz val="10"/>
        <rFont val="Arial"/>
        <family val="2"/>
        <charset val="238"/>
      </rPr>
      <t>5</t>
    </r>
  </si>
  <si>
    <t>0,8   45 dní</t>
  </si>
  <si>
    <r>
      <t>Rizikovost pacienta</t>
    </r>
    <r>
      <rPr>
        <vertAlign val="superscript"/>
        <sz val="10"/>
        <rFont val="Arial"/>
        <family val="2"/>
        <charset val="238"/>
      </rPr>
      <t>5</t>
    </r>
    <r>
      <rPr>
        <sz val="10"/>
        <rFont val="Arial"/>
        <family val="2"/>
        <charset val="238"/>
      </rPr>
      <t xml:space="preserve"> - trombus ˃ 5cm délky v GSV, AASV či SSV, nebo trombus v těchto žílách 3-5cm od SFJ či SPJ</t>
    </r>
  </si>
  <si>
    <t>s kratší hospitalizací a ≤ 70kg</t>
  </si>
  <si>
    <t>s kratší hospitalizací a ˃ 70kg</t>
  </si>
  <si>
    <r>
      <t>s kratší hospitalizací a ˃ 70kg  +  BMI ≥ 40 kg/m2</t>
    </r>
    <r>
      <rPr>
        <vertAlign val="superscript"/>
        <sz val="10"/>
        <rFont val="Arial"/>
        <family val="2"/>
        <charset val="238"/>
      </rPr>
      <t>14</t>
    </r>
  </si>
  <si>
    <t>s delší hospitalizací a ≤ 70kg</t>
  </si>
  <si>
    <t>s delší hospitalizací a ˃ 70kg</t>
  </si>
  <si>
    <r>
      <t>s delší hospitalizací a ˃ 70kg  +  BMI ≥ 40 kg/m2</t>
    </r>
    <r>
      <rPr>
        <vertAlign val="superscript"/>
        <sz val="10"/>
        <rFont val="Arial"/>
        <family val="2"/>
        <charset val="238"/>
      </rPr>
      <t>14</t>
    </r>
  </si>
  <si>
    <t>0,6   6 dní</t>
  </si>
  <si>
    <t>0,6   14 dní</t>
  </si>
  <si>
    <r>
      <t>CHT,  s Khorana skóre ≥ 3, s anamnézou nevyprovokované HŽT/ PE nesouvisející s onko.onem.</t>
    </r>
    <r>
      <rPr>
        <vertAlign val="superscript"/>
        <sz val="10"/>
        <rFont val="Arial"/>
        <family val="2"/>
        <charset val="238"/>
      </rPr>
      <t>12</t>
    </r>
    <r>
      <rPr>
        <sz val="10"/>
        <rFont val="Arial"/>
        <family val="2"/>
        <charset val="238"/>
      </rPr>
      <t xml:space="preserve"> - </t>
    </r>
    <r>
      <rPr>
        <u/>
        <sz val="10"/>
        <rFont val="Arial"/>
        <family val="2"/>
        <charset val="238"/>
      </rPr>
      <t>off label indikace, ale je hrazená</t>
    </r>
  </si>
  <si>
    <t>off label: 0,8   6 dní</t>
  </si>
  <si>
    <t>off label: 0,8   14 dní</t>
  </si>
  <si>
    <r>
      <t>Rizikovost pacienta</t>
    </r>
    <r>
      <rPr>
        <vertAlign val="superscript"/>
        <sz val="10"/>
        <rFont val="Arial"/>
        <family val="2"/>
        <charset val="238"/>
      </rPr>
      <t>14</t>
    </r>
  </si>
  <si>
    <r>
      <t>dávka</t>
    </r>
    <r>
      <rPr>
        <vertAlign val="superscript"/>
        <sz val="10"/>
        <rFont val="Arial"/>
        <family val="2"/>
        <charset val="238"/>
      </rPr>
      <t>1,14</t>
    </r>
    <r>
      <rPr>
        <sz val="10"/>
        <rFont val="Arial"/>
        <family val="2"/>
        <charset val="238"/>
      </rPr>
      <t xml:space="preserve"> (ml), délka podávání                dle SPC Clexane</t>
    </r>
    <r>
      <rPr>
        <vertAlign val="superscript"/>
        <sz val="10"/>
        <rFont val="Arial"/>
        <family val="2"/>
        <charset val="238"/>
      </rPr>
      <t>1</t>
    </r>
  </si>
  <si>
    <r>
      <t>dávka</t>
    </r>
    <r>
      <rPr>
        <vertAlign val="superscript"/>
        <sz val="10"/>
        <rFont val="Arial"/>
        <family val="2"/>
        <charset val="238"/>
      </rPr>
      <t>1,14</t>
    </r>
    <r>
      <rPr>
        <sz val="10"/>
        <rFont val="Arial"/>
        <family val="2"/>
        <charset val="238"/>
      </rPr>
      <t xml:space="preserve"> (ml), délka podávání (průměr 1/2 roku)</t>
    </r>
  </si>
  <si>
    <t>0,6   182 dní</t>
  </si>
  <si>
    <t>0,8   182 dní</t>
  </si>
  <si>
    <r>
      <t>nadroparin  jednorázová dávka postačující na 4 hod dialýzu</t>
    </r>
    <r>
      <rPr>
        <vertAlign val="superscript"/>
        <sz val="10"/>
        <rFont val="Arial"/>
        <family val="2"/>
        <charset val="238"/>
      </rPr>
      <t>1</t>
    </r>
  </si>
  <si>
    <r>
      <t>≥ 70 - cca 104kg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</t>
    </r>
  </si>
  <si>
    <t>≥ 70 - cca 104</t>
  </si>
  <si>
    <t>50% dávka</t>
  </si>
  <si>
    <t>bezohledu na rizikovost</t>
  </si>
  <si>
    <t>nadroparin  9.500 IU/ml 2x denně / 19.000 IU/ml 1x denně</t>
  </si>
  <si>
    <t>86 IU/kg 2x denně či 171 IU/kg 1x denně    10 dní (do přechodu na p.o. antikoagul.)</t>
  </si>
  <si>
    <t>forte 0,6  10 dní</t>
  </si>
  <si>
    <t xml:space="preserve">nadroparin  9.500 IU/ml 2x denně </t>
  </si>
  <si>
    <r>
      <t xml:space="preserve">15 Tousek P. Incidence, treatment strategies and outcomes of acute coronary syndrome with and without ongoing myocardial ischaemia: results from the CZECH-3 registry. </t>
    </r>
    <r>
      <rPr>
        <i/>
        <sz val="9"/>
        <color theme="1"/>
        <rFont val="Calibri"/>
        <family val="2"/>
        <charset val="238"/>
        <scheme val="minor"/>
      </rPr>
      <t xml:space="preserve">European Heart Journal: Acute Cardiovascular Care </t>
    </r>
    <r>
      <rPr>
        <sz val="9"/>
        <color theme="1"/>
        <rFont val="Calibri"/>
        <family val="2"/>
        <charset val="238"/>
        <scheme val="minor"/>
      </rPr>
      <t>2019, Vol. 8(8) 687–694.</t>
    </r>
  </si>
  <si>
    <t>Léčba nestabilní anginy pectoris (tzv. UAP, 2-8 dní), NSTEMI (2-8 dní) a STEMI (8 dní či do doby propuštění)</t>
  </si>
  <si>
    <t>z toho pacienti:</t>
  </si>
  <si>
    <r>
      <t>se STEMI (cca 37% dle</t>
    </r>
    <r>
      <rPr>
        <vertAlign val="superscript"/>
        <sz val="8"/>
        <rFont val="Arial"/>
        <family val="2"/>
        <charset val="238"/>
      </rPr>
      <t>15</t>
    </r>
    <r>
      <rPr>
        <sz val="8"/>
        <rFont val="Arial"/>
        <family val="2"/>
        <charset val="238"/>
      </rPr>
      <t xml:space="preserve">) </t>
    </r>
  </si>
  <si>
    <r>
      <t>s non-STEMI (non-Q) a UAP (cca 63% dle</t>
    </r>
    <r>
      <rPr>
        <vertAlign val="superscript"/>
        <sz val="8"/>
        <rFont val="Arial"/>
        <family val="2"/>
        <charset val="238"/>
      </rPr>
      <t>15</t>
    </r>
    <r>
      <rPr>
        <sz val="8"/>
        <rFont val="Arial"/>
        <family val="2"/>
        <charset val="238"/>
      </rPr>
      <t xml:space="preserve">) </t>
    </r>
  </si>
  <si>
    <t>-</t>
  </si>
  <si>
    <t xml:space="preserve">86 IU/kg 2x denně   </t>
  </si>
  <si>
    <r>
      <t>dávka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(ml), délka podávání dle SPC Clexane, dle SPC Fraxipar. je obvykle 6 dní</t>
    </r>
    <r>
      <rPr>
        <vertAlign val="superscript"/>
        <sz val="9"/>
        <rFont val="Arial"/>
        <family val="2"/>
        <charset val="238"/>
      </rPr>
      <t>1</t>
    </r>
  </si>
  <si>
    <r>
      <t>CAVE! V INDIKACI STEMI NEJSOU V UPTODATE</t>
    </r>
    <r>
      <rPr>
        <b/>
        <u/>
        <vertAlign val="superscript"/>
        <sz val="9"/>
        <rFont val="Arial"/>
        <family val="2"/>
        <charset val="238"/>
      </rPr>
      <t>16</t>
    </r>
    <r>
      <rPr>
        <b/>
        <u/>
        <sz val="9"/>
        <rFont val="Arial"/>
        <family val="2"/>
        <charset val="238"/>
      </rPr>
      <t xml:space="preserve"> K NADROPARINU (OPROTI ENOXAPARINU) DATA !!</t>
    </r>
  </si>
  <si>
    <t>16 Lincoff AM, Cutlip D. Acute ST-elevation myocardial infarction: Management of anticoagulation. UpToDate. Topic 92 Version 65.0</t>
  </si>
  <si>
    <r>
      <t>Léčba JEN (dle SPC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>) !!! nestabilní anginy pectoris a NSTEMI (u obojího léčba trvá obvykle 6 dní).</t>
    </r>
  </si>
  <si>
    <t>se STEMI - pac. mohou mít jen enoxaparin !!!</t>
  </si>
  <si>
    <t>15 pacientů (70% doby podávano během hospitalizace)</t>
  </si>
  <si>
    <t>10 pacientů (22% doby podávano během hospitalizace)</t>
  </si>
  <si>
    <t>3 pac. s profylaxí během těhotenství (10% doby podávano během hospitalizace)</t>
  </si>
  <si>
    <t>2 pac. s poporodní profylaxí (80% doby podávano během hospitalizace)</t>
  </si>
  <si>
    <t>5 pacientů (100% doby ambulatně)</t>
  </si>
  <si>
    <t>pac. s BMI do 39 kg/m2 s kratší hospitalizací se sníženou dávkou</t>
  </si>
  <si>
    <t>0,2   6 dní</t>
  </si>
  <si>
    <t>pac. s BMI do 39 kg/m2 s delší hospitalizací se sníženou dávkou</t>
  </si>
  <si>
    <t>0,2   14 dní</t>
  </si>
  <si>
    <t>25 pacientů (100% doby podávano během hospitalizace)</t>
  </si>
  <si>
    <t>10 pacientů (100% doby ambulatně)</t>
  </si>
  <si>
    <t>5 pacientů (50% doby podáno během hospitalizace)</t>
  </si>
  <si>
    <t>20 pacientů (20% doby podávané během hospitalizace)</t>
  </si>
  <si>
    <t>5 pacientů (100% doby podávané během hospitalizace)</t>
  </si>
  <si>
    <t xml:space="preserve">CELKEM ZA 100 PACIENTŮ: </t>
  </si>
  <si>
    <t>3 pacientek s profylaxí během těhotenství (10% doby podávano během hospitalizace)</t>
  </si>
  <si>
    <t>2 pacientek s poporodní profylaxí (80% doby podávano během hospitalizace)</t>
  </si>
  <si>
    <t>0,3   6 dní</t>
  </si>
  <si>
    <t>s kratší hospitalizací a ≤ 70kg snížená dávka</t>
  </si>
  <si>
    <t>s delší hospitalizací a ≤ 70kg snížená dávka</t>
  </si>
  <si>
    <t>0,3   14 dní</t>
  </si>
  <si>
    <t>CAVE! DÁVKOVÁNÍ UZPŮSOBENO DLE SUDÝCH OBJEMŮ PŘÍPRAVKŮ NA TRHU - TZN. OPROTI SPC ČÁSTEČNĚ OFF-LABEL!!!!!</t>
  </si>
  <si>
    <t>jednotková cena (NC) s DPH k 11.4.2023</t>
  </si>
  <si>
    <t>jednotková cena (NC) s DPH při zohlednění obrat. bonusů k 11.4.2023</t>
  </si>
  <si>
    <r>
      <t>poměr ceny vůči nejlevnějšímu  (</t>
    </r>
    <r>
      <rPr>
        <b/>
        <i/>
        <u/>
        <sz val="9"/>
        <color theme="1"/>
        <rFont val="Calibri"/>
        <family val="2"/>
        <charset val="238"/>
        <scheme val="minor"/>
      </rPr>
      <t>profylaxe jen chirurgická u středního rizika !</t>
    </r>
    <r>
      <rPr>
        <b/>
        <u/>
        <sz val="9"/>
        <color theme="1"/>
        <rFont val="Calibri"/>
        <family val="2"/>
        <charset val="238"/>
        <scheme val="minor"/>
      </rPr>
      <t>)</t>
    </r>
  </si>
  <si>
    <r>
      <t xml:space="preserve">cena za denní léčbu (při 1x denně - </t>
    </r>
    <r>
      <rPr>
        <b/>
        <u/>
        <sz val="10"/>
        <color theme="1"/>
        <rFont val="Calibri"/>
        <family val="2"/>
        <charset val="238"/>
        <scheme val="minor"/>
      </rPr>
      <t>zvýrazněno 76-89kg</t>
    </r>
    <r>
      <rPr>
        <b/>
        <sz val="10"/>
        <color theme="1"/>
        <rFont val="Calibri"/>
        <family val="2"/>
        <charset val="238"/>
        <scheme val="minor"/>
      </rPr>
      <t>)</t>
    </r>
  </si>
  <si>
    <t>V TERAPII 2x DENNĚ U KOMPLIK. PACIENTA!</t>
  </si>
  <si>
    <r>
      <t xml:space="preserve">cena za denní léčbu (při 2x denně  - </t>
    </r>
    <r>
      <rPr>
        <b/>
        <u/>
        <sz val="10"/>
        <color theme="1"/>
        <rFont val="Calibri"/>
        <family val="2"/>
        <charset val="238"/>
        <scheme val="minor"/>
      </rPr>
      <t>zvýrazněno 76-89kg</t>
    </r>
    <r>
      <rPr>
        <b/>
        <sz val="10"/>
        <color theme="1"/>
        <rFont val="Calibri"/>
        <family val="2"/>
        <charset val="238"/>
        <scheme val="minor"/>
      </rPr>
      <t>)</t>
    </r>
  </si>
  <si>
    <t>Není na trhu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</si>
</sst>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#,##0\ &quot;Kč&quot;"/>
    <numFmt numFmtId="166" formatCode="0.0"/>
    <numFmt numFmtId="167" formatCode="0.0%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vertAlign val="superscript"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5" tint="-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u/>
      <sz val="9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u/>
      <sz val="7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u/>
      <sz val="7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i/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u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u/>
      <sz val="9"/>
      <name val="Arial"/>
      <family val="2"/>
      <charset val="238"/>
    </font>
    <font>
      <b/>
      <u/>
      <vertAlign val="superscript"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7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19" fillId="7" borderId="5" xfId="0" applyNumberFormat="1" applyFont="1" applyFill="1" applyBorder="1" applyAlignment="1">
      <alignment horizontal="center" vertical="center" wrapText="1"/>
    </xf>
    <xf numFmtId="2" fontId="19" fillId="8" borderId="5" xfId="0" applyNumberFormat="1" applyFont="1" applyFill="1" applyBorder="1" applyAlignment="1">
      <alignment horizontal="center" vertical="center" wrapText="1"/>
    </xf>
    <xf numFmtId="165" fontId="18" fillId="0" borderId="5" xfId="0" applyNumberFormat="1" applyFont="1" applyFill="1" applyBorder="1" applyAlignment="1">
      <alignment horizontal="center" vertical="center" wrapText="1"/>
    </xf>
    <xf numFmtId="10" fontId="15" fillId="0" borderId="3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/>
    <xf numFmtId="2" fontId="0" fillId="0" borderId="0" xfId="0" applyNumberFormat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19" fillId="9" borderId="5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>
      <alignment horizontal="center" vertical="center" wrapText="1"/>
    </xf>
    <xf numFmtId="164" fontId="19" fillId="0" borderId="5" xfId="0" applyNumberFormat="1" applyFont="1" applyFill="1" applyBorder="1" applyAlignment="1">
      <alignment horizontal="center" vertical="center" wrapText="1"/>
    </xf>
    <xf numFmtId="2" fontId="19" fillId="10" borderId="5" xfId="0" applyNumberFormat="1" applyFont="1" applyFill="1" applyBorder="1" applyAlignment="1">
      <alignment horizontal="center" vertical="center" wrapText="1"/>
    </xf>
    <xf numFmtId="2" fontId="19" fillId="0" borderId="5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164" fontId="24" fillId="0" borderId="4" xfId="0" applyNumberFormat="1" applyFont="1" applyFill="1" applyBorder="1" applyAlignment="1">
      <alignment horizontal="center" vertical="center" wrapText="1"/>
    </xf>
    <xf numFmtId="165" fontId="24" fillId="0" borderId="4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5" fillId="0" borderId="4" xfId="0" applyNumberFormat="1" applyFont="1" applyFill="1" applyBorder="1" applyAlignment="1">
      <alignment horizontal="center" vertical="center" wrapText="1"/>
    </xf>
    <xf numFmtId="164" fontId="26" fillId="0" borderId="4" xfId="0" applyNumberFormat="1" applyFont="1" applyFill="1" applyBorder="1" applyAlignment="1">
      <alignment horizontal="center" vertical="center" wrapText="1"/>
    </xf>
    <xf numFmtId="165" fontId="26" fillId="0" borderId="1" xfId="0" applyNumberFormat="1" applyFont="1" applyFill="1" applyBorder="1" applyAlignment="1">
      <alignment horizontal="center" vertical="center" wrapText="1"/>
    </xf>
    <xf numFmtId="165" fontId="25" fillId="0" borderId="5" xfId="0" applyNumberFormat="1" applyFont="1" applyFill="1" applyBorder="1" applyAlignment="1">
      <alignment horizontal="center" vertical="center" wrapText="1"/>
    </xf>
    <xf numFmtId="9" fontId="0" fillId="0" borderId="0" xfId="1" applyFont="1"/>
    <xf numFmtId="165" fontId="20" fillId="0" borderId="0" xfId="0" applyNumberFormat="1" applyFont="1" applyFill="1"/>
    <xf numFmtId="0" fontId="0" fillId="0" borderId="0" xfId="0" applyFill="1"/>
    <xf numFmtId="2" fontId="0" fillId="0" borderId="0" xfId="0" applyNumberFormat="1" applyFill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21" fillId="0" borderId="0" xfId="0" applyFont="1"/>
    <xf numFmtId="164" fontId="24" fillId="5" borderId="4" xfId="0" applyNumberFormat="1" applyFont="1" applyFill="1" applyBorder="1" applyAlignment="1">
      <alignment horizontal="center" vertical="center" wrapText="1"/>
    </xf>
    <xf numFmtId="164" fontId="36" fillId="0" borderId="4" xfId="0" applyNumberFormat="1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166" fontId="19" fillId="6" borderId="5" xfId="0" applyNumberFormat="1" applyFont="1" applyFill="1" applyBorder="1" applyAlignment="1">
      <alignment horizontal="center" vertical="center" wrapText="1"/>
    </xf>
    <xf numFmtId="166" fontId="19" fillId="14" borderId="5" xfId="0" applyNumberFormat="1" applyFont="1" applyFill="1" applyBorder="1" applyAlignment="1">
      <alignment horizontal="center" vertical="center" wrapText="1"/>
    </xf>
    <xf numFmtId="166" fontId="19" fillId="7" borderId="5" xfId="0" applyNumberFormat="1" applyFont="1" applyFill="1" applyBorder="1" applyAlignment="1">
      <alignment horizontal="center" vertical="center" wrapText="1"/>
    </xf>
    <xf numFmtId="166" fontId="19" fillId="8" borderId="5" xfId="0" applyNumberFormat="1" applyFont="1" applyFill="1" applyBorder="1" applyAlignment="1">
      <alignment horizontal="center" vertical="center" wrapText="1"/>
    </xf>
    <xf numFmtId="166" fontId="28" fillId="6" borderId="5" xfId="0" applyNumberFormat="1" applyFont="1" applyFill="1" applyBorder="1" applyAlignment="1">
      <alignment horizontal="center" vertical="center" wrapText="1"/>
    </xf>
    <xf numFmtId="166" fontId="38" fillId="14" borderId="5" xfId="0" applyNumberFormat="1" applyFont="1" applyFill="1" applyBorder="1" applyAlignment="1">
      <alignment horizontal="center" vertical="center" wrapText="1"/>
    </xf>
    <xf numFmtId="166" fontId="38" fillId="7" borderId="5" xfId="0" applyNumberFormat="1" applyFont="1" applyFill="1" applyBorder="1" applyAlignment="1">
      <alignment horizontal="center" vertical="center" wrapText="1"/>
    </xf>
    <xf numFmtId="166" fontId="38" fillId="8" borderId="5" xfId="0" applyNumberFormat="1" applyFont="1" applyFill="1" applyBorder="1" applyAlignment="1">
      <alignment horizontal="center" vertical="center" wrapText="1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8" fillId="7" borderId="5" xfId="0" applyNumberFormat="1" applyFont="1" applyFill="1" applyBorder="1" applyAlignment="1">
      <alignment horizontal="center" vertical="center" wrapText="1"/>
    </xf>
    <xf numFmtId="166" fontId="30" fillId="0" borderId="5" xfId="0" applyNumberFormat="1" applyFont="1" applyFill="1" applyBorder="1" applyAlignment="1">
      <alignment horizontal="center" vertical="center" wrapText="1"/>
    </xf>
    <xf numFmtId="166" fontId="18" fillId="0" borderId="5" xfId="0" applyNumberFormat="1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6" fontId="19" fillId="9" borderId="5" xfId="0" applyNumberFormat="1" applyFont="1" applyFill="1" applyBorder="1" applyAlignment="1">
      <alignment horizontal="center" vertical="center" wrapText="1"/>
    </xf>
    <xf numFmtId="166" fontId="19" fillId="0" borderId="5" xfId="0" applyNumberFormat="1" applyFont="1" applyFill="1" applyBorder="1" applyAlignment="1">
      <alignment horizontal="center" vertical="center" wrapText="1"/>
    </xf>
    <xf numFmtId="166" fontId="19" fillId="10" borderId="5" xfId="0" applyNumberFormat="1" applyFont="1" applyFill="1" applyBorder="1" applyAlignment="1">
      <alignment horizontal="center" vertical="center" wrapText="1"/>
    </xf>
    <xf numFmtId="166" fontId="27" fillId="0" borderId="5" xfId="0" applyNumberFormat="1" applyFont="1" applyFill="1" applyBorder="1" applyAlignment="1">
      <alignment horizontal="center" vertical="center" wrapText="1"/>
    </xf>
    <xf numFmtId="166" fontId="28" fillId="0" borderId="5" xfId="0" applyNumberFormat="1" applyFont="1" applyFill="1" applyBorder="1" applyAlignment="1">
      <alignment horizontal="center" vertical="center" wrapText="1"/>
    </xf>
    <xf numFmtId="164" fontId="0" fillId="6" borderId="4" xfId="0" applyNumberFormat="1" applyFont="1" applyFill="1" applyBorder="1" applyAlignment="1">
      <alignment horizontal="center" vertical="center" wrapText="1"/>
    </xf>
    <xf numFmtId="164" fontId="24" fillId="6" borderId="4" xfId="0" applyNumberFormat="1" applyFont="1" applyFill="1" applyBorder="1" applyAlignment="1">
      <alignment horizontal="center" vertical="center" wrapText="1"/>
    </xf>
    <xf numFmtId="164" fontId="39" fillId="12" borderId="7" xfId="0" applyNumberFormat="1" applyFont="1" applyFill="1" applyBorder="1" applyAlignment="1">
      <alignment horizontal="center" vertical="center" wrapText="1"/>
    </xf>
    <xf numFmtId="164" fontId="39" fillId="13" borderId="4" xfId="0" applyNumberFormat="1" applyFont="1" applyFill="1" applyBorder="1" applyAlignment="1">
      <alignment horizontal="center" vertical="center" wrapText="1"/>
    </xf>
    <xf numFmtId="164" fontId="40" fillId="0" borderId="4" xfId="0" applyNumberFormat="1" applyFont="1" applyFill="1" applyBorder="1" applyAlignment="1">
      <alignment horizontal="center" vertical="center" wrapText="1"/>
    </xf>
    <xf numFmtId="164" fontId="39" fillId="12" borderId="4" xfId="0" applyNumberFormat="1" applyFont="1" applyFill="1" applyBorder="1" applyAlignment="1">
      <alignment horizontal="center" vertical="center" wrapText="1"/>
    </xf>
    <xf numFmtId="164" fontId="41" fillId="0" borderId="4" xfId="0" applyNumberFormat="1" applyFont="1" applyFill="1" applyBorder="1" applyAlignment="1">
      <alignment horizontal="center" vertical="center" wrapText="1"/>
    </xf>
    <xf numFmtId="164" fontId="39" fillId="15" borderId="4" xfId="0" applyNumberFormat="1" applyFont="1" applyFill="1" applyBorder="1" applyAlignment="1">
      <alignment horizontal="center" vertical="center" wrapText="1"/>
    </xf>
    <xf numFmtId="164" fontId="42" fillId="0" borderId="4" xfId="0" applyNumberFormat="1" applyFont="1" applyFill="1" applyBorder="1" applyAlignment="1">
      <alignment horizontal="center" vertical="center" wrapText="1"/>
    </xf>
    <xf numFmtId="166" fontId="43" fillId="9" borderId="5" xfId="0" applyNumberFormat="1" applyFont="1" applyFill="1" applyBorder="1" applyAlignment="1">
      <alignment horizontal="center" vertical="center" wrapText="1"/>
    </xf>
    <xf numFmtId="166" fontId="43" fillId="10" borderId="5" xfId="0" applyNumberFormat="1" applyFont="1" applyFill="1" applyBorder="1" applyAlignment="1">
      <alignment horizontal="center" vertical="center" wrapText="1"/>
    </xf>
    <xf numFmtId="164" fontId="36" fillId="10" borderId="4" xfId="0" applyNumberFormat="1" applyFont="1" applyFill="1" applyBorder="1" applyAlignment="1">
      <alignment horizontal="center" vertical="center" wrapText="1"/>
    </xf>
    <xf numFmtId="164" fontId="2" fillId="10" borderId="4" xfId="0" applyNumberFormat="1" applyFont="1" applyFill="1" applyBorder="1" applyAlignment="1">
      <alignment horizontal="center" vertical="center" wrapText="1"/>
    </xf>
    <xf numFmtId="164" fontId="12" fillId="10" borderId="4" xfId="0" applyNumberFormat="1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164" fontId="44" fillId="10" borderId="4" xfId="0" applyNumberFormat="1" applyFont="1" applyFill="1" applyBorder="1" applyAlignment="1">
      <alignment horizontal="center" vertical="center" wrapText="1"/>
    </xf>
    <xf numFmtId="164" fontId="36" fillId="0" borderId="1" xfId="0" applyNumberFormat="1" applyFont="1" applyFill="1" applyBorder="1" applyAlignment="1">
      <alignment horizontal="center" vertical="center" wrapText="1"/>
    </xf>
    <xf numFmtId="0" fontId="45" fillId="16" borderId="8" xfId="0" applyFont="1" applyFill="1" applyBorder="1"/>
    <xf numFmtId="0" fontId="45" fillId="16" borderId="9" xfId="0" applyFont="1" applyFill="1" applyBorder="1"/>
    <xf numFmtId="0" fontId="45" fillId="0" borderId="11" xfId="0" applyFont="1" applyBorder="1"/>
    <xf numFmtId="0" fontId="45" fillId="17" borderId="12" xfId="0" applyFont="1" applyFill="1" applyBorder="1"/>
    <xf numFmtId="0" fontId="45" fillId="0" borderId="0" xfId="0" applyFont="1" applyFill="1" applyBorder="1"/>
    <xf numFmtId="0" fontId="45" fillId="0" borderId="0" xfId="0" applyFont="1" applyFill="1" applyBorder="1" applyAlignment="1">
      <alignment horizontal="center"/>
    </xf>
    <xf numFmtId="0" fontId="45" fillId="0" borderId="0" xfId="0" applyFont="1"/>
    <xf numFmtId="0" fontId="46" fillId="16" borderId="8" xfId="0" applyFont="1" applyFill="1" applyBorder="1" applyAlignment="1">
      <alignment horizontal="left"/>
    </xf>
    <xf numFmtId="0" fontId="45" fillId="0" borderId="14" xfId="0" applyFont="1" applyFill="1" applyBorder="1" applyAlignment="1">
      <alignment horizontal="center"/>
    </xf>
    <xf numFmtId="0" fontId="45" fillId="16" borderId="16" xfId="0" applyFont="1" applyFill="1" applyBorder="1"/>
    <xf numFmtId="0" fontId="45" fillId="16" borderId="17" xfId="0" applyFont="1" applyFill="1" applyBorder="1"/>
    <xf numFmtId="0" fontId="45" fillId="16" borderId="18" xfId="0" applyFont="1" applyFill="1" applyBorder="1"/>
    <xf numFmtId="0" fontId="45" fillId="16" borderId="19" xfId="0" applyFont="1" applyFill="1" applyBorder="1"/>
    <xf numFmtId="0" fontId="45" fillId="0" borderId="0" xfId="0" applyFont="1" applyBorder="1"/>
    <xf numFmtId="0" fontId="45" fillId="0" borderId="21" xfId="0" applyFont="1" applyBorder="1" applyAlignment="1">
      <alignment horizontal="center"/>
    </xf>
    <xf numFmtId="9" fontId="45" fillId="0" borderId="23" xfId="0" applyNumberFormat="1" applyFont="1" applyBorder="1" applyAlignment="1">
      <alignment horizontal="center"/>
    </xf>
    <xf numFmtId="0" fontId="45" fillId="17" borderId="24" xfId="0" applyFont="1" applyFill="1" applyBorder="1"/>
    <xf numFmtId="0" fontId="45" fillId="0" borderId="0" xfId="0" applyFont="1" applyBorder="1" applyAlignment="1">
      <alignment horizontal="center"/>
    </xf>
    <xf numFmtId="0" fontId="46" fillId="16" borderId="16" xfId="0" applyFont="1" applyFill="1" applyBorder="1"/>
    <xf numFmtId="0" fontId="45" fillId="0" borderId="26" xfId="0" applyFont="1" applyBorder="1" applyAlignment="1">
      <alignment horizontal="center"/>
    </xf>
    <xf numFmtId="165" fontId="45" fillId="17" borderId="22" xfId="0" applyNumberFormat="1" applyFont="1" applyFill="1" applyBorder="1" applyAlignment="1">
      <alignment horizontal="center"/>
    </xf>
    <xf numFmtId="165" fontId="45" fillId="17" borderId="25" xfId="0" applyNumberFormat="1" applyFont="1" applyFill="1" applyBorder="1"/>
    <xf numFmtId="0" fontId="45" fillId="0" borderId="21" xfId="0" applyFont="1" applyBorder="1" applyAlignment="1">
      <alignment horizontal="center" vertical="center"/>
    </xf>
    <xf numFmtId="165" fontId="45" fillId="17" borderId="22" xfId="0" applyNumberFormat="1" applyFont="1" applyFill="1" applyBorder="1" applyAlignment="1">
      <alignment horizontal="center" vertical="center"/>
    </xf>
    <xf numFmtId="9" fontId="45" fillId="0" borderId="11" xfId="0" applyNumberFormat="1" applyFont="1" applyBorder="1" applyAlignment="1">
      <alignment horizontal="center" vertical="center"/>
    </xf>
    <xf numFmtId="0" fontId="45" fillId="16" borderId="8" xfId="0" applyFont="1" applyFill="1" applyBorder="1" applyAlignment="1"/>
    <xf numFmtId="0" fontId="45" fillId="16" borderId="16" xfId="0" applyFont="1" applyFill="1" applyBorder="1" applyAlignment="1"/>
    <xf numFmtId="0" fontId="45" fillId="16" borderId="17" xfId="0" applyFont="1" applyFill="1" applyBorder="1" applyAlignment="1"/>
    <xf numFmtId="0" fontId="45" fillId="16" borderId="9" xfId="0" applyFont="1" applyFill="1" applyBorder="1" applyAlignment="1"/>
    <xf numFmtId="0" fontId="45" fillId="16" borderId="18" xfId="0" applyFont="1" applyFill="1" applyBorder="1" applyAlignment="1"/>
    <xf numFmtId="0" fontId="45" fillId="16" borderId="19" xfId="0" applyFont="1" applyFill="1" applyBorder="1" applyAlignment="1"/>
    <xf numFmtId="0" fontId="45" fillId="0" borderId="11" xfId="0" applyFont="1" applyBorder="1" applyAlignment="1">
      <alignment vertical="center" wrapText="1"/>
    </xf>
    <xf numFmtId="0" fontId="45" fillId="17" borderId="12" xfId="0" applyFont="1" applyFill="1" applyBorder="1" applyAlignment="1">
      <alignment vertical="center"/>
    </xf>
    <xf numFmtId="9" fontId="45" fillId="0" borderId="23" xfId="0" applyNumberFormat="1" applyFont="1" applyBorder="1" applyAlignment="1">
      <alignment horizontal="center" vertical="center"/>
    </xf>
    <xf numFmtId="0" fontId="45" fillId="0" borderId="11" xfId="0" applyFont="1" applyBorder="1" applyAlignment="1">
      <alignment vertical="center"/>
    </xf>
    <xf numFmtId="0" fontId="45" fillId="18" borderId="28" xfId="0" applyFont="1" applyFill="1" applyBorder="1" applyAlignment="1">
      <alignment vertical="center"/>
    </xf>
    <xf numFmtId="0" fontId="45" fillId="18" borderId="28" xfId="0" applyFont="1" applyFill="1" applyBorder="1" applyAlignment="1">
      <alignment horizontal="center" vertical="center"/>
    </xf>
    <xf numFmtId="0" fontId="45" fillId="18" borderId="29" xfId="0" applyFont="1" applyFill="1" applyBorder="1" applyAlignment="1">
      <alignment vertical="center"/>
    </xf>
    <xf numFmtId="0" fontId="45" fillId="18" borderId="18" xfId="0" applyFont="1" applyFill="1" applyBorder="1" applyAlignment="1">
      <alignment horizontal="center" vertical="center"/>
    </xf>
    <xf numFmtId="9" fontId="45" fillId="18" borderId="23" xfId="0" applyNumberFormat="1" applyFont="1" applyFill="1" applyBorder="1" applyAlignment="1">
      <alignment horizontal="center"/>
    </xf>
    <xf numFmtId="0" fontId="50" fillId="18" borderId="29" xfId="0" applyFont="1" applyFill="1" applyBorder="1" applyAlignment="1">
      <alignment vertical="center"/>
    </xf>
    <xf numFmtId="0" fontId="50" fillId="0" borderId="11" xfId="0" applyFont="1" applyBorder="1" applyAlignment="1">
      <alignment vertical="center"/>
    </xf>
    <xf numFmtId="165" fontId="45" fillId="17" borderId="9" xfId="0" applyNumberFormat="1" applyFont="1" applyFill="1" applyBorder="1" applyAlignment="1">
      <alignment horizontal="center"/>
    </xf>
    <xf numFmtId="0" fontId="45" fillId="18" borderId="29" xfId="0" applyFont="1" applyFill="1" applyBorder="1" applyAlignment="1">
      <alignment horizontal="center" vertical="center"/>
    </xf>
    <xf numFmtId="9" fontId="45" fillId="0" borderId="23" xfId="0" applyNumberFormat="1" applyFont="1" applyFill="1" applyBorder="1" applyAlignment="1">
      <alignment horizontal="center"/>
    </xf>
    <xf numFmtId="9" fontId="45" fillId="0" borderId="28" xfId="0" applyNumberFormat="1" applyFont="1" applyFill="1" applyBorder="1" applyAlignment="1">
      <alignment horizontal="center"/>
    </xf>
    <xf numFmtId="0" fontId="45" fillId="0" borderId="29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/>
    </xf>
    <xf numFmtId="167" fontId="45" fillId="18" borderId="23" xfId="0" applyNumberFormat="1" applyFont="1" applyFill="1" applyBorder="1" applyAlignment="1">
      <alignment horizontal="center"/>
    </xf>
    <xf numFmtId="9" fontId="45" fillId="0" borderId="15" xfId="0" applyNumberFormat="1" applyFont="1" applyBorder="1" applyAlignment="1">
      <alignment horizontal="center"/>
    </xf>
    <xf numFmtId="0" fontId="45" fillId="19" borderId="10" xfId="0" applyFont="1" applyFill="1" applyBorder="1"/>
    <xf numFmtId="0" fontId="45" fillId="19" borderId="10" xfId="0" applyFont="1" applyFill="1" applyBorder="1" applyAlignment="1">
      <alignment horizontal="center"/>
    </xf>
    <xf numFmtId="0" fontId="45" fillId="16" borderId="13" xfId="0" applyFont="1" applyFill="1" applyBorder="1" applyAlignment="1"/>
    <xf numFmtId="0" fontId="45" fillId="0" borderId="13" xfId="0" applyFont="1" applyFill="1" applyBorder="1" applyAlignment="1"/>
    <xf numFmtId="0" fontId="51" fillId="0" borderId="13" xfId="0" applyFont="1" applyFill="1" applyBorder="1" applyAlignment="1"/>
    <xf numFmtId="0" fontId="45" fillId="19" borderId="29" xfId="0" applyFont="1" applyFill="1" applyBorder="1" applyAlignment="1">
      <alignment vertical="center"/>
    </xf>
    <xf numFmtId="0" fontId="45" fillId="19" borderId="18" xfId="0" applyFont="1" applyFill="1" applyBorder="1" applyAlignment="1">
      <alignment horizontal="center" vertical="center"/>
    </xf>
    <xf numFmtId="0" fontId="45" fillId="19" borderId="29" xfId="0" applyFont="1" applyFill="1" applyBorder="1" applyAlignment="1">
      <alignment horizontal="center"/>
    </xf>
    <xf numFmtId="9" fontId="45" fillId="0" borderId="28" xfId="0" applyNumberFormat="1" applyFont="1" applyBorder="1" applyAlignment="1">
      <alignment horizontal="center" vertical="center"/>
    </xf>
    <xf numFmtId="0" fontId="45" fillId="19" borderId="10" xfId="0" applyFont="1" applyFill="1" applyBorder="1" applyAlignment="1">
      <alignment vertical="center"/>
    </xf>
    <xf numFmtId="0" fontId="45" fillId="19" borderId="20" xfId="0" applyFont="1" applyFill="1" applyBorder="1" applyAlignment="1">
      <alignment horizontal="center" vertical="center"/>
    </xf>
    <xf numFmtId="0" fontId="45" fillId="16" borderId="0" xfId="0" applyFont="1" applyFill="1" applyBorder="1" applyAlignment="1"/>
    <xf numFmtId="0" fontId="45" fillId="16" borderId="30" xfId="0" applyFont="1" applyFill="1" applyBorder="1" applyAlignment="1"/>
    <xf numFmtId="0" fontId="45" fillId="19" borderId="20" xfId="0" applyFont="1" applyFill="1" applyBorder="1" applyAlignment="1">
      <alignment horizontal="center" vertical="center" wrapText="1"/>
    </xf>
    <xf numFmtId="0" fontId="45" fillId="19" borderId="10" xfId="0" applyFont="1" applyFill="1" applyBorder="1" applyAlignment="1">
      <alignment horizontal="center" vertical="center"/>
    </xf>
    <xf numFmtId="0" fontId="50" fillId="18" borderId="11" xfId="0" applyFont="1" applyFill="1" applyBorder="1" applyAlignment="1">
      <alignment vertical="center"/>
    </xf>
    <xf numFmtId="0" fontId="45" fillId="18" borderId="21" xfId="0" applyFont="1" applyFill="1" applyBorder="1" applyAlignment="1">
      <alignment horizontal="center" vertical="center"/>
    </xf>
    <xf numFmtId="9" fontId="45" fillId="18" borderId="28" xfId="0" applyNumberFormat="1" applyFont="1" applyFill="1" applyBorder="1" applyAlignment="1">
      <alignment horizontal="center"/>
    </xf>
    <xf numFmtId="166" fontId="45" fillId="0" borderId="18" xfId="0" applyNumberFormat="1" applyFont="1" applyFill="1" applyBorder="1" applyAlignment="1">
      <alignment horizontal="center" vertical="center"/>
    </xf>
    <xf numFmtId="0" fontId="45" fillId="19" borderId="15" xfId="0" applyFont="1" applyFill="1" applyBorder="1" applyAlignment="1">
      <alignment horizontal="center"/>
    </xf>
    <xf numFmtId="0" fontId="45" fillId="0" borderId="1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5" fillId="0" borderId="21" xfId="0" applyFont="1" applyBorder="1" applyAlignment="1">
      <alignment horizontal="center" vertical="center" wrapText="1"/>
    </xf>
    <xf numFmtId="0" fontId="50" fillId="0" borderId="11" xfId="0" applyFont="1" applyBorder="1" applyAlignment="1">
      <alignment vertical="center" wrapText="1"/>
    </xf>
    <xf numFmtId="9" fontId="45" fillId="0" borderId="27" xfId="0" applyNumberFormat="1" applyFont="1" applyFill="1" applyBorder="1" applyAlignment="1">
      <alignment horizontal="center"/>
    </xf>
    <xf numFmtId="0" fontId="45" fillId="19" borderId="21" xfId="0" applyFont="1" applyFill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/>
    </xf>
    <xf numFmtId="165" fontId="45" fillId="17" borderId="19" xfId="0" applyNumberFormat="1" applyFont="1" applyFill="1" applyBorder="1"/>
    <xf numFmtId="9" fontId="45" fillId="0" borderId="27" xfId="0" applyNumberFormat="1" applyFont="1" applyBorder="1" applyAlignment="1">
      <alignment horizontal="center"/>
    </xf>
    <xf numFmtId="9" fontId="45" fillId="0" borderId="28" xfId="0" applyNumberFormat="1" applyFont="1" applyBorder="1" applyAlignment="1">
      <alignment horizontal="center"/>
    </xf>
    <xf numFmtId="9" fontId="45" fillId="0" borderId="8" xfId="0" applyNumberFormat="1" applyFont="1" applyBorder="1" applyAlignment="1">
      <alignment horizontal="center"/>
    </xf>
    <xf numFmtId="9" fontId="45" fillId="0" borderId="9" xfId="0" applyNumberFormat="1" applyFont="1" applyBorder="1" applyAlignment="1">
      <alignment horizontal="center"/>
    </xf>
    <xf numFmtId="165" fontId="45" fillId="17" borderId="9" xfId="0" applyNumberFormat="1" applyFont="1" applyFill="1" applyBorder="1" applyAlignment="1">
      <alignment horizontal="center" vertical="center"/>
    </xf>
    <xf numFmtId="9" fontId="45" fillId="0" borderId="9" xfId="0" applyNumberFormat="1" applyFont="1" applyBorder="1" applyAlignment="1">
      <alignment horizontal="center" vertical="center"/>
    </xf>
    <xf numFmtId="0" fontId="45" fillId="18" borderId="18" xfId="0" applyFont="1" applyFill="1" applyBorder="1" applyAlignment="1">
      <alignment horizontal="center" vertical="center" wrapText="1"/>
    </xf>
    <xf numFmtId="9" fontId="45" fillId="18" borderId="23" xfId="0" applyNumberFormat="1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 wrapText="1"/>
    </xf>
    <xf numFmtId="9" fontId="45" fillId="0" borderId="24" xfId="0" applyNumberFormat="1" applyFont="1" applyFill="1" applyBorder="1" applyAlignment="1">
      <alignment horizontal="center"/>
    </xf>
    <xf numFmtId="165" fontId="45" fillId="0" borderId="12" xfId="0" applyNumberFormat="1" applyFont="1" applyFill="1" applyBorder="1" applyAlignment="1">
      <alignment horizontal="center"/>
    </xf>
    <xf numFmtId="165" fontId="45" fillId="0" borderId="12" xfId="0" applyNumberFormat="1" applyFont="1" applyFill="1" applyBorder="1" applyAlignment="1">
      <alignment horizontal="center" vertical="center"/>
    </xf>
    <xf numFmtId="0" fontId="46" fillId="16" borderId="8" xfId="0" applyFont="1" applyFill="1" applyBorder="1" applyAlignment="1">
      <alignment horizontal="left" vertical="center"/>
    </xf>
    <xf numFmtId="0" fontId="45" fillId="0" borderId="29" xfId="0" applyFont="1" applyBorder="1" applyAlignment="1">
      <alignment horizontal="center" vertical="center" wrapText="1"/>
    </xf>
    <xf numFmtId="9" fontId="45" fillId="0" borderId="27" xfId="0" applyNumberFormat="1" applyFont="1" applyBorder="1" applyAlignment="1">
      <alignment horizontal="center" vertical="center"/>
    </xf>
    <xf numFmtId="0" fontId="45" fillId="19" borderId="15" xfId="0" applyFont="1" applyFill="1" applyBorder="1" applyAlignment="1">
      <alignment horizontal="left" vertical="center" wrapText="1"/>
    </xf>
    <xf numFmtId="0" fontId="45" fillId="0" borderId="28" xfId="0" applyFont="1" applyBorder="1" applyAlignment="1">
      <alignment horizontal="center" vertical="center" wrapText="1"/>
    </xf>
    <xf numFmtId="9" fontId="45" fillId="0" borderId="0" xfId="0" applyNumberFormat="1" applyFont="1" applyFill="1" applyBorder="1" applyAlignment="1">
      <alignment horizontal="center"/>
    </xf>
    <xf numFmtId="0" fontId="50" fillId="0" borderId="11" xfId="0" applyFont="1" applyBorder="1" applyAlignment="1">
      <alignment horizontal="left" vertical="center"/>
    </xf>
    <xf numFmtId="0" fontId="15" fillId="0" borderId="0" xfId="0" applyFont="1" applyAlignment="1"/>
    <xf numFmtId="0" fontId="11" fillId="17" borderId="0" xfId="0" applyFont="1" applyFill="1" applyBorder="1"/>
    <xf numFmtId="0" fontId="11" fillId="17" borderId="18" xfId="0" applyFont="1" applyFill="1" applyBorder="1"/>
    <xf numFmtId="165" fontId="10" fillId="17" borderId="30" xfId="0" applyNumberFormat="1" applyFont="1" applyFill="1" applyBorder="1"/>
    <xf numFmtId="165" fontId="10" fillId="17" borderId="19" xfId="0" applyNumberFormat="1" applyFont="1" applyFill="1" applyBorder="1"/>
    <xf numFmtId="165" fontId="59" fillId="17" borderId="25" xfId="0" applyNumberFormat="1" applyFont="1" applyFill="1" applyBorder="1"/>
    <xf numFmtId="165" fontId="10" fillId="17" borderId="30" xfId="0" applyNumberFormat="1" applyFont="1" applyFill="1" applyBorder="1" applyAlignment="1">
      <alignment horizontal="center" vertical="center"/>
    </xf>
    <xf numFmtId="0" fontId="45" fillId="19" borderId="15" xfId="0" applyFont="1" applyFill="1" applyBorder="1" applyAlignment="1">
      <alignment horizontal="center" vertical="center"/>
    </xf>
    <xf numFmtId="0" fontId="45" fillId="19" borderId="2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5" fillId="19" borderId="28" xfId="0" applyFont="1" applyFill="1" applyBorder="1" applyAlignment="1">
      <alignment horizontal="center" vertical="center"/>
    </xf>
    <xf numFmtId="0" fontId="10" fillId="19" borderId="18" xfId="0" applyFont="1" applyFill="1" applyBorder="1" applyAlignment="1">
      <alignment horizontal="center" vertical="center" wrapText="1"/>
    </xf>
    <xf numFmtId="0" fontId="10" fillId="19" borderId="28" xfId="0" applyFont="1" applyFill="1" applyBorder="1" applyAlignment="1">
      <alignment horizontal="center" vertical="center" wrapText="1"/>
    </xf>
    <xf numFmtId="167" fontId="45" fillId="0" borderId="28" xfId="0" applyNumberFormat="1" applyFont="1" applyFill="1" applyBorder="1" applyAlignment="1">
      <alignment horizontal="center"/>
    </xf>
    <xf numFmtId="0" fontId="60" fillId="0" borderId="5" xfId="0" applyFont="1" applyBorder="1" applyAlignment="1">
      <alignment horizontal="center" vertical="center"/>
    </xf>
    <xf numFmtId="165" fontId="60" fillId="11" borderId="5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38" fillId="14" borderId="5" xfId="0" applyNumberFormat="1" applyFont="1" applyFill="1" applyBorder="1" applyAlignment="1">
      <alignment horizontal="center" vertical="center" wrapText="1"/>
    </xf>
    <xf numFmtId="164" fontId="61" fillId="12" borderId="7" xfId="0" applyNumberFormat="1" applyFont="1" applyFill="1" applyBorder="1" applyAlignment="1">
      <alignment horizontal="center" vertical="center" wrapText="1"/>
    </xf>
    <xf numFmtId="164" fontId="61" fillId="13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61" fillId="12" borderId="4" xfId="0" applyNumberFormat="1" applyFont="1" applyFill="1" applyBorder="1" applyAlignment="1">
      <alignment horizontal="center" vertical="center" wrapText="1"/>
    </xf>
    <xf numFmtId="164" fontId="62" fillId="0" borderId="4" xfId="0" applyNumberFormat="1" applyFont="1" applyFill="1" applyBorder="1" applyAlignment="1">
      <alignment horizontal="center" vertical="center" wrapText="1"/>
    </xf>
    <xf numFmtId="164" fontId="35" fillId="0" borderId="4" xfId="0" applyNumberFormat="1" applyFont="1" applyFill="1" applyBorder="1" applyAlignment="1">
      <alignment horizontal="center" vertical="center" wrapText="1"/>
    </xf>
    <xf numFmtId="2" fontId="19" fillId="14" borderId="5" xfId="0" applyNumberFormat="1" applyFont="1" applyFill="1" applyBorder="1" applyAlignment="1">
      <alignment horizontal="center" vertical="center" wrapText="1"/>
    </xf>
    <xf numFmtId="2" fontId="38" fillId="7" borderId="5" xfId="0" applyNumberFormat="1" applyFont="1" applyFill="1" applyBorder="1" applyAlignment="1">
      <alignment horizontal="center" vertical="center" wrapText="1"/>
    </xf>
    <xf numFmtId="2" fontId="38" fillId="8" borderId="5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Fill="1" applyBorder="1" applyAlignment="1">
      <alignment horizontal="center" vertical="center" wrapText="1"/>
    </xf>
    <xf numFmtId="164" fontId="63" fillId="0" borderId="4" xfId="0" applyNumberFormat="1" applyFont="1" applyFill="1" applyBorder="1" applyAlignment="1">
      <alignment horizontal="center" vertical="center" wrapText="1"/>
    </xf>
    <xf numFmtId="164" fontId="23" fillId="0" borderId="4" xfId="0" applyNumberFormat="1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>
      <alignment horizontal="center" vertical="center" wrapText="1"/>
    </xf>
    <xf numFmtId="164" fontId="18" fillId="10" borderId="4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21" fillId="5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45" fillId="17" borderId="8" xfId="0" applyFont="1" applyFill="1" applyBorder="1" applyAlignment="1">
      <alignment horizontal="center" vertical="center"/>
    </xf>
    <xf numFmtId="0" fontId="45" fillId="17" borderId="9" xfId="0" applyFont="1" applyFill="1" applyBorder="1" applyAlignment="1">
      <alignment horizontal="center" vertical="center"/>
    </xf>
    <xf numFmtId="0" fontId="46" fillId="16" borderId="8" xfId="0" applyFont="1" applyFill="1" applyBorder="1" applyAlignment="1">
      <alignment horizontal="left" vertical="center"/>
    </xf>
    <xf numFmtId="0" fontId="45" fillId="16" borderId="16" xfId="0" applyFont="1" applyFill="1" applyBorder="1" applyAlignment="1">
      <alignment horizontal="left" vertical="center"/>
    </xf>
    <xf numFmtId="0" fontId="45" fillId="16" borderId="17" xfId="0" applyFont="1" applyFill="1" applyBorder="1" applyAlignment="1">
      <alignment horizontal="left" vertical="center"/>
    </xf>
    <xf numFmtId="0" fontId="45" fillId="16" borderId="9" xfId="0" applyFont="1" applyFill="1" applyBorder="1" applyAlignment="1">
      <alignment horizontal="left" vertical="center"/>
    </xf>
    <xf numFmtId="0" fontId="45" fillId="16" borderId="18" xfId="0" applyFont="1" applyFill="1" applyBorder="1" applyAlignment="1">
      <alignment horizontal="left" vertical="center"/>
    </xf>
    <xf numFmtId="0" fontId="45" fillId="16" borderId="19" xfId="0" applyFont="1" applyFill="1" applyBorder="1" applyAlignment="1">
      <alignment horizontal="left" vertical="center"/>
    </xf>
    <xf numFmtId="0" fontId="45" fillId="16" borderId="8" xfId="0" applyFont="1" applyFill="1" applyBorder="1" applyAlignment="1">
      <alignment horizontal="center"/>
    </xf>
    <xf numFmtId="0" fontId="45" fillId="16" borderId="16" xfId="0" applyFont="1" applyFill="1" applyBorder="1" applyAlignment="1">
      <alignment horizontal="center"/>
    </xf>
    <xf numFmtId="0" fontId="45" fillId="16" borderId="17" xfId="0" applyFont="1" applyFill="1" applyBorder="1" applyAlignment="1">
      <alignment horizontal="center"/>
    </xf>
    <xf numFmtId="0" fontId="51" fillId="16" borderId="9" xfId="0" applyFont="1" applyFill="1" applyBorder="1" applyAlignment="1">
      <alignment horizontal="center"/>
    </xf>
    <xf numFmtId="0" fontId="51" fillId="16" borderId="18" xfId="0" applyFont="1" applyFill="1" applyBorder="1" applyAlignment="1">
      <alignment horizontal="center"/>
    </xf>
    <xf numFmtId="0" fontId="51" fillId="16" borderId="19" xfId="0" applyFont="1" applyFill="1" applyBorder="1" applyAlignment="1">
      <alignment horizontal="center"/>
    </xf>
    <xf numFmtId="0" fontId="45" fillId="0" borderId="15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165" fontId="45" fillId="17" borderId="27" xfId="0" applyNumberFormat="1" applyFont="1" applyFill="1" applyBorder="1" applyAlignment="1">
      <alignment horizontal="center" vertical="center"/>
    </xf>
    <xf numFmtId="165" fontId="45" fillId="17" borderId="29" xfId="0" applyNumberFormat="1" applyFont="1" applyFill="1" applyBorder="1" applyAlignment="1">
      <alignment horizontal="center" vertical="center"/>
    </xf>
    <xf numFmtId="0" fontId="45" fillId="0" borderId="12" xfId="0" applyFont="1" applyBorder="1" applyAlignment="1">
      <alignment horizontal="left" vertical="center" wrapText="1"/>
    </xf>
    <xf numFmtId="0" fontId="45" fillId="0" borderId="24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22" xfId="0" applyFont="1" applyBorder="1" applyAlignment="1">
      <alignment horizontal="left"/>
    </xf>
    <xf numFmtId="0" fontId="45" fillId="0" borderId="21" xfId="0" applyFont="1" applyBorder="1" applyAlignment="1">
      <alignment horizontal="left"/>
    </xf>
    <xf numFmtId="0" fontId="45" fillId="0" borderId="31" xfId="0" applyFont="1" applyBorder="1" applyAlignment="1">
      <alignment horizontal="left"/>
    </xf>
    <xf numFmtId="9" fontId="45" fillId="0" borderId="15" xfId="0" applyNumberFormat="1" applyFont="1" applyBorder="1" applyAlignment="1">
      <alignment horizontal="center" vertical="center"/>
    </xf>
    <xf numFmtId="9" fontId="45" fillId="0" borderId="29" xfId="0" applyNumberFormat="1" applyFont="1" applyBorder="1" applyAlignment="1">
      <alignment horizontal="center" vertical="center"/>
    </xf>
    <xf numFmtId="9" fontId="45" fillId="0" borderId="27" xfId="0" applyNumberFormat="1" applyFont="1" applyBorder="1" applyAlignment="1">
      <alignment horizontal="center" vertical="center"/>
    </xf>
    <xf numFmtId="0" fontId="45" fillId="19" borderId="27" xfId="0" applyFont="1" applyFill="1" applyBorder="1" applyAlignment="1">
      <alignment horizontal="left" vertical="center"/>
    </xf>
    <xf numFmtId="0" fontId="45" fillId="19" borderId="29" xfId="0" applyFont="1" applyFill="1" applyBorder="1" applyAlignment="1">
      <alignment horizontal="left" vertical="center"/>
    </xf>
    <xf numFmtId="0" fontId="55" fillId="16" borderId="13" xfId="0" applyFont="1" applyFill="1" applyBorder="1" applyAlignment="1">
      <alignment horizontal="center"/>
    </xf>
    <xf numFmtId="0" fontId="55" fillId="16" borderId="0" xfId="0" applyFont="1" applyFill="1" applyBorder="1" applyAlignment="1">
      <alignment horizontal="center"/>
    </xf>
    <xf numFmtId="0" fontId="55" fillId="16" borderId="30" xfId="0" applyFont="1" applyFill="1" applyBorder="1" applyAlignment="1">
      <alignment horizontal="center"/>
    </xf>
    <xf numFmtId="0" fontId="18" fillId="4" borderId="32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2" fontId="43" fillId="10" borderId="5" xfId="0" applyNumberFormat="1" applyFont="1" applyFill="1" applyBorder="1" applyAlignment="1">
      <alignment horizontal="center" vertical="center" wrapText="1"/>
    </xf>
    <xf numFmtId="2" fontId="38" fillId="9" borderId="5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6"/>
  <sheetViews>
    <sheetView zoomScale="80" zoomScaleNormal="80" workbookViewId="0">
      <pane xSplit="2" ySplit="3" topLeftCell="U40" activePane="bottomRight" state="frozen"/>
      <selection pane="topRight" activeCell="C1" sqref="C1"/>
      <selection pane="bottomLeft" activeCell="A4" sqref="A4"/>
      <selection pane="bottomRight" activeCell="X41" sqref="X41"/>
    </sheetView>
  </sheetViews>
  <sheetFormatPr defaultRowHeight="14.5" x14ac:dyDescent="0.35"/>
  <cols>
    <col min="1" max="1" width="23.81640625" customWidth="1"/>
    <col min="2" max="2" width="8.26953125" customWidth="1"/>
    <col min="3" max="3" width="8.54296875" customWidth="1"/>
    <col min="4" max="4" width="10" customWidth="1"/>
    <col min="5" max="5" width="9.453125" customWidth="1"/>
    <col min="6" max="6" width="13" customWidth="1"/>
    <col min="7" max="7" width="8.453125" customWidth="1"/>
    <col min="8" max="8" width="7.7265625" customWidth="1"/>
    <col min="9" max="9" width="12.26953125" customWidth="1"/>
    <col min="10" max="10" width="15.26953125" customWidth="1"/>
    <col min="11" max="11" width="20.81640625" customWidth="1"/>
    <col min="12" max="12" width="14.26953125" customWidth="1"/>
    <col min="13" max="13" width="9.7265625" customWidth="1"/>
    <col min="14" max="14" width="12.1796875" customWidth="1"/>
    <col min="15" max="15" width="12.54296875" customWidth="1"/>
    <col min="16" max="16" width="12.453125" customWidth="1"/>
    <col min="17" max="17" width="12.26953125" customWidth="1"/>
    <col min="18" max="18" width="13.7265625" customWidth="1"/>
    <col min="19" max="19" width="12.7265625" customWidth="1"/>
    <col min="20" max="20" width="11.453125" customWidth="1"/>
    <col min="21" max="21" width="9.1796875" customWidth="1"/>
    <col min="22" max="22" width="5" hidden="1" customWidth="1"/>
    <col min="23" max="23" width="0.1796875" hidden="1" customWidth="1"/>
    <col min="24" max="24" width="11.81640625" customWidth="1"/>
    <col min="25" max="25" width="10.81640625" customWidth="1"/>
    <col min="26" max="26" width="5.453125" hidden="1" customWidth="1"/>
    <col min="27" max="27" width="11.453125" customWidth="1"/>
    <col min="28" max="28" width="10.453125" customWidth="1"/>
    <col min="29" max="30" width="11.54296875" customWidth="1"/>
    <col min="31" max="31" width="11.81640625" customWidth="1"/>
    <col min="32" max="32" width="8.81640625" hidden="1" customWidth="1"/>
    <col min="33" max="33" width="14.1796875" customWidth="1"/>
    <col min="34" max="34" width="13.1796875" customWidth="1"/>
    <col min="35" max="35" width="12.26953125" customWidth="1"/>
    <col min="36" max="36" width="12" customWidth="1"/>
    <col min="37" max="38" width="11.1796875" customWidth="1"/>
    <col min="39" max="39" width="8.7265625" customWidth="1"/>
    <col min="40" max="40" width="9.1796875" customWidth="1"/>
    <col min="41" max="41" width="5" bestFit="1" customWidth="1"/>
    <col min="42" max="44" width="11.453125" customWidth="1"/>
    <col min="45" max="45" width="10.54296875" customWidth="1"/>
    <col min="46" max="46" width="10.7265625" customWidth="1"/>
  </cols>
  <sheetData>
    <row r="1" spans="1:47" ht="7.5" customHeight="1" x14ac:dyDescent="0.35"/>
    <row r="2" spans="1:47" ht="24" customHeight="1" thickBot="1" x14ac:dyDescent="0.4">
      <c r="H2" s="244" t="s">
        <v>0</v>
      </c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6"/>
    </row>
    <row r="3" spans="1:47" ht="90.75" customHeight="1" thickTop="1" thickBot="1" x14ac:dyDescent="0.4">
      <c r="A3" s="1" t="s">
        <v>1</v>
      </c>
      <c r="B3" s="1" t="s">
        <v>139</v>
      </c>
      <c r="C3" s="1" t="s">
        <v>140</v>
      </c>
      <c r="D3" s="1" t="s">
        <v>142</v>
      </c>
      <c r="E3" s="2" t="s">
        <v>141</v>
      </c>
      <c r="F3" s="1" t="s">
        <v>2</v>
      </c>
      <c r="G3" s="2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5" t="s">
        <v>9</v>
      </c>
      <c r="N3" s="5" t="s">
        <v>10</v>
      </c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  <c r="U3" s="3" t="s">
        <v>17</v>
      </c>
      <c r="V3" s="1" t="s">
        <v>18</v>
      </c>
      <c r="W3" s="1" t="s">
        <v>19</v>
      </c>
      <c r="X3" s="7" t="s">
        <v>413</v>
      </c>
      <c r="Y3" s="8" t="s">
        <v>414</v>
      </c>
      <c r="Z3" s="9" t="s">
        <v>20</v>
      </c>
      <c r="AA3" s="10" t="s">
        <v>21</v>
      </c>
      <c r="AB3" s="73" t="s">
        <v>143</v>
      </c>
      <c r="AC3" s="11" t="s">
        <v>22</v>
      </c>
      <c r="AD3" s="11" t="s">
        <v>23</v>
      </c>
      <c r="AE3" s="11" t="s">
        <v>24</v>
      </c>
      <c r="AF3" s="12" t="s">
        <v>25</v>
      </c>
      <c r="AG3" s="13" t="s">
        <v>26</v>
      </c>
      <c r="AH3" s="14" t="s">
        <v>149</v>
      </c>
      <c r="AI3" s="14" t="s">
        <v>150</v>
      </c>
      <c r="AJ3" s="74" t="s">
        <v>151</v>
      </c>
      <c r="AK3" s="108" t="s">
        <v>27</v>
      </c>
      <c r="AL3" s="108" t="s">
        <v>28</v>
      </c>
      <c r="AM3" s="15" t="s">
        <v>29</v>
      </c>
      <c r="AN3" s="16"/>
      <c r="AO3" s="16"/>
      <c r="AP3" s="17" t="s">
        <v>30</v>
      </c>
      <c r="AQ3" s="17" t="s">
        <v>31</v>
      </c>
      <c r="AR3" s="75" t="s">
        <v>146</v>
      </c>
      <c r="AS3" s="109" t="s">
        <v>32</v>
      </c>
      <c r="AT3" s="109" t="s">
        <v>33</v>
      </c>
      <c r="AU3" s="18"/>
    </row>
    <row r="4" spans="1:47" ht="42.75" customHeight="1" thickTop="1" thickBot="1" x14ac:dyDescent="0.4">
      <c r="A4" s="19" t="s">
        <v>34</v>
      </c>
      <c r="B4" s="19">
        <v>130521</v>
      </c>
      <c r="C4" s="19">
        <v>185.89</v>
      </c>
      <c r="D4" s="19">
        <v>525.95000000000005</v>
      </c>
      <c r="E4" s="19">
        <v>152.76</v>
      </c>
      <c r="F4" s="20" t="s">
        <v>35</v>
      </c>
      <c r="G4" s="21" t="s">
        <v>36</v>
      </c>
      <c r="H4" s="22" t="s">
        <v>37</v>
      </c>
      <c r="I4" s="23" t="s">
        <v>38</v>
      </c>
      <c r="J4" s="24" t="s">
        <v>39</v>
      </c>
      <c r="K4" s="22"/>
      <c r="L4" s="23" t="s">
        <v>40</v>
      </c>
      <c r="M4" s="22" t="s">
        <v>37</v>
      </c>
      <c r="N4" s="23" t="s">
        <v>40</v>
      </c>
      <c r="O4" s="25"/>
      <c r="P4" s="25"/>
      <c r="Q4" s="25"/>
      <c r="R4" s="25"/>
      <c r="S4" s="25"/>
      <c r="T4" s="25"/>
      <c r="U4" s="25"/>
      <c r="V4" s="26">
        <v>3500</v>
      </c>
      <c r="W4" s="27">
        <v>7.14</v>
      </c>
      <c r="X4" s="94">
        <v>348.47</v>
      </c>
      <c r="Y4" s="29">
        <f t="shared" ref="Y4:Y51" si="0">X4-AN4</f>
        <v>348.47</v>
      </c>
      <c r="Z4" s="30">
        <f t="shared" ref="Z4:Z51" si="1">Y4/W4</f>
        <v>48.805322128851543</v>
      </c>
      <c r="AA4" s="30">
        <f>Y4/10</f>
        <v>34.847000000000001</v>
      </c>
      <c r="AB4" s="96" t="s">
        <v>144</v>
      </c>
      <c r="AC4" s="31"/>
      <c r="AD4" s="31"/>
      <c r="AE4" s="31"/>
      <c r="AF4" s="32" t="e">
        <f>Z4/AP4</f>
        <v>#DIV/0!</v>
      </c>
      <c r="AG4" s="33"/>
      <c r="AH4" s="76"/>
      <c r="AI4" s="76"/>
      <c r="AJ4" s="77">
        <f>AA4/AR4</f>
        <v>1.4598659405111019</v>
      </c>
      <c r="AK4" s="87"/>
      <c r="AL4" s="87"/>
      <c r="AM4" s="37">
        <v>0</v>
      </c>
      <c r="AN4" s="38">
        <f t="shared" ref="AN4:AN30" si="2">AM4*X4</f>
        <v>0</v>
      </c>
      <c r="AP4" s="39"/>
      <c r="AQ4" s="39"/>
      <c r="AR4" s="39">
        <v>23.87</v>
      </c>
    </row>
    <row r="5" spans="1:47" ht="42" customHeight="1" thickTop="1" thickBot="1" x14ac:dyDescent="0.4">
      <c r="A5" s="19" t="s">
        <v>41</v>
      </c>
      <c r="B5" s="19">
        <v>130526</v>
      </c>
      <c r="C5" s="19">
        <v>195.83</v>
      </c>
      <c r="D5" s="19">
        <v>736.33</v>
      </c>
      <c r="E5" s="19">
        <v>102.09</v>
      </c>
      <c r="F5" s="20" t="s">
        <v>42</v>
      </c>
      <c r="G5" s="21" t="s">
        <v>36</v>
      </c>
      <c r="H5" s="22" t="s">
        <v>37</v>
      </c>
      <c r="I5" s="23" t="s">
        <v>43</v>
      </c>
      <c r="J5" s="22"/>
      <c r="K5" s="24" t="s">
        <v>39</v>
      </c>
      <c r="L5" s="23" t="s">
        <v>40</v>
      </c>
      <c r="M5" s="22" t="s">
        <v>37</v>
      </c>
      <c r="N5" s="23" t="s">
        <v>40</v>
      </c>
      <c r="O5" s="25"/>
      <c r="P5" s="25"/>
      <c r="Q5" s="25"/>
      <c r="R5" s="25"/>
      <c r="S5" s="25"/>
      <c r="T5" s="25"/>
      <c r="U5" s="25"/>
      <c r="V5" s="26">
        <v>3500</v>
      </c>
      <c r="W5" s="27">
        <v>10</v>
      </c>
      <c r="X5" s="94">
        <v>373.27</v>
      </c>
      <c r="Y5" s="29">
        <f t="shared" si="0"/>
        <v>373.27</v>
      </c>
      <c r="Z5" s="30">
        <f t="shared" si="1"/>
        <v>37.326999999999998</v>
      </c>
      <c r="AA5" s="30">
        <f>Y5/10</f>
        <v>37.326999999999998</v>
      </c>
      <c r="AB5" s="97" t="s">
        <v>145</v>
      </c>
      <c r="AC5" s="31"/>
      <c r="AD5" s="31"/>
      <c r="AE5" s="31"/>
      <c r="AF5" s="32" t="e">
        <f>Z5/AP5</f>
        <v>#DIV/0!</v>
      </c>
      <c r="AG5" s="33"/>
      <c r="AH5" s="76"/>
      <c r="AI5" s="76"/>
      <c r="AJ5" s="77">
        <f>AA5/AR5</f>
        <v>1.5637620444072056</v>
      </c>
      <c r="AK5" s="87"/>
      <c r="AL5" s="87"/>
      <c r="AM5" s="37">
        <v>0</v>
      </c>
      <c r="AN5" s="38">
        <f t="shared" si="2"/>
        <v>0</v>
      </c>
      <c r="AP5" s="39"/>
      <c r="AQ5" s="39"/>
      <c r="AR5" s="39">
        <v>23.87</v>
      </c>
    </row>
    <row r="6" spans="1:47" ht="42.75" customHeight="1" thickTop="1" thickBot="1" x14ac:dyDescent="0.4">
      <c r="A6" s="19" t="s">
        <v>44</v>
      </c>
      <c r="B6" s="19">
        <v>107605</v>
      </c>
      <c r="C6" s="19">
        <v>210.84</v>
      </c>
      <c r="D6" s="19">
        <v>1004.04</v>
      </c>
      <c r="E6" s="19">
        <v>65.64</v>
      </c>
      <c r="F6" s="20" t="s">
        <v>45</v>
      </c>
      <c r="G6" s="21" t="s">
        <v>36</v>
      </c>
      <c r="H6" s="22"/>
      <c r="I6" s="22"/>
      <c r="J6" s="22"/>
      <c r="K6" s="22"/>
      <c r="L6" s="22"/>
      <c r="M6" s="22" t="s">
        <v>37</v>
      </c>
      <c r="N6" s="40"/>
      <c r="O6" s="41" t="s">
        <v>46</v>
      </c>
      <c r="P6" s="24"/>
      <c r="Q6" s="24"/>
      <c r="R6" s="24"/>
      <c r="S6" s="24"/>
      <c r="T6" s="24"/>
      <c r="U6" s="24"/>
      <c r="V6" s="26">
        <v>8625</v>
      </c>
      <c r="W6" s="27">
        <v>5.8</v>
      </c>
      <c r="X6" s="94">
        <v>635.91</v>
      </c>
      <c r="Y6" s="29">
        <f t="shared" si="0"/>
        <v>635.91</v>
      </c>
      <c r="Z6" s="30">
        <f t="shared" si="1"/>
        <v>109.6396551724138</v>
      </c>
      <c r="AA6" s="30"/>
      <c r="AB6" s="98"/>
      <c r="AC6" s="31">
        <f>Y6/10</f>
        <v>63.590999999999994</v>
      </c>
      <c r="AD6" s="31"/>
      <c r="AE6" s="31"/>
      <c r="AF6" s="31"/>
      <c r="AG6" s="42"/>
      <c r="AH6" s="88"/>
      <c r="AI6" s="88"/>
      <c r="AJ6" s="88"/>
      <c r="AK6" s="88"/>
      <c r="AL6" s="88"/>
      <c r="AM6" s="37">
        <v>0</v>
      </c>
      <c r="AN6" s="38">
        <f t="shared" si="2"/>
        <v>0</v>
      </c>
      <c r="AP6" s="39"/>
      <c r="AQ6" s="39"/>
      <c r="AR6" s="39"/>
      <c r="AS6" s="39"/>
    </row>
    <row r="7" spans="1:47" ht="42.75" customHeight="1" thickTop="1" thickBot="1" x14ac:dyDescent="0.4">
      <c r="A7" s="19" t="s">
        <v>47</v>
      </c>
      <c r="B7" s="19"/>
      <c r="C7" s="19"/>
      <c r="D7" s="19"/>
      <c r="E7" s="19"/>
      <c r="F7" s="20" t="s">
        <v>45</v>
      </c>
      <c r="G7" s="21" t="s">
        <v>36</v>
      </c>
      <c r="H7" s="22"/>
      <c r="I7" s="22"/>
      <c r="J7" s="22"/>
      <c r="K7" s="22"/>
      <c r="L7" s="22"/>
      <c r="M7" s="22" t="s">
        <v>37</v>
      </c>
      <c r="N7" s="40"/>
      <c r="O7" s="41" t="s">
        <v>46</v>
      </c>
      <c r="P7" s="24"/>
      <c r="Q7" s="24"/>
      <c r="R7" s="24"/>
      <c r="S7" s="24"/>
      <c r="T7" s="24"/>
      <c r="U7" s="24"/>
      <c r="V7" s="26">
        <v>8625</v>
      </c>
      <c r="W7" s="27">
        <v>1.1599999999999999</v>
      </c>
      <c r="X7" s="28"/>
      <c r="Y7" s="29">
        <f t="shared" si="0"/>
        <v>0</v>
      </c>
      <c r="Z7" s="30">
        <f t="shared" si="1"/>
        <v>0</v>
      </c>
      <c r="AA7" s="30"/>
      <c r="AB7" s="30"/>
      <c r="AC7" s="31">
        <f>Y7/2</f>
        <v>0</v>
      </c>
      <c r="AD7" s="31"/>
      <c r="AE7" s="31"/>
      <c r="AF7" s="31"/>
      <c r="AG7" s="42"/>
      <c r="AH7" s="43"/>
      <c r="AI7" s="43"/>
      <c r="AJ7" s="43"/>
      <c r="AK7" s="43"/>
      <c r="AL7" s="43"/>
      <c r="AM7" s="37">
        <v>0</v>
      </c>
      <c r="AN7" s="38">
        <f t="shared" si="2"/>
        <v>0</v>
      </c>
      <c r="AS7" s="39"/>
    </row>
    <row r="8" spans="1:47" ht="43.5" customHeight="1" thickTop="1" thickBot="1" x14ac:dyDescent="0.4">
      <c r="A8" s="19" t="s">
        <v>48</v>
      </c>
      <c r="B8" s="19">
        <v>108382</v>
      </c>
      <c r="C8" s="19">
        <v>284.02</v>
      </c>
      <c r="D8" s="19">
        <v>1506.09</v>
      </c>
      <c r="E8" s="19">
        <v>75.55</v>
      </c>
      <c r="F8" s="20" t="s">
        <v>45</v>
      </c>
      <c r="G8" s="21" t="s">
        <v>36</v>
      </c>
      <c r="H8" s="22"/>
      <c r="I8" s="22"/>
      <c r="J8" s="22"/>
      <c r="K8" s="22"/>
      <c r="L8" s="22"/>
      <c r="M8" s="22" t="s">
        <v>37</v>
      </c>
      <c r="N8" s="40"/>
      <c r="O8" s="24"/>
      <c r="P8" s="41" t="s">
        <v>46</v>
      </c>
      <c r="Q8" s="24"/>
      <c r="R8" s="24"/>
      <c r="S8" s="41" t="s">
        <v>49</v>
      </c>
      <c r="T8" s="41" t="s">
        <v>50</v>
      </c>
      <c r="U8" s="24"/>
      <c r="V8" s="26">
        <v>8625</v>
      </c>
      <c r="W8" s="27">
        <v>8.6999999999999993</v>
      </c>
      <c r="X8" s="94">
        <v>897.01</v>
      </c>
      <c r="Y8" s="29">
        <f t="shared" si="0"/>
        <v>897.01</v>
      </c>
      <c r="Z8" s="30">
        <f t="shared" si="1"/>
        <v>103.10459770114943</v>
      </c>
      <c r="AA8" s="30"/>
      <c r="AB8" s="98"/>
      <c r="AC8" s="31">
        <f>Y8/10</f>
        <v>89.700999999999993</v>
      </c>
      <c r="AD8" s="31">
        <f>Y8/5</f>
        <v>179.40199999999999</v>
      </c>
      <c r="AE8" s="31"/>
      <c r="AF8" s="31"/>
      <c r="AG8" s="42"/>
      <c r="AH8" s="88"/>
      <c r="AI8" s="88"/>
      <c r="AJ8" s="88"/>
      <c r="AK8" s="88"/>
      <c r="AL8" s="88"/>
      <c r="AM8" s="37">
        <v>0</v>
      </c>
      <c r="AN8" s="38">
        <f t="shared" si="2"/>
        <v>0</v>
      </c>
      <c r="AP8" s="39"/>
      <c r="AQ8" s="39"/>
      <c r="AR8" s="39"/>
      <c r="AS8" s="39"/>
    </row>
    <row r="9" spans="1:47" ht="45" customHeight="1" thickTop="1" thickBot="1" x14ac:dyDescent="0.4">
      <c r="A9" s="19" t="s">
        <v>51</v>
      </c>
      <c r="B9" s="19">
        <v>107612</v>
      </c>
      <c r="C9" s="19">
        <v>520.75</v>
      </c>
      <c r="D9" s="19">
        <v>2008.14</v>
      </c>
      <c r="E9" s="19">
        <v>81.290000000000006</v>
      </c>
      <c r="F9" s="20" t="s">
        <v>45</v>
      </c>
      <c r="G9" s="21" t="s">
        <v>36</v>
      </c>
      <c r="H9" s="22"/>
      <c r="I9" s="22"/>
      <c r="J9" s="22"/>
      <c r="K9" s="22"/>
      <c r="L9" s="22"/>
      <c r="M9" s="22" t="s">
        <v>37</v>
      </c>
      <c r="N9" s="40"/>
      <c r="O9" s="24"/>
      <c r="P9" s="24"/>
      <c r="Q9" s="41" t="s">
        <v>46</v>
      </c>
      <c r="R9" s="41" t="s">
        <v>52</v>
      </c>
      <c r="S9" s="24"/>
      <c r="T9" s="24"/>
      <c r="U9" s="24"/>
      <c r="V9" s="26">
        <v>8625</v>
      </c>
      <c r="W9" s="44">
        <v>11.59</v>
      </c>
      <c r="X9" s="94">
        <v>1202.6600000000001</v>
      </c>
      <c r="Y9" s="29">
        <f t="shared" si="0"/>
        <v>1202.6600000000001</v>
      </c>
      <c r="Z9" s="30">
        <f t="shared" si="1"/>
        <v>103.76704055220019</v>
      </c>
      <c r="AA9" s="30"/>
      <c r="AB9" s="98"/>
      <c r="AC9" s="106">
        <f>Y9/10</f>
        <v>120.26600000000001</v>
      </c>
      <c r="AD9" s="31"/>
      <c r="AE9" s="31"/>
      <c r="AF9" s="31"/>
      <c r="AG9" s="42"/>
      <c r="AH9" s="88"/>
      <c r="AI9" s="88"/>
      <c r="AJ9" s="88"/>
      <c r="AK9" s="89">
        <f>AC9/AS9</f>
        <v>1.0001330561330561</v>
      </c>
      <c r="AL9" s="88"/>
      <c r="AM9" s="37">
        <v>0</v>
      </c>
      <c r="AN9" s="38">
        <f t="shared" si="2"/>
        <v>0</v>
      </c>
      <c r="AP9" s="39"/>
      <c r="AQ9" s="39"/>
      <c r="AR9" s="39"/>
      <c r="AS9" s="39">
        <v>120.25</v>
      </c>
    </row>
    <row r="10" spans="1:47" ht="44.25" customHeight="1" thickTop="1" thickBot="1" x14ac:dyDescent="0.4">
      <c r="A10" s="19" t="s">
        <v>53</v>
      </c>
      <c r="B10" s="19"/>
      <c r="C10" s="19"/>
      <c r="D10" s="19"/>
      <c r="E10" s="19"/>
      <c r="F10" s="20" t="s">
        <v>45</v>
      </c>
      <c r="G10" s="21" t="s">
        <v>36</v>
      </c>
      <c r="H10" s="22"/>
      <c r="I10" s="22"/>
      <c r="J10" s="22"/>
      <c r="K10" s="22"/>
      <c r="L10" s="22"/>
      <c r="M10" s="22" t="s">
        <v>37</v>
      </c>
      <c r="N10" s="40"/>
      <c r="O10" s="24"/>
      <c r="P10" s="24"/>
      <c r="Q10" s="41" t="s">
        <v>46</v>
      </c>
      <c r="R10" s="41" t="s">
        <v>52</v>
      </c>
      <c r="S10" s="24"/>
      <c r="T10" s="24"/>
      <c r="U10" s="24"/>
      <c r="V10" s="26">
        <v>8625</v>
      </c>
      <c r="W10" s="44">
        <v>2.3199999999999998</v>
      </c>
      <c r="X10" s="28"/>
      <c r="Y10" s="29">
        <f t="shared" si="0"/>
        <v>0</v>
      </c>
      <c r="Z10" s="30">
        <f t="shared" si="1"/>
        <v>0</v>
      </c>
      <c r="AA10" s="30"/>
      <c r="AB10" s="30"/>
      <c r="AC10" s="31">
        <f>Y10/2</f>
        <v>0</v>
      </c>
      <c r="AD10" s="31"/>
      <c r="AE10" s="31"/>
      <c r="AF10" s="31"/>
      <c r="AG10" s="42"/>
      <c r="AH10" s="43"/>
      <c r="AI10" s="43"/>
      <c r="AJ10" s="43"/>
      <c r="AK10" s="45">
        <f>AC10/AS10</f>
        <v>0</v>
      </c>
      <c r="AL10" s="43"/>
      <c r="AM10" s="37">
        <v>0</v>
      </c>
      <c r="AN10" s="38">
        <f t="shared" si="2"/>
        <v>0</v>
      </c>
      <c r="AS10" s="39">
        <v>120.25</v>
      </c>
    </row>
    <row r="11" spans="1:47" ht="39" customHeight="1" thickTop="1" thickBot="1" x14ac:dyDescent="0.4">
      <c r="A11" s="19" t="s">
        <v>54</v>
      </c>
      <c r="B11" s="19">
        <v>848783</v>
      </c>
      <c r="C11" s="19">
        <v>66.09</v>
      </c>
      <c r="D11" s="19">
        <v>368.16</v>
      </c>
      <c r="E11" s="19">
        <v>46.2</v>
      </c>
      <c r="F11" s="20" t="s">
        <v>55</v>
      </c>
      <c r="G11" s="21" t="s">
        <v>56</v>
      </c>
      <c r="H11" s="22" t="s">
        <v>37</v>
      </c>
      <c r="I11" s="23" t="s">
        <v>57</v>
      </c>
      <c r="J11" s="24" t="s">
        <v>39</v>
      </c>
      <c r="K11" s="22"/>
      <c r="L11" s="22"/>
      <c r="M11" s="22" t="s">
        <v>37</v>
      </c>
      <c r="N11" s="23" t="s">
        <v>40</v>
      </c>
      <c r="O11" s="46"/>
      <c r="P11" s="46"/>
      <c r="Q11" s="46"/>
      <c r="R11" s="46"/>
      <c r="S11" s="46"/>
      <c r="T11" s="46"/>
      <c r="U11" s="46" t="s">
        <v>37</v>
      </c>
      <c r="V11" s="47">
        <v>4000</v>
      </c>
      <c r="W11" s="44">
        <v>5</v>
      </c>
      <c r="X11" s="28">
        <v>348.27</v>
      </c>
      <c r="Y11" s="29">
        <f t="shared" si="0"/>
        <v>309.96029999999996</v>
      </c>
      <c r="Z11" s="30">
        <f t="shared" si="1"/>
        <v>61.992059999999995</v>
      </c>
      <c r="AA11" s="30">
        <f>Y11/10</f>
        <v>30.996029999999998</v>
      </c>
      <c r="AB11" s="99" t="s">
        <v>144</v>
      </c>
      <c r="AC11" s="31"/>
      <c r="AD11" s="31"/>
      <c r="AE11" s="31"/>
      <c r="AF11" s="32" t="e">
        <f>Z11/AP11</f>
        <v>#DIV/0!</v>
      </c>
      <c r="AG11" s="33"/>
      <c r="AH11" s="76"/>
      <c r="AI11" s="76"/>
      <c r="AJ11" s="77">
        <f>AA11/AR11</f>
        <v>1.2985349811478841</v>
      </c>
      <c r="AK11" s="87"/>
      <c r="AL11" s="87"/>
      <c r="AM11" s="37">
        <v>0.11</v>
      </c>
      <c r="AN11" s="38">
        <f t="shared" si="2"/>
        <v>38.309699999999999</v>
      </c>
      <c r="AP11" s="39"/>
      <c r="AQ11" s="39"/>
      <c r="AR11" s="39">
        <v>23.87</v>
      </c>
    </row>
    <row r="12" spans="1:47" ht="38.25" customHeight="1" thickTop="1" thickBot="1" x14ac:dyDescent="0.4">
      <c r="A12" s="19" t="s">
        <v>58</v>
      </c>
      <c r="B12" s="19">
        <v>125286</v>
      </c>
      <c r="C12" s="19"/>
      <c r="D12" s="19"/>
      <c r="E12" s="19">
        <v>0</v>
      </c>
      <c r="F12" s="20" t="s">
        <v>55</v>
      </c>
      <c r="G12" s="21" t="s">
        <v>56</v>
      </c>
      <c r="H12" s="22" t="s">
        <v>37</v>
      </c>
      <c r="I12" s="23" t="s">
        <v>57</v>
      </c>
      <c r="J12" s="24" t="s">
        <v>39</v>
      </c>
      <c r="K12" s="22"/>
      <c r="L12" s="22"/>
      <c r="M12" s="22" t="s">
        <v>37</v>
      </c>
      <c r="N12" s="23" t="s">
        <v>40</v>
      </c>
      <c r="O12" s="46"/>
      <c r="P12" s="46"/>
      <c r="Q12" s="46"/>
      <c r="R12" s="46"/>
      <c r="S12" s="46"/>
      <c r="T12" s="46"/>
      <c r="U12" s="46" t="s">
        <v>37</v>
      </c>
      <c r="V12" s="47">
        <v>4000</v>
      </c>
      <c r="W12" s="44">
        <v>25</v>
      </c>
      <c r="X12" s="28">
        <v>1315.6</v>
      </c>
      <c r="Y12" s="29">
        <f t="shared" si="0"/>
        <v>1315.6</v>
      </c>
      <c r="Z12" s="30">
        <f t="shared" si="1"/>
        <v>52.623999999999995</v>
      </c>
      <c r="AA12" s="30">
        <f>Y12/50</f>
        <v>26.311999999999998</v>
      </c>
      <c r="AB12" s="30"/>
      <c r="AC12" s="31"/>
      <c r="AD12" s="31"/>
      <c r="AE12" s="31"/>
      <c r="AF12" s="32" t="e">
        <f>Z12/AP12</f>
        <v>#DIV/0!</v>
      </c>
      <c r="AG12" s="33"/>
      <c r="AH12" s="34" t="e">
        <f t="shared" ref="AH12:AH14" si="3">AA12/AP12</f>
        <v>#DIV/0!</v>
      </c>
      <c r="AI12" s="35" t="e">
        <f t="shared" ref="AI12:AI14" si="4">AA12/AQ12</f>
        <v>#DIV/0!</v>
      </c>
      <c r="AJ12" s="35"/>
      <c r="AK12" s="36"/>
      <c r="AL12" s="36"/>
      <c r="AM12" s="37">
        <v>0</v>
      </c>
      <c r="AN12" s="38">
        <f t="shared" si="2"/>
        <v>0</v>
      </c>
      <c r="AP12" s="39"/>
      <c r="AQ12" s="39"/>
      <c r="AR12" s="39"/>
    </row>
    <row r="13" spans="1:47" ht="44.25" customHeight="1" thickTop="1" thickBot="1" x14ac:dyDescent="0.4">
      <c r="A13" s="19" t="s">
        <v>59</v>
      </c>
      <c r="B13" s="19">
        <v>847085</v>
      </c>
      <c r="C13" s="19">
        <v>87.97</v>
      </c>
      <c r="D13" s="19">
        <v>736.33</v>
      </c>
      <c r="E13" s="19">
        <v>0</v>
      </c>
      <c r="F13" s="20" t="s">
        <v>55</v>
      </c>
      <c r="G13" s="21" t="s">
        <v>56</v>
      </c>
      <c r="H13" s="22" t="s">
        <v>37</v>
      </c>
      <c r="I13" s="23" t="s">
        <v>57</v>
      </c>
      <c r="J13" s="22"/>
      <c r="K13" s="24" t="s">
        <v>39</v>
      </c>
      <c r="L13" s="24" t="s">
        <v>39</v>
      </c>
      <c r="M13" s="22" t="s">
        <v>37</v>
      </c>
      <c r="N13" s="23" t="s">
        <v>40</v>
      </c>
      <c r="O13" s="46"/>
      <c r="P13" s="46"/>
      <c r="Q13" s="46"/>
      <c r="R13" s="46"/>
      <c r="S13" s="46"/>
      <c r="T13" s="46"/>
      <c r="U13" s="46" t="s">
        <v>37</v>
      </c>
      <c r="V13" s="47">
        <v>4000</v>
      </c>
      <c r="W13" s="44">
        <v>10</v>
      </c>
      <c r="X13" s="28">
        <v>648.36</v>
      </c>
      <c r="Y13" s="29">
        <f t="shared" si="0"/>
        <v>577.04039999999998</v>
      </c>
      <c r="Z13" s="30">
        <f t="shared" si="1"/>
        <v>57.704039999999999</v>
      </c>
      <c r="AA13" s="30">
        <f>Y13/10</f>
        <v>57.704039999999999</v>
      </c>
      <c r="AB13" s="98"/>
      <c r="AC13" s="31"/>
      <c r="AD13" s="31"/>
      <c r="AE13" s="31"/>
      <c r="AF13" s="32">
        <f>Z13/AP13</f>
        <v>1.7926076421248835</v>
      </c>
      <c r="AG13" s="33"/>
      <c r="AH13" s="78">
        <f t="shared" si="3"/>
        <v>1.7926076421248835</v>
      </c>
      <c r="AI13" s="79">
        <f t="shared" si="4"/>
        <v>1.2074500941619586</v>
      </c>
      <c r="AJ13" s="76"/>
      <c r="AK13" s="87"/>
      <c r="AL13" s="87"/>
      <c r="AM13" s="37">
        <v>0.11</v>
      </c>
      <c r="AN13" s="38">
        <f t="shared" si="2"/>
        <v>71.319600000000008</v>
      </c>
      <c r="AP13" s="39">
        <v>32.19</v>
      </c>
      <c r="AQ13" s="39">
        <v>47.79</v>
      </c>
      <c r="AR13" s="39"/>
    </row>
    <row r="14" spans="1:47" ht="41.25" customHeight="1" thickTop="1" thickBot="1" x14ac:dyDescent="0.4">
      <c r="A14" s="19" t="s">
        <v>60</v>
      </c>
      <c r="B14" s="19">
        <v>125287</v>
      </c>
      <c r="C14" s="19"/>
      <c r="D14" s="19"/>
      <c r="E14" s="19"/>
      <c r="F14" s="20" t="s">
        <v>55</v>
      </c>
      <c r="G14" s="21" t="s">
        <v>56</v>
      </c>
      <c r="H14" s="22" t="s">
        <v>37</v>
      </c>
      <c r="I14" s="23" t="s">
        <v>57</v>
      </c>
      <c r="J14" s="22"/>
      <c r="K14" s="24" t="s">
        <v>39</v>
      </c>
      <c r="L14" s="24" t="s">
        <v>39</v>
      </c>
      <c r="M14" s="22" t="s">
        <v>37</v>
      </c>
      <c r="N14" s="23" t="s">
        <v>40</v>
      </c>
      <c r="O14" s="46"/>
      <c r="P14" s="46"/>
      <c r="Q14" s="46"/>
      <c r="R14" s="46"/>
      <c r="S14" s="46"/>
      <c r="T14" s="46"/>
      <c r="U14" s="46" t="s">
        <v>37</v>
      </c>
      <c r="V14" s="47">
        <v>4000</v>
      </c>
      <c r="W14" s="44">
        <v>50</v>
      </c>
      <c r="X14" s="28">
        <v>1897.5</v>
      </c>
      <c r="Y14" s="29">
        <f t="shared" si="0"/>
        <v>1897.5</v>
      </c>
      <c r="Z14" s="30">
        <f t="shared" si="1"/>
        <v>37.950000000000003</v>
      </c>
      <c r="AA14" s="30">
        <f>Y14/50</f>
        <v>37.950000000000003</v>
      </c>
      <c r="AB14" s="30"/>
      <c r="AC14" s="31"/>
      <c r="AD14" s="31"/>
      <c r="AE14" s="31"/>
      <c r="AF14" s="32" t="e">
        <f>Z14/AP14</f>
        <v>#DIV/0!</v>
      </c>
      <c r="AG14" s="33"/>
      <c r="AH14" s="34" t="e">
        <f t="shared" si="3"/>
        <v>#DIV/0!</v>
      </c>
      <c r="AI14" s="35" t="e">
        <f t="shared" si="4"/>
        <v>#DIV/0!</v>
      </c>
      <c r="AJ14" s="35"/>
      <c r="AK14" s="36"/>
      <c r="AL14" s="36"/>
      <c r="AM14" s="37">
        <v>0</v>
      </c>
      <c r="AN14" s="38">
        <f t="shared" si="2"/>
        <v>0</v>
      </c>
      <c r="AP14" s="39"/>
      <c r="AQ14" s="39"/>
      <c r="AR14" s="39"/>
    </row>
    <row r="15" spans="1:47" ht="44.25" customHeight="1" thickTop="1" thickBot="1" x14ac:dyDescent="0.4">
      <c r="A15" s="19" t="s">
        <v>59</v>
      </c>
      <c r="B15" s="19">
        <v>115401</v>
      </c>
      <c r="C15" s="19">
        <v>87.97</v>
      </c>
      <c r="D15" s="19">
        <v>736.33</v>
      </c>
      <c r="E15" s="19">
        <v>0</v>
      </c>
      <c r="F15" s="20" t="s">
        <v>55</v>
      </c>
      <c r="G15" s="21" t="s">
        <v>56</v>
      </c>
      <c r="H15" s="22" t="s">
        <v>37</v>
      </c>
      <c r="I15" s="23" t="s">
        <v>57</v>
      </c>
      <c r="J15" s="22"/>
      <c r="K15" s="22"/>
      <c r="L15" s="22"/>
      <c r="M15" s="22" t="s">
        <v>37</v>
      </c>
      <c r="N15" s="40"/>
      <c r="O15" s="41" t="s">
        <v>61</v>
      </c>
      <c r="P15" s="46"/>
      <c r="Q15" s="46"/>
      <c r="R15" s="46"/>
      <c r="S15" s="46"/>
      <c r="T15" s="46"/>
      <c r="U15" s="46" t="s">
        <v>37</v>
      </c>
      <c r="V15" s="47">
        <v>11250</v>
      </c>
      <c r="W15" s="44">
        <v>3.56</v>
      </c>
      <c r="X15" s="28">
        <v>648.36</v>
      </c>
      <c r="Y15" s="29">
        <f t="shared" si="0"/>
        <v>577.04039999999998</v>
      </c>
      <c r="Z15" s="30">
        <f t="shared" si="1"/>
        <v>162.09</v>
      </c>
      <c r="AA15" s="30"/>
      <c r="AB15" s="98"/>
      <c r="AC15" s="31"/>
      <c r="AD15" s="31"/>
      <c r="AE15" s="31">
        <f>Y15/5</f>
        <v>115.40808</v>
      </c>
      <c r="AF15" s="32"/>
      <c r="AG15" s="42"/>
      <c r="AH15" s="88"/>
      <c r="AI15" s="88"/>
      <c r="AJ15" s="88"/>
      <c r="AK15" s="88"/>
      <c r="AL15" s="88"/>
      <c r="AM15" s="37">
        <v>0.11</v>
      </c>
      <c r="AN15" s="38">
        <f t="shared" si="2"/>
        <v>71.319600000000008</v>
      </c>
      <c r="AP15" s="39"/>
      <c r="AQ15" s="39"/>
      <c r="AR15" s="39"/>
      <c r="AS15" s="39"/>
    </row>
    <row r="16" spans="1:47" ht="41.25" customHeight="1" thickTop="1" thickBot="1" x14ac:dyDescent="0.4">
      <c r="A16" s="19" t="s">
        <v>60</v>
      </c>
      <c r="B16" s="19">
        <v>125287</v>
      </c>
      <c r="C16" s="19"/>
      <c r="D16" s="19"/>
      <c r="E16" s="19"/>
      <c r="F16" s="20" t="s">
        <v>55</v>
      </c>
      <c r="G16" s="21" t="s">
        <v>56</v>
      </c>
      <c r="H16" s="22" t="s">
        <v>37</v>
      </c>
      <c r="I16" s="23" t="s">
        <v>57</v>
      </c>
      <c r="J16" s="22"/>
      <c r="K16" s="22"/>
      <c r="L16" s="22"/>
      <c r="M16" s="22" t="s">
        <v>37</v>
      </c>
      <c r="N16" s="40"/>
      <c r="O16" s="41" t="s">
        <v>61</v>
      </c>
      <c r="P16" s="46"/>
      <c r="Q16" s="46"/>
      <c r="R16" s="46"/>
      <c r="S16" s="46"/>
      <c r="T16" s="46"/>
      <c r="U16" s="46" t="s">
        <v>37</v>
      </c>
      <c r="V16" s="47">
        <v>11250</v>
      </c>
      <c r="W16" s="44">
        <v>17.78</v>
      </c>
      <c r="X16" s="28">
        <v>1897.5</v>
      </c>
      <c r="Y16" s="29">
        <f t="shared" si="0"/>
        <v>1897.5</v>
      </c>
      <c r="Z16" s="30">
        <f t="shared" si="1"/>
        <v>106.72103487064116</v>
      </c>
      <c r="AA16" s="30"/>
      <c r="AB16" s="30"/>
      <c r="AC16" s="31"/>
      <c r="AD16" s="31"/>
      <c r="AE16" s="31">
        <f>Y16/25</f>
        <v>75.900000000000006</v>
      </c>
      <c r="AF16" s="32"/>
      <c r="AG16" s="42"/>
      <c r="AH16" s="43"/>
      <c r="AI16" s="43"/>
      <c r="AJ16" s="43"/>
      <c r="AK16" s="43"/>
      <c r="AL16" s="43"/>
      <c r="AM16" s="37">
        <v>0</v>
      </c>
      <c r="AN16" s="38">
        <f t="shared" si="2"/>
        <v>0</v>
      </c>
      <c r="AP16" s="39"/>
      <c r="AQ16" s="39"/>
      <c r="AR16" s="39"/>
      <c r="AS16" s="39"/>
    </row>
    <row r="17" spans="1:46" ht="52.5" customHeight="1" thickTop="1" thickBot="1" x14ac:dyDescent="0.4">
      <c r="A17" s="19" t="s">
        <v>62</v>
      </c>
      <c r="B17" s="19">
        <v>848209</v>
      </c>
      <c r="C17" s="19">
        <v>77.540000000000006</v>
      </c>
      <c r="D17" s="19">
        <v>923.75</v>
      </c>
      <c r="E17" s="19">
        <v>0</v>
      </c>
      <c r="F17" s="20" t="s">
        <v>55</v>
      </c>
      <c r="G17" s="21" t="s">
        <v>56</v>
      </c>
      <c r="H17" s="22" t="s">
        <v>37</v>
      </c>
      <c r="I17" s="23" t="s">
        <v>57</v>
      </c>
      <c r="J17" s="22"/>
      <c r="K17" s="22"/>
      <c r="L17" s="22"/>
      <c r="M17" s="22" t="s">
        <v>37</v>
      </c>
      <c r="N17" s="40"/>
      <c r="O17" s="48" t="s">
        <v>63</v>
      </c>
      <c r="P17" s="41" t="s">
        <v>61</v>
      </c>
      <c r="Q17" s="46"/>
      <c r="R17" s="46"/>
      <c r="S17" s="46"/>
      <c r="T17" s="46"/>
      <c r="U17" s="46" t="s">
        <v>37</v>
      </c>
      <c r="V17" s="47">
        <v>11250</v>
      </c>
      <c r="W17" s="44">
        <v>5.33</v>
      </c>
      <c r="X17" s="28">
        <v>846.27</v>
      </c>
      <c r="Y17" s="29">
        <f t="shared" si="0"/>
        <v>753.18029999999999</v>
      </c>
      <c r="Z17" s="30">
        <f t="shared" si="1"/>
        <v>141.30962476547842</v>
      </c>
      <c r="AA17" s="30"/>
      <c r="AB17" s="98"/>
      <c r="AC17" s="31">
        <f>Y17/10</f>
        <v>75.318029999999993</v>
      </c>
      <c r="AD17" s="31"/>
      <c r="AE17" s="31">
        <f>Y17/5</f>
        <v>150.63605999999999</v>
      </c>
      <c r="AF17" s="31"/>
      <c r="AG17" s="42"/>
      <c r="AH17" s="88"/>
      <c r="AI17" s="88"/>
      <c r="AJ17" s="88"/>
      <c r="AK17" s="88"/>
      <c r="AL17" s="88"/>
      <c r="AM17" s="37">
        <v>0.11</v>
      </c>
      <c r="AN17" s="38">
        <f t="shared" si="2"/>
        <v>93.089699999999993</v>
      </c>
      <c r="AP17" s="39"/>
      <c r="AQ17" s="39"/>
      <c r="AR17" s="39"/>
      <c r="AS17" s="39"/>
    </row>
    <row r="18" spans="1:46" ht="55.5" customHeight="1" thickTop="1" thickBot="1" x14ac:dyDescent="0.4">
      <c r="A18" s="19" t="s">
        <v>64</v>
      </c>
      <c r="B18" s="19">
        <v>125288</v>
      </c>
      <c r="C18" s="19"/>
      <c r="D18" s="19"/>
      <c r="E18" s="19"/>
      <c r="F18" s="20" t="s">
        <v>55</v>
      </c>
      <c r="G18" s="21" t="s">
        <v>56</v>
      </c>
      <c r="H18" s="22" t="s">
        <v>37</v>
      </c>
      <c r="I18" s="23" t="s">
        <v>57</v>
      </c>
      <c r="J18" s="22"/>
      <c r="K18" s="22"/>
      <c r="L18" s="22"/>
      <c r="M18" s="22" t="s">
        <v>37</v>
      </c>
      <c r="N18" s="40"/>
      <c r="O18" s="48" t="s">
        <v>63</v>
      </c>
      <c r="P18" s="41" t="s">
        <v>61</v>
      </c>
      <c r="Q18" s="46"/>
      <c r="R18" s="46"/>
      <c r="S18" s="46"/>
      <c r="T18" s="46"/>
      <c r="U18" s="46" t="s">
        <v>37</v>
      </c>
      <c r="V18" s="47">
        <v>11250</v>
      </c>
      <c r="W18" s="44">
        <v>26.6</v>
      </c>
      <c r="X18" s="28">
        <v>2722.5</v>
      </c>
      <c r="Y18" s="29">
        <f t="shared" si="0"/>
        <v>2722.5</v>
      </c>
      <c r="Z18" s="30">
        <f t="shared" si="1"/>
        <v>102.34962406015038</v>
      </c>
      <c r="AA18" s="30"/>
      <c r="AB18" s="30"/>
      <c r="AC18" s="31">
        <f>Y18/50</f>
        <v>54.45</v>
      </c>
      <c r="AD18" s="31"/>
      <c r="AE18" s="31">
        <f>Y18/25</f>
        <v>108.9</v>
      </c>
      <c r="AF18" s="31"/>
      <c r="AG18" s="42"/>
      <c r="AH18" s="43"/>
      <c r="AI18" s="43"/>
      <c r="AJ18" s="43"/>
      <c r="AK18" s="43"/>
      <c r="AL18" s="43"/>
      <c r="AM18" s="37">
        <v>0</v>
      </c>
      <c r="AN18" s="38">
        <f t="shared" si="2"/>
        <v>0</v>
      </c>
      <c r="AS18" s="39"/>
    </row>
    <row r="19" spans="1:46" ht="40.5" customHeight="1" thickTop="1" thickBot="1" x14ac:dyDescent="0.4">
      <c r="A19" s="19" t="s">
        <v>65</v>
      </c>
      <c r="B19" s="19">
        <v>849302</v>
      </c>
      <c r="C19" s="19">
        <v>89.83</v>
      </c>
      <c r="D19" s="19">
        <v>1231.6600000000001</v>
      </c>
      <c r="E19" s="19">
        <v>0</v>
      </c>
      <c r="F19" s="20" t="s">
        <v>55</v>
      </c>
      <c r="G19" s="21" t="s">
        <v>56</v>
      </c>
      <c r="H19" s="22" t="s">
        <v>37</v>
      </c>
      <c r="I19" s="23" t="s">
        <v>57</v>
      </c>
      <c r="J19" s="22"/>
      <c r="K19" s="22"/>
      <c r="L19" s="22"/>
      <c r="M19" s="22" t="s">
        <v>37</v>
      </c>
      <c r="N19" s="40"/>
      <c r="O19" s="48" t="s">
        <v>66</v>
      </c>
      <c r="P19" s="48" t="s">
        <v>67</v>
      </c>
      <c r="Q19" s="41" t="s">
        <v>61</v>
      </c>
      <c r="R19" s="46"/>
      <c r="S19" s="46"/>
      <c r="T19" s="41" t="s">
        <v>68</v>
      </c>
      <c r="U19" s="46" t="s">
        <v>37</v>
      </c>
      <c r="V19" s="47">
        <v>11250</v>
      </c>
      <c r="W19" s="44">
        <v>7.11</v>
      </c>
      <c r="X19" s="28">
        <v>1141.83</v>
      </c>
      <c r="Y19" s="29">
        <f t="shared" si="0"/>
        <v>1016.2286999999999</v>
      </c>
      <c r="Z19" s="30">
        <f t="shared" si="1"/>
        <v>142.92949367088605</v>
      </c>
      <c r="AA19" s="30"/>
      <c r="AB19" s="30"/>
      <c r="AC19" s="31">
        <f>Y19/10</f>
        <v>101.62286999999999</v>
      </c>
      <c r="AD19" s="31"/>
      <c r="AE19" s="31">
        <f>Y19/5</f>
        <v>203.24573999999998</v>
      </c>
      <c r="AF19" s="31"/>
      <c r="AG19" s="49">
        <f>Y19/2.5</f>
        <v>406.49147999999997</v>
      </c>
      <c r="AH19" s="50"/>
      <c r="AI19" s="50"/>
      <c r="AJ19" s="50"/>
      <c r="AK19" s="51"/>
      <c r="AL19" s="52">
        <f>AE19/AT19</f>
        <v>1.6385499838761688</v>
      </c>
      <c r="AM19" s="37">
        <v>0.11</v>
      </c>
      <c r="AN19" s="38">
        <f t="shared" si="2"/>
        <v>125.60129999999999</v>
      </c>
      <c r="AS19" s="39"/>
      <c r="AT19" s="39">
        <v>124.04</v>
      </c>
    </row>
    <row r="20" spans="1:46" ht="30.75" customHeight="1" thickTop="1" thickBot="1" x14ac:dyDescent="0.4">
      <c r="A20" s="19" t="s">
        <v>69</v>
      </c>
      <c r="B20" s="19">
        <v>125289</v>
      </c>
      <c r="C20" s="19"/>
      <c r="D20" s="19"/>
      <c r="E20" s="19"/>
      <c r="F20" s="20" t="s">
        <v>55</v>
      </c>
      <c r="G20" s="21" t="s">
        <v>56</v>
      </c>
      <c r="H20" s="22" t="s">
        <v>37</v>
      </c>
      <c r="I20" s="23" t="s">
        <v>57</v>
      </c>
      <c r="J20" s="22"/>
      <c r="K20" s="22"/>
      <c r="L20" s="22"/>
      <c r="M20" s="22" t="s">
        <v>37</v>
      </c>
      <c r="N20" s="40"/>
      <c r="O20" s="48" t="s">
        <v>66</v>
      </c>
      <c r="P20" s="48" t="s">
        <v>67</v>
      </c>
      <c r="Q20" s="41" t="s">
        <v>61</v>
      </c>
      <c r="R20" s="46"/>
      <c r="S20" s="46"/>
      <c r="T20" s="41" t="s">
        <v>68</v>
      </c>
      <c r="U20" s="46" t="s">
        <v>37</v>
      </c>
      <c r="V20" s="47">
        <v>11250</v>
      </c>
      <c r="W20" s="44">
        <v>35.6</v>
      </c>
      <c r="X20" s="28">
        <v>3685</v>
      </c>
      <c r="Y20" s="29">
        <f t="shared" si="0"/>
        <v>3685</v>
      </c>
      <c r="Z20" s="30">
        <f t="shared" si="1"/>
        <v>103.51123595505618</v>
      </c>
      <c r="AA20" s="30"/>
      <c r="AB20" s="30"/>
      <c r="AC20" s="31">
        <f>Y20/50</f>
        <v>73.7</v>
      </c>
      <c r="AD20" s="31"/>
      <c r="AE20" s="31">
        <f>Y20/25</f>
        <v>147.4</v>
      </c>
      <c r="AF20" s="31"/>
      <c r="AG20" s="49">
        <f>Y20/12.5</f>
        <v>294.8</v>
      </c>
      <c r="AH20" s="50"/>
      <c r="AI20" s="50"/>
      <c r="AJ20" s="50"/>
      <c r="AK20" s="51"/>
      <c r="AL20" s="52">
        <f>AE20/AT20</f>
        <v>1.1883263463398903</v>
      </c>
      <c r="AM20" s="37">
        <v>0</v>
      </c>
      <c r="AN20" s="38">
        <f t="shared" si="2"/>
        <v>0</v>
      </c>
      <c r="AS20" s="39"/>
      <c r="AT20" s="39">
        <v>124.04</v>
      </c>
    </row>
    <row r="21" spans="1:46" ht="55.5" customHeight="1" thickTop="1" thickBot="1" x14ac:dyDescent="0.4">
      <c r="A21" s="19" t="s">
        <v>70</v>
      </c>
      <c r="B21" s="19">
        <v>848965</v>
      </c>
      <c r="C21" s="19">
        <v>301.73</v>
      </c>
      <c r="D21" s="19">
        <v>1539.57</v>
      </c>
      <c r="E21" s="19">
        <v>0</v>
      </c>
      <c r="F21" s="20" t="s">
        <v>55</v>
      </c>
      <c r="G21" s="21" t="s">
        <v>56</v>
      </c>
      <c r="H21" s="22" t="s">
        <v>37</v>
      </c>
      <c r="I21" s="23" t="s">
        <v>57</v>
      </c>
      <c r="J21" s="22"/>
      <c r="K21" s="22"/>
      <c r="L21" s="22"/>
      <c r="M21" s="22" t="s">
        <v>37</v>
      </c>
      <c r="N21" s="40"/>
      <c r="O21" s="46"/>
      <c r="P21" s="48" t="s">
        <v>71</v>
      </c>
      <c r="Q21" s="48" t="s">
        <v>72</v>
      </c>
      <c r="R21" s="41" t="s">
        <v>61</v>
      </c>
      <c r="S21" s="46"/>
      <c r="T21" s="46"/>
      <c r="U21" s="46" t="s">
        <v>37</v>
      </c>
      <c r="V21" s="47">
        <v>11250</v>
      </c>
      <c r="W21" s="44">
        <v>8.89</v>
      </c>
      <c r="X21" s="28">
        <v>1237.83</v>
      </c>
      <c r="Y21" s="29">
        <f t="shared" si="0"/>
        <v>1101.6686999999999</v>
      </c>
      <c r="Z21" s="30">
        <f t="shared" si="1"/>
        <v>123.92223847019122</v>
      </c>
      <c r="AA21" s="30"/>
      <c r="AB21" s="98"/>
      <c r="AC21" s="31">
        <f>Y21/10</f>
        <v>110.16686999999999</v>
      </c>
      <c r="AD21" s="31"/>
      <c r="AE21" s="31">
        <f>Y21/5</f>
        <v>220.33373999999998</v>
      </c>
      <c r="AF21" s="31"/>
      <c r="AG21" s="42"/>
      <c r="AH21" s="88"/>
      <c r="AI21" s="88"/>
      <c r="AJ21" s="88"/>
      <c r="AK21" s="90"/>
      <c r="AL21" s="88"/>
      <c r="AM21" s="37">
        <v>0.11</v>
      </c>
      <c r="AN21" s="38">
        <f t="shared" si="2"/>
        <v>136.16129999999998</v>
      </c>
      <c r="AP21" s="39"/>
      <c r="AQ21" s="39"/>
      <c r="AR21" s="39"/>
      <c r="AS21" s="39"/>
    </row>
    <row r="22" spans="1:46" ht="54" customHeight="1" thickTop="1" thickBot="1" x14ac:dyDescent="0.4">
      <c r="A22" s="19" t="s">
        <v>73</v>
      </c>
      <c r="B22" s="19">
        <v>125290</v>
      </c>
      <c r="C22" s="19"/>
      <c r="D22" s="19"/>
      <c r="E22" s="19"/>
      <c r="F22" s="20" t="s">
        <v>55</v>
      </c>
      <c r="G22" s="21" t="s">
        <v>56</v>
      </c>
      <c r="H22" s="22" t="s">
        <v>37</v>
      </c>
      <c r="I22" s="23" t="s">
        <v>57</v>
      </c>
      <c r="J22" s="22"/>
      <c r="K22" s="22"/>
      <c r="L22" s="22"/>
      <c r="M22" s="22" t="s">
        <v>37</v>
      </c>
      <c r="N22" s="40"/>
      <c r="O22" s="46"/>
      <c r="P22" s="48" t="s">
        <v>71</v>
      </c>
      <c r="Q22" s="48" t="s">
        <v>72</v>
      </c>
      <c r="R22" s="41" t="s">
        <v>61</v>
      </c>
      <c r="S22" s="46"/>
      <c r="T22" s="46"/>
      <c r="U22" s="46" t="s">
        <v>37</v>
      </c>
      <c r="V22" s="47">
        <v>11250</v>
      </c>
      <c r="W22" s="44">
        <v>44.4</v>
      </c>
      <c r="X22" s="28">
        <v>4455</v>
      </c>
      <c r="Y22" s="29">
        <f t="shared" si="0"/>
        <v>4455</v>
      </c>
      <c r="Z22" s="30">
        <f t="shared" si="1"/>
        <v>100.33783783783784</v>
      </c>
      <c r="AA22" s="30"/>
      <c r="AB22" s="30"/>
      <c r="AC22" s="31">
        <f>Y22/50</f>
        <v>89.1</v>
      </c>
      <c r="AD22" s="31"/>
      <c r="AE22" s="31">
        <f>Y22/25</f>
        <v>178.2</v>
      </c>
      <c r="AF22" s="31"/>
      <c r="AG22" s="42"/>
      <c r="AH22" s="43"/>
      <c r="AI22" s="43"/>
      <c r="AJ22" s="43"/>
      <c r="AK22" s="53"/>
      <c r="AL22" s="43"/>
      <c r="AM22" s="37">
        <v>0</v>
      </c>
      <c r="AN22" s="38">
        <f t="shared" si="2"/>
        <v>0</v>
      </c>
      <c r="AS22" s="39"/>
    </row>
    <row r="23" spans="1:46" ht="53.25" customHeight="1" thickTop="1" thickBot="1" x14ac:dyDescent="0.4">
      <c r="A23" s="19" t="s">
        <v>74</v>
      </c>
      <c r="B23" s="19">
        <v>850147</v>
      </c>
      <c r="C23" s="19">
        <v>361</v>
      </c>
      <c r="D23" s="19">
        <v>1847.49</v>
      </c>
      <c r="E23" s="19">
        <v>99.98</v>
      </c>
      <c r="F23" s="20" t="s">
        <v>75</v>
      </c>
      <c r="G23" s="21" t="s">
        <v>56</v>
      </c>
      <c r="H23" s="22" t="s">
        <v>37</v>
      </c>
      <c r="I23" s="23" t="s">
        <v>57</v>
      </c>
      <c r="J23" s="22"/>
      <c r="K23" s="22"/>
      <c r="L23" s="22"/>
      <c r="M23" s="22" t="s">
        <v>37</v>
      </c>
      <c r="N23" s="40"/>
      <c r="O23" s="46"/>
      <c r="P23" s="46"/>
      <c r="Q23" s="48" t="s">
        <v>76</v>
      </c>
      <c r="R23" s="46"/>
      <c r="S23" s="41" t="s">
        <v>61</v>
      </c>
      <c r="T23" s="24"/>
      <c r="U23" s="46" t="s">
        <v>37</v>
      </c>
      <c r="V23" s="47">
        <v>11250</v>
      </c>
      <c r="W23" s="54">
        <v>10.67</v>
      </c>
      <c r="X23" s="55">
        <v>1586.49</v>
      </c>
      <c r="Y23" s="56">
        <f t="shared" si="0"/>
        <v>1411.9761000000001</v>
      </c>
      <c r="Z23" s="30">
        <f t="shared" si="1"/>
        <v>132.33140581068417</v>
      </c>
      <c r="AA23" s="30"/>
      <c r="AB23" s="110" t="s">
        <v>155</v>
      </c>
      <c r="AC23" s="106">
        <f>Y23/10</f>
        <v>141.19761</v>
      </c>
      <c r="AD23" s="31"/>
      <c r="AE23" s="31">
        <f>Y23/5</f>
        <v>282.39521999999999</v>
      </c>
      <c r="AF23" s="31"/>
      <c r="AG23" s="42"/>
      <c r="AH23" s="88"/>
      <c r="AI23" s="88"/>
      <c r="AJ23" s="88"/>
      <c r="AK23" s="89">
        <f>AC23/AS23</f>
        <v>1.1742004989604988</v>
      </c>
      <c r="AL23" s="88"/>
      <c r="AM23" s="37">
        <v>0.11</v>
      </c>
      <c r="AN23" s="38">
        <f t="shared" si="2"/>
        <v>174.51390000000001</v>
      </c>
      <c r="AP23" s="39"/>
      <c r="AQ23" s="39"/>
      <c r="AR23" s="39"/>
      <c r="AS23" s="39">
        <v>120.25</v>
      </c>
    </row>
    <row r="24" spans="1:46" ht="63.75" customHeight="1" thickTop="1" thickBot="1" x14ac:dyDescent="0.4">
      <c r="A24" s="19" t="s">
        <v>77</v>
      </c>
      <c r="B24" s="19">
        <v>107951</v>
      </c>
      <c r="C24" s="19">
        <v>328.11</v>
      </c>
      <c r="D24" s="19">
        <v>2309.37</v>
      </c>
      <c r="E24" s="19">
        <v>0</v>
      </c>
      <c r="F24" s="20" t="s">
        <v>75</v>
      </c>
      <c r="G24" s="21" t="s">
        <v>56</v>
      </c>
      <c r="H24" s="22" t="s">
        <v>37</v>
      </c>
      <c r="I24" s="23" t="s">
        <v>57</v>
      </c>
      <c r="J24" s="22"/>
      <c r="K24" s="22"/>
      <c r="L24" s="22"/>
      <c r="M24" s="22" t="s">
        <v>37</v>
      </c>
      <c r="N24" s="40"/>
      <c r="O24" s="46"/>
      <c r="P24" s="46"/>
      <c r="Q24" s="46"/>
      <c r="R24" s="48" t="s">
        <v>78</v>
      </c>
      <c r="S24" s="46"/>
      <c r="T24" s="41" t="s">
        <v>79</v>
      </c>
      <c r="U24" s="46" t="s">
        <v>37</v>
      </c>
      <c r="V24" s="47">
        <v>11250</v>
      </c>
      <c r="W24" s="57">
        <v>13.33</v>
      </c>
      <c r="X24" s="55">
        <v>1981.24</v>
      </c>
      <c r="Y24" s="56">
        <f t="shared" si="0"/>
        <v>1763.3036</v>
      </c>
      <c r="Z24" s="58">
        <f t="shared" si="1"/>
        <v>132.2808402100525</v>
      </c>
      <c r="AA24" s="58"/>
      <c r="AB24" s="100"/>
      <c r="AC24" s="31">
        <f>Y24/10</f>
        <v>176.33035999999998</v>
      </c>
      <c r="AD24" s="31"/>
      <c r="AE24" s="31">
        <f>Y24/5</f>
        <v>352.66071999999997</v>
      </c>
      <c r="AF24" s="59"/>
      <c r="AG24" s="42"/>
      <c r="AH24" s="88"/>
      <c r="AI24" s="88"/>
      <c r="AJ24" s="88"/>
      <c r="AK24" s="88"/>
      <c r="AL24" s="88"/>
      <c r="AM24" s="37">
        <v>0.11</v>
      </c>
      <c r="AN24" s="38">
        <f t="shared" si="2"/>
        <v>217.93639999999999</v>
      </c>
      <c r="AP24" s="39"/>
      <c r="AQ24" s="39"/>
      <c r="AR24" s="39"/>
      <c r="AS24" s="39"/>
    </row>
    <row r="25" spans="1:46" ht="39" customHeight="1" thickTop="1" thickBot="1" x14ac:dyDescent="0.4">
      <c r="A25" s="19" t="s">
        <v>80</v>
      </c>
      <c r="B25" s="19">
        <v>219050</v>
      </c>
      <c r="C25" s="19">
        <v>98.8</v>
      </c>
      <c r="D25" s="19">
        <v>368.16</v>
      </c>
      <c r="E25" s="19">
        <v>10.039999999999999</v>
      </c>
      <c r="F25" s="20" t="s">
        <v>55</v>
      </c>
      <c r="G25" s="21" t="s">
        <v>138</v>
      </c>
      <c r="H25" s="22" t="s">
        <v>37</v>
      </c>
      <c r="I25" s="23" t="s">
        <v>57</v>
      </c>
      <c r="J25" s="24" t="s">
        <v>39</v>
      </c>
      <c r="K25" s="22"/>
      <c r="L25" s="22"/>
      <c r="M25" s="22" t="s">
        <v>37</v>
      </c>
      <c r="N25" s="24"/>
      <c r="O25" s="46"/>
      <c r="P25" s="46"/>
      <c r="Q25" s="46"/>
      <c r="R25" s="46"/>
      <c r="S25" s="46"/>
      <c r="T25" s="46"/>
      <c r="U25" s="46" t="s">
        <v>37</v>
      </c>
      <c r="V25" s="47">
        <v>4000</v>
      </c>
      <c r="W25" s="44">
        <v>5</v>
      </c>
      <c r="X25" s="95">
        <v>270.5</v>
      </c>
      <c r="Y25" s="56">
        <f t="shared" si="0"/>
        <v>243.45</v>
      </c>
      <c r="Z25" s="58">
        <f t="shared" si="1"/>
        <v>48.69</v>
      </c>
      <c r="AA25" s="30">
        <f>Y25/10</f>
        <v>24.344999999999999</v>
      </c>
      <c r="AB25" s="99" t="s">
        <v>144</v>
      </c>
      <c r="AC25" s="59"/>
      <c r="AD25" s="59"/>
      <c r="AE25" s="59"/>
      <c r="AF25" s="32" t="e">
        <f>Z25/AP25</f>
        <v>#DIV/0!</v>
      </c>
      <c r="AG25" s="60"/>
      <c r="AH25" s="76"/>
      <c r="AI25" s="80"/>
      <c r="AJ25" s="227">
        <f>AA25/AR25</f>
        <v>1.0198994553833263</v>
      </c>
      <c r="AK25" s="84"/>
      <c r="AL25" s="84"/>
      <c r="AM25" s="37">
        <v>0.1</v>
      </c>
      <c r="AN25" s="38">
        <f t="shared" si="2"/>
        <v>27.05</v>
      </c>
      <c r="AP25" s="39"/>
      <c r="AQ25" s="39"/>
      <c r="AR25" s="39">
        <v>23.87</v>
      </c>
    </row>
    <row r="26" spans="1:46" ht="39.75" customHeight="1" thickTop="1" thickBot="1" x14ac:dyDescent="0.4">
      <c r="A26" s="19" t="s">
        <v>81</v>
      </c>
      <c r="B26" s="19">
        <v>233119</v>
      </c>
      <c r="C26" s="19"/>
      <c r="D26" s="19"/>
      <c r="E26" s="19"/>
      <c r="F26" s="20" t="s">
        <v>55</v>
      </c>
      <c r="G26" s="21" t="s">
        <v>138</v>
      </c>
      <c r="H26" s="22" t="s">
        <v>37</v>
      </c>
      <c r="I26" s="23" t="s">
        <v>57</v>
      </c>
      <c r="J26" s="24" t="s">
        <v>39</v>
      </c>
      <c r="K26" s="22"/>
      <c r="L26" s="22"/>
      <c r="M26" s="22" t="s">
        <v>37</v>
      </c>
      <c r="N26" s="24"/>
      <c r="O26" s="46"/>
      <c r="P26" s="46"/>
      <c r="Q26" s="46"/>
      <c r="R26" s="46"/>
      <c r="S26" s="46"/>
      <c r="T26" s="46"/>
      <c r="U26" s="46" t="s">
        <v>37</v>
      </c>
      <c r="V26" s="47">
        <v>4000</v>
      </c>
      <c r="W26" s="44">
        <v>25</v>
      </c>
      <c r="X26" s="71" t="s">
        <v>419</v>
      </c>
      <c r="Y26" s="56" t="e">
        <f t="shared" si="0"/>
        <v>#VALUE!</v>
      </c>
      <c r="Z26" s="58" t="e">
        <f t="shared" si="1"/>
        <v>#VALUE!</v>
      </c>
      <c r="AA26" s="30" t="e">
        <f>Y26/50</f>
        <v>#VALUE!</v>
      </c>
      <c r="AB26" s="30"/>
      <c r="AC26" s="59"/>
      <c r="AD26" s="59"/>
      <c r="AE26" s="59"/>
      <c r="AF26" s="32" t="e">
        <f>Z26/AP26</f>
        <v>#VALUE!</v>
      </c>
      <c r="AG26" s="60"/>
      <c r="AH26" s="34" t="e">
        <f t="shared" ref="AH26:AH28" si="5">AA26/AP26</f>
        <v>#VALUE!</v>
      </c>
      <c r="AI26" s="35" t="e">
        <f t="shared" ref="AI26:AI28" si="6">AA26/AQ26</f>
        <v>#VALUE!</v>
      </c>
      <c r="AJ26" s="35"/>
      <c r="AK26" s="61"/>
      <c r="AL26" s="61"/>
      <c r="AM26" s="37">
        <v>0.1</v>
      </c>
      <c r="AN26" s="38" t="e">
        <f t="shared" si="2"/>
        <v>#VALUE!</v>
      </c>
      <c r="AP26" s="39"/>
      <c r="AQ26" s="39"/>
      <c r="AR26" s="39"/>
    </row>
    <row r="27" spans="1:46" ht="39" customHeight="1" thickTop="1" thickBot="1" x14ac:dyDescent="0.4">
      <c r="A27" s="19" t="s">
        <v>82</v>
      </c>
      <c r="B27" s="19">
        <v>219052</v>
      </c>
      <c r="C27" s="19">
        <v>161.03</v>
      </c>
      <c r="D27" s="19">
        <v>736.33</v>
      </c>
      <c r="E27" s="19">
        <v>-103.97</v>
      </c>
      <c r="F27" s="20" t="s">
        <v>55</v>
      </c>
      <c r="G27" s="21" t="s">
        <v>138</v>
      </c>
      <c r="H27" s="22" t="s">
        <v>37</v>
      </c>
      <c r="I27" s="23" t="s">
        <v>57</v>
      </c>
      <c r="J27" s="22"/>
      <c r="K27" s="24" t="s">
        <v>39</v>
      </c>
      <c r="L27" s="24" t="s">
        <v>39</v>
      </c>
      <c r="M27" s="22" t="s">
        <v>37</v>
      </c>
      <c r="N27" s="24"/>
      <c r="O27" s="46"/>
      <c r="P27" s="46"/>
      <c r="Q27" s="46"/>
      <c r="R27" s="46"/>
      <c r="S27" s="46"/>
      <c r="T27" s="46"/>
      <c r="U27" s="46" t="s">
        <v>37</v>
      </c>
      <c r="V27" s="47">
        <v>4000</v>
      </c>
      <c r="W27" s="44">
        <v>10</v>
      </c>
      <c r="X27" s="95">
        <v>562.24</v>
      </c>
      <c r="Y27" s="56">
        <f t="shared" si="0"/>
        <v>477.904</v>
      </c>
      <c r="Z27" s="58">
        <f t="shared" si="1"/>
        <v>47.790399999999998</v>
      </c>
      <c r="AA27" s="72">
        <f>Y27/10</f>
        <v>47.790399999999998</v>
      </c>
      <c r="AB27" s="98"/>
      <c r="AC27" s="59"/>
      <c r="AD27" s="59"/>
      <c r="AE27" s="59"/>
      <c r="AF27" s="32">
        <f>Z27/AP27</f>
        <v>1.4846349798073937</v>
      </c>
      <c r="AG27" s="60"/>
      <c r="AH27" s="82">
        <f t="shared" si="5"/>
        <v>1.4846349798073937</v>
      </c>
      <c r="AI27" s="236">
        <f t="shared" si="6"/>
        <v>1.0000083699518727</v>
      </c>
      <c r="AJ27" s="76"/>
      <c r="AK27" s="84"/>
      <c r="AL27" s="84"/>
      <c r="AM27" s="37">
        <v>0.15</v>
      </c>
      <c r="AN27" s="38">
        <f t="shared" si="2"/>
        <v>84.335999999999999</v>
      </c>
      <c r="AP27" s="39">
        <v>32.19</v>
      </c>
      <c r="AQ27" s="39">
        <v>47.79</v>
      </c>
      <c r="AR27" s="39"/>
    </row>
    <row r="28" spans="1:46" ht="38.25" customHeight="1" thickTop="1" thickBot="1" x14ac:dyDescent="0.4">
      <c r="A28" s="19" t="s">
        <v>83</v>
      </c>
      <c r="B28" s="19">
        <v>233123</v>
      </c>
      <c r="C28" s="19"/>
      <c r="D28" s="19"/>
      <c r="E28" s="19"/>
      <c r="F28" s="20" t="s">
        <v>55</v>
      </c>
      <c r="G28" s="21" t="s">
        <v>138</v>
      </c>
      <c r="H28" s="22" t="s">
        <v>37</v>
      </c>
      <c r="I28" s="23" t="s">
        <v>57</v>
      </c>
      <c r="J28" s="22"/>
      <c r="K28" s="24" t="s">
        <v>39</v>
      </c>
      <c r="L28" s="24" t="s">
        <v>39</v>
      </c>
      <c r="M28" s="22" t="s">
        <v>37</v>
      </c>
      <c r="N28" s="24"/>
      <c r="O28" s="46"/>
      <c r="P28" s="46"/>
      <c r="Q28" s="46"/>
      <c r="R28" s="46"/>
      <c r="S28" s="46"/>
      <c r="T28" s="46"/>
      <c r="U28" s="46" t="s">
        <v>37</v>
      </c>
      <c r="V28" s="47">
        <v>4000</v>
      </c>
      <c r="W28" s="44">
        <v>50</v>
      </c>
      <c r="X28" s="71" t="s">
        <v>419</v>
      </c>
      <c r="Y28" s="56" t="e">
        <f t="shared" si="0"/>
        <v>#VALUE!</v>
      </c>
      <c r="Z28" s="58" t="e">
        <f t="shared" si="1"/>
        <v>#VALUE!</v>
      </c>
      <c r="AA28" s="30" t="e">
        <f>Y28/50</f>
        <v>#VALUE!</v>
      </c>
      <c r="AB28" s="30"/>
      <c r="AC28" s="59"/>
      <c r="AD28" s="59"/>
      <c r="AE28" s="59"/>
      <c r="AF28" s="32" t="e">
        <f>Z28/AP28</f>
        <v>#VALUE!</v>
      </c>
      <c r="AG28" s="60"/>
      <c r="AH28" s="34" t="e">
        <f t="shared" si="5"/>
        <v>#VALUE!</v>
      </c>
      <c r="AI28" s="35" t="e">
        <f t="shared" si="6"/>
        <v>#VALUE!</v>
      </c>
      <c r="AJ28" s="35"/>
      <c r="AK28" s="61"/>
      <c r="AL28" s="61"/>
      <c r="AM28" s="37">
        <v>0.15</v>
      </c>
      <c r="AN28" s="38" t="e">
        <f t="shared" si="2"/>
        <v>#VALUE!</v>
      </c>
      <c r="AP28" s="39"/>
      <c r="AQ28" s="39"/>
      <c r="AR28" s="39"/>
    </row>
    <row r="29" spans="1:46" ht="43.5" customHeight="1" thickTop="1" thickBot="1" x14ac:dyDescent="0.4">
      <c r="A29" s="19" t="s">
        <v>82</v>
      </c>
      <c r="B29" s="19">
        <v>219052</v>
      </c>
      <c r="C29" s="19">
        <v>151.66</v>
      </c>
      <c r="D29" s="19">
        <v>736.33</v>
      </c>
      <c r="E29" s="19">
        <v>-103.97</v>
      </c>
      <c r="F29" s="20" t="s">
        <v>55</v>
      </c>
      <c r="G29" s="21" t="s">
        <v>138</v>
      </c>
      <c r="H29" s="22" t="s">
        <v>37</v>
      </c>
      <c r="I29" s="23" t="s">
        <v>57</v>
      </c>
      <c r="J29" s="22"/>
      <c r="K29" s="22"/>
      <c r="L29" s="22"/>
      <c r="M29" s="22" t="s">
        <v>37</v>
      </c>
      <c r="N29" s="40"/>
      <c r="O29" s="41" t="s">
        <v>61</v>
      </c>
      <c r="P29" s="46"/>
      <c r="Q29" s="46"/>
      <c r="R29" s="46"/>
      <c r="S29" s="46"/>
      <c r="T29" s="46"/>
      <c r="U29" s="46" t="s">
        <v>37</v>
      </c>
      <c r="V29" s="47">
        <v>11250</v>
      </c>
      <c r="W29" s="44">
        <v>3.56</v>
      </c>
      <c r="X29" s="95">
        <v>562.24</v>
      </c>
      <c r="Y29" s="56">
        <f t="shared" si="0"/>
        <v>477.904</v>
      </c>
      <c r="Z29" s="58">
        <f t="shared" si="1"/>
        <v>134.24269662921347</v>
      </c>
      <c r="AA29" s="58"/>
      <c r="AB29" s="100"/>
      <c r="AC29" s="59"/>
      <c r="AD29" s="59"/>
      <c r="AE29" s="31">
        <f>Y29/5</f>
        <v>95.580799999999996</v>
      </c>
      <c r="AF29" s="32"/>
      <c r="AG29" s="42"/>
      <c r="AH29" s="88"/>
      <c r="AI29" s="88"/>
      <c r="AJ29" s="88"/>
      <c r="AK29" s="88"/>
      <c r="AL29" s="88"/>
      <c r="AM29" s="37">
        <v>0.15</v>
      </c>
      <c r="AN29" s="38">
        <f t="shared" si="2"/>
        <v>84.335999999999999</v>
      </c>
      <c r="AP29" s="39"/>
      <c r="AQ29" s="39"/>
      <c r="AR29" s="39"/>
      <c r="AS29" s="39"/>
    </row>
    <row r="30" spans="1:46" ht="45.75" customHeight="1" thickTop="1" thickBot="1" x14ac:dyDescent="0.4">
      <c r="A30" s="19" t="s">
        <v>83</v>
      </c>
      <c r="B30" s="19">
        <v>233123</v>
      </c>
      <c r="C30" s="19"/>
      <c r="D30" s="19"/>
      <c r="E30" s="19"/>
      <c r="F30" s="20" t="s">
        <v>55</v>
      </c>
      <c r="G30" s="21" t="s">
        <v>138</v>
      </c>
      <c r="H30" s="22" t="s">
        <v>37</v>
      </c>
      <c r="I30" s="23" t="s">
        <v>57</v>
      </c>
      <c r="J30" s="22"/>
      <c r="K30" s="22"/>
      <c r="L30" s="22"/>
      <c r="M30" s="22" t="s">
        <v>37</v>
      </c>
      <c r="N30" s="40"/>
      <c r="O30" s="41" t="s">
        <v>61</v>
      </c>
      <c r="P30" s="46"/>
      <c r="Q30" s="46"/>
      <c r="R30" s="46"/>
      <c r="S30" s="46"/>
      <c r="T30" s="46"/>
      <c r="U30" s="46" t="s">
        <v>37</v>
      </c>
      <c r="V30" s="47">
        <v>11250</v>
      </c>
      <c r="W30" s="44">
        <v>17.78</v>
      </c>
      <c r="X30" s="71" t="s">
        <v>419</v>
      </c>
      <c r="Y30" s="56" t="e">
        <f t="shared" si="0"/>
        <v>#VALUE!</v>
      </c>
      <c r="Z30" s="58" t="e">
        <f t="shared" si="1"/>
        <v>#VALUE!</v>
      </c>
      <c r="AA30" s="58"/>
      <c r="AB30" s="58"/>
      <c r="AC30" s="59"/>
      <c r="AD30" s="59"/>
      <c r="AE30" s="31" t="e">
        <f>Y30/25</f>
        <v>#VALUE!</v>
      </c>
      <c r="AF30" s="32"/>
      <c r="AG30" s="42"/>
      <c r="AH30" s="43"/>
      <c r="AI30" s="43"/>
      <c r="AJ30" s="43"/>
      <c r="AK30" s="43"/>
      <c r="AL30" s="43"/>
      <c r="AM30" s="37">
        <v>0.15</v>
      </c>
      <c r="AN30" s="38" t="e">
        <f t="shared" si="2"/>
        <v>#VALUE!</v>
      </c>
      <c r="AP30" s="39"/>
      <c r="AQ30" s="39"/>
      <c r="AR30" s="39"/>
      <c r="AS30" s="39"/>
    </row>
    <row r="31" spans="1:46" ht="54.75" customHeight="1" thickTop="1" thickBot="1" x14ac:dyDescent="0.4">
      <c r="A31" s="19" t="s">
        <v>84</v>
      </c>
      <c r="B31" s="19">
        <v>219054</v>
      </c>
      <c r="C31" s="19">
        <v>181.94</v>
      </c>
      <c r="D31" s="19">
        <v>923.75</v>
      </c>
      <c r="E31" s="19">
        <v>-123.61</v>
      </c>
      <c r="F31" s="20" t="s">
        <v>55</v>
      </c>
      <c r="G31" s="21" t="s">
        <v>138</v>
      </c>
      <c r="H31" s="22" t="s">
        <v>37</v>
      </c>
      <c r="I31" s="23" t="s">
        <v>57</v>
      </c>
      <c r="J31" s="22"/>
      <c r="K31" s="22"/>
      <c r="L31" s="22"/>
      <c r="M31" s="22" t="s">
        <v>37</v>
      </c>
      <c r="N31" s="40"/>
      <c r="O31" s="48" t="s">
        <v>63</v>
      </c>
      <c r="P31" s="41" t="s">
        <v>61</v>
      </c>
      <c r="Q31" s="46"/>
      <c r="R31" s="46"/>
      <c r="S31" s="46"/>
      <c r="T31" s="46"/>
      <c r="U31" s="46" t="s">
        <v>37</v>
      </c>
      <c r="V31" s="47">
        <v>11250</v>
      </c>
      <c r="W31" s="44">
        <v>5.33</v>
      </c>
      <c r="X31" s="95">
        <v>717.67</v>
      </c>
      <c r="Y31" s="56">
        <f t="shared" si="0"/>
        <v>610.01949999999999</v>
      </c>
      <c r="Z31" s="58">
        <f t="shared" si="1"/>
        <v>114.45018761726078</v>
      </c>
      <c r="AA31" s="58"/>
      <c r="AB31" s="100"/>
      <c r="AC31" s="72">
        <f>Y31/10</f>
        <v>61.001950000000001</v>
      </c>
      <c r="AD31" s="31"/>
      <c r="AE31" s="31">
        <f>Y31/5</f>
        <v>122.0039</v>
      </c>
      <c r="AF31" s="59"/>
      <c r="AG31" s="42"/>
      <c r="AH31" s="88"/>
      <c r="AI31" s="88"/>
      <c r="AJ31" s="88"/>
      <c r="AK31" s="88"/>
      <c r="AL31" s="88"/>
      <c r="AM31" s="37">
        <v>0.15</v>
      </c>
      <c r="AN31" s="38">
        <f t="shared" ref="AN31:AN51" si="7">AM31*X31</f>
        <v>107.65049999999999</v>
      </c>
      <c r="AP31" s="39"/>
      <c r="AQ31" s="39"/>
      <c r="AR31" s="39"/>
      <c r="AS31" s="39"/>
    </row>
    <row r="32" spans="1:46" ht="57" customHeight="1" thickTop="1" thickBot="1" x14ac:dyDescent="0.4">
      <c r="A32" s="19" t="s">
        <v>85</v>
      </c>
      <c r="B32" s="19">
        <v>238548</v>
      </c>
      <c r="C32" s="19"/>
      <c r="D32" s="19"/>
      <c r="E32" s="19"/>
      <c r="F32" s="20" t="s">
        <v>55</v>
      </c>
      <c r="G32" s="21" t="s">
        <v>138</v>
      </c>
      <c r="H32" s="22" t="s">
        <v>37</v>
      </c>
      <c r="I32" s="23" t="s">
        <v>57</v>
      </c>
      <c r="J32" s="22"/>
      <c r="K32" s="22"/>
      <c r="L32" s="22"/>
      <c r="M32" s="22" t="s">
        <v>37</v>
      </c>
      <c r="N32" s="40"/>
      <c r="O32" s="48" t="s">
        <v>63</v>
      </c>
      <c r="P32" s="41" t="s">
        <v>61</v>
      </c>
      <c r="Q32" s="46"/>
      <c r="R32" s="46"/>
      <c r="S32" s="46"/>
      <c r="T32" s="46"/>
      <c r="U32" s="46" t="s">
        <v>37</v>
      </c>
      <c r="V32" s="47">
        <v>11250</v>
      </c>
      <c r="W32" s="44">
        <v>26.6</v>
      </c>
      <c r="X32" s="71" t="s">
        <v>419</v>
      </c>
      <c r="Y32" s="56" t="e">
        <f t="shared" si="0"/>
        <v>#VALUE!</v>
      </c>
      <c r="Z32" s="58" t="e">
        <f t="shared" si="1"/>
        <v>#VALUE!</v>
      </c>
      <c r="AA32" s="58"/>
      <c r="AB32" s="58"/>
      <c r="AC32" s="31" t="e">
        <f>Y32/50</f>
        <v>#VALUE!</v>
      </c>
      <c r="AD32" s="31"/>
      <c r="AE32" s="31" t="e">
        <f>Y32/25</f>
        <v>#VALUE!</v>
      </c>
      <c r="AF32" s="59"/>
      <c r="AG32" s="42"/>
      <c r="AH32" s="43"/>
      <c r="AI32" s="43"/>
      <c r="AJ32" s="43"/>
      <c r="AK32" s="43"/>
      <c r="AL32" s="43"/>
      <c r="AM32" s="37">
        <v>0.15</v>
      </c>
      <c r="AN32" s="38" t="e">
        <f t="shared" si="7"/>
        <v>#VALUE!</v>
      </c>
      <c r="AS32" s="39"/>
    </row>
    <row r="33" spans="1:46" ht="62.25" customHeight="1" thickTop="1" thickBot="1" x14ac:dyDescent="0.4">
      <c r="A33" s="19" t="s">
        <v>86</v>
      </c>
      <c r="B33" s="19">
        <v>219056</v>
      </c>
      <c r="C33" s="19">
        <v>222.64</v>
      </c>
      <c r="D33" s="19">
        <v>1231.6600000000001</v>
      </c>
      <c r="E33" s="19">
        <v>-187.32</v>
      </c>
      <c r="F33" s="20" t="s">
        <v>55</v>
      </c>
      <c r="G33" s="21" t="s">
        <v>138</v>
      </c>
      <c r="H33" s="22" t="s">
        <v>37</v>
      </c>
      <c r="I33" s="23" t="s">
        <v>57</v>
      </c>
      <c r="J33" s="22"/>
      <c r="K33" s="22"/>
      <c r="L33" s="22"/>
      <c r="M33" s="22" t="s">
        <v>37</v>
      </c>
      <c r="N33" s="40"/>
      <c r="O33" s="48" t="s">
        <v>66</v>
      </c>
      <c r="P33" s="48" t="s">
        <v>67</v>
      </c>
      <c r="Q33" s="41" t="s">
        <v>61</v>
      </c>
      <c r="R33" s="46"/>
      <c r="S33" s="46"/>
      <c r="T33" s="41" t="s">
        <v>68</v>
      </c>
      <c r="U33" s="46" t="s">
        <v>37</v>
      </c>
      <c r="V33" s="47">
        <v>11250</v>
      </c>
      <c r="W33" s="44">
        <v>7.11</v>
      </c>
      <c r="X33" s="95">
        <v>973</v>
      </c>
      <c r="Y33" s="56">
        <f t="shared" si="0"/>
        <v>827.05</v>
      </c>
      <c r="Z33" s="58">
        <f t="shared" si="1"/>
        <v>116.32208157524612</v>
      </c>
      <c r="AA33" s="58"/>
      <c r="AB33" s="110" t="s">
        <v>156</v>
      </c>
      <c r="AC33" s="31">
        <f>Y33/10</f>
        <v>82.704999999999998</v>
      </c>
      <c r="AD33" s="31"/>
      <c r="AE33" s="105">
        <f>Y33/5</f>
        <v>165.41</v>
      </c>
      <c r="AF33" s="59"/>
      <c r="AG33" s="49">
        <f>Y33/2.5</f>
        <v>330.82</v>
      </c>
      <c r="AH33" s="87"/>
      <c r="AI33" s="87"/>
      <c r="AJ33" s="87"/>
      <c r="AK33" s="90"/>
      <c r="AL33" s="104">
        <f t="shared" ref="AL33:AL34" si="8">AE33/AT33</f>
        <v>1.3335214446952595</v>
      </c>
      <c r="AM33" s="37">
        <v>0.15</v>
      </c>
      <c r="AN33" s="38">
        <f t="shared" si="7"/>
        <v>145.94999999999999</v>
      </c>
      <c r="AP33" s="39"/>
      <c r="AQ33" s="39"/>
      <c r="AR33" s="39"/>
      <c r="AS33" s="39"/>
      <c r="AT33" s="39">
        <v>124.04</v>
      </c>
    </row>
    <row r="34" spans="1:46" ht="52.5" customHeight="1" thickTop="1" thickBot="1" x14ac:dyDescent="0.4">
      <c r="A34" s="19" t="s">
        <v>87</v>
      </c>
      <c r="B34" s="19">
        <v>238749</v>
      </c>
      <c r="C34" s="19"/>
      <c r="D34" s="19"/>
      <c r="E34" s="19"/>
      <c r="F34" s="20" t="s">
        <v>55</v>
      </c>
      <c r="G34" s="21" t="s">
        <v>138</v>
      </c>
      <c r="H34" s="22" t="s">
        <v>37</v>
      </c>
      <c r="I34" s="23" t="s">
        <v>57</v>
      </c>
      <c r="J34" s="22"/>
      <c r="K34" s="22"/>
      <c r="L34" s="22"/>
      <c r="M34" s="22" t="s">
        <v>37</v>
      </c>
      <c r="N34" s="40"/>
      <c r="O34" s="48" t="s">
        <v>66</v>
      </c>
      <c r="P34" s="48" t="s">
        <v>67</v>
      </c>
      <c r="Q34" s="41" t="s">
        <v>61</v>
      </c>
      <c r="R34" s="46"/>
      <c r="S34" s="46"/>
      <c r="T34" s="41" t="s">
        <v>68</v>
      </c>
      <c r="U34" s="46" t="s">
        <v>37</v>
      </c>
      <c r="V34" s="47">
        <v>11250</v>
      </c>
      <c r="W34" s="44">
        <v>35.6</v>
      </c>
      <c r="X34" s="71" t="s">
        <v>419</v>
      </c>
      <c r="Y34" s="56" t="e">
        <f t="shared" si="0"/>
        <v>#VALUE!</v>
      </c>
      <c r="Z34" s="58" t="e">
        <f t="shared" si="1"/>
        <v>#VALUE!</v>
      </c>
      <c r="AA34" s="58"/>
      <c r="AB34" s="58"/>
      <c r="AC34" s="31" t="e">
        <f>Y34/50</f>
        <v>#VALUE!</v>
      </c>
      <c r="AD34" s="31"/>
      <c r="AE34" s="31" t="e">
        <f>Y34/25</f>
        <v>#VALUE!</v>
      </c>
      <c r="AF34" s="59"/>
      <c r="AG34" s="49" t="e">
        <f>Y34/12.5</f>
        <v>#VALUE!</v>
      </c>
      <c r="AH34" s="50"/>
      <c r="AI34" s="50"/>
      <c r="AJ34" s="50"/>
      <c r="AK34" s="53"/>
      <c r="AL34" s="52" t="e">
        <f t="shared" si="8"/>
        <v>#VALUE!</v>
      </c>
      <c r="AM34" s="37">
        <v>0.15</v>
      </c>
      <c r="AN34" s="38" t="e">
        <f t="shared" si="7"/>
        <v>#VALUE!</v>
      </c>
      <c r="AS34" s="39"/>
      <c r="AT34" s="39">
        <v>124.04</v>
      </c>
    </row>
    <row r="35" spans="1:46" ht="55.5" customHeight="1" thickTop="1" thickBot="1" x14ac:dyDescent="0.4">
      <c r="A35" s="19" t="s">
        <v>88</v>
      </c>
      <c r="B35" s="19">
        <v>219058</v>
      </c>
      <c r="C35" s="19">
        <v>275.22000000000003</v>
      </c>
      <c r="D35" s="19">
        <v>1539.57</v>
      </c>
      <c r="E35" s="19">
        <v>-179.75</v>
      </c>
      <c r="F35" s="20" t="s">
        <v>55</v>
      </c>
      <c r="G35" s="21" t="s">
        <v>138</v>
      </c>
      <c r="H35" s="22" t="s">
        <v>37</v>
      </c>
      <c r="I35" s="23" t="s">
        <v>57</v>
      </c>
      <c r="J35" s="22"/>
      <c r="K35" s="22"/>
      <c r="L35" s="22"/>
      <c r="M35" s="22" t="s">
        <v>37</v>
      </c>
      <c r="N35" s="40"/>
      <c r="O35" s="46"/>
      <c r="P35" s="48" t="s">
        <v>71</v>
      </c>
      <c r="Q35" s="48" t="s">
        <v>72</v>
      </c>
      <c r="R35" s="41" t="s">
        <v>61</v>
      </c>
      <c r="S35" s="46"/>
      <c r="T35" s="46"/>
      <c r="U35" s="46" t="s">
        <v>37</v>
      </c>
      <c r="V35" s="47">
        <v>11250</v>
      </c>
      <c r="W35" s="44">
        <v>8.89</v>
      </c>
      <c r="X35" s="95">
        <v>1231.78</v>
      </c>
      <c r="Y35" s="56">
        <f t="shared" si="0"/>
        <v>1047.0129999999999</v>
      </c>
      <c r="Z35" s="58">
        <f t="shared" si="1"/>
        <v>117.77424071991</v>
      </c>
      <c r="AA35" s="58"/>
      <c r="AB35" s="100"/>
      <c r="AC35" s="31">
        <f>Y35/10</f>
        <v>104.70129999999999</v>
      </c>
      <c r="AD35" s="31"/>
      <c r="AE35" s="31">
        <f>Y35/5</f>
        <v>209.40259999999998</v>
      </c>
      <c r="AF35" s="59"/>
      <c r="AG35" s="42"/>
      <c r="AH35" s="88"/>
      <c r="AI35" s="88"/>
      <c r="AJ35" s="88"/>
      <c r="AK35" s="90"/>
      <c r="AL35" s="88"/>
      <c r="AM35" s="37">
        <v>0.15</v>
      </c>
      <c r="AN35" s="38">
        <f t="shared" si="7"/>
        <v>184.767</v>
      </c>
      <c r="AP35" s="39"/>
      <c r="AQ35" s="39"/>
      <c r="AR35" s="39"/>
      <c r="AS35" s="39"/>
      <c r="AT35" s="39"/>
    </row>
    <row r="36" spans="1:46" ht="53.25" customHeight="1" thickTop="1" thickBot="1" x14ac:dyDescent="0.4">
      <c r="A36" s="19" t="s">
        <v>89</v>
      </c>
      <c r="B36" s="19">
        <v>233118</v>
      </c>
      <c r="C36" s="19"/>
      <c r="D36" s="19"/>
      <c r="E36" s="19"/>
      <c r="F36" s="20" t="s">
        <v>55</v>
      </c>
      <c r="G36" s="21" t="s">
        <v>138</v>
      </c>
      <c r="H36" s="22" t="s">
        <v>37</v>
      </c>
      <c r="I36" s="23" t="s">
        <v>57</v>
      </c>
      <c r="J36" s="22"/>
      <c r="K36" s="22"/>
      <c r="L36" s="22"/>
      <c r="M36" s="22" t="s">
        <v>37</v>
      </c>
      <c r="N36" s="40"/>
      <c r="O36" s="46"/>
      <c r="P36" s="48" t="s">
        <v>71</v>
      </c>
      <c r="Q36" s="48" t="s">
        <v>72</v>
      </c>
      <c r="R36" s="41" t="s">
        <v>61</v>
      </c>
      <c r="S36" s="46"/>
      <c r="T36" s="46"/>
      <c r="U36" s="46" t="s">
        <v>37</v>
      </c>
      <c r="V36" s="47">
        <v>11250</v>
      </c>
      <c r="W36" s="44">
        <v>44.4</v>
      </c>
      <c r="X36" s="71" t="s">
        <v>419</v>
      </c>
      <c r="Y36" s="56" t="e">
        <f t="shared" si="0"/>
        <v>#VALUE!</v>
      </c>
      <c r="Z36" s="58" t="e">
        <f t="shared" si="1"/>
        <v>#VALUE!</v>
      </c>
      <c r="AA36" s="58"/>
      <c r="AB36" s="58"/>
      <c r="AC36" s="31" t="e">
        <f>Y36/50</f>
        <v>#VALUE!</v>
      </c>
      <c r="AD36" s="31"/>
      <c r="AE36" s="31" t="e">
        <f>Y36/25</f>
        <v>#VALUE!</v>
      </c>
      <c r="AF36" s="59"/>
      <c r="AG36" s="42"/>
      <c r="AH36" s="43"/>
      <c r="AI36" s="43"/>
      <c r="AJ36" s="43"/>
      <c r="AK36" s="53"/>
      <c r="AL36" s="43"/>
      <c r="AM36" s="37">
        <v>0.15</v>
      </c>
      <c r="AN36" s="38" t="e">
        <f t="shared" si="7"/>
        <v>#VALUE!</v>
      </c>
      <c r="AS36" s="39"/>
      <c r="AT36" s="39"/>
    </row>
    <row r="37" spans="1:46" ht="53.25" customHeight="1" thickTop="1" thickBot="1" x14ac:dyDescent="0.4">
      <c r="A37" s="19" t="s">
        <v>90</v>
      </c>
      <c r="B37" s="19">
        <v>238568</v>
      </c>
      <c r="C37" s="19"/>
      <c r="D37" s="19"/>
      <c r="E37" s="19"/>
      <c r="F37" s="20" t="s">
        <v>75</v>
      </c>
      <c r="G37" s="21" t="s">
        <v>138</v>
      </c>
      <c r="H37" s="22" t="s">
        <v>37</v>
      </c>
      <c r="I37" s="23" t="s">
        <v>57</v>
      </c>
      <c r="J37" s="22"/>
      <c r="K37" s="22"/>
      <c r="L37" s="22"/>
      <c r="M37" s="22" t="s">
        <v>37</v>
      </c>
      <c r="N37" s="40"/>
      <c r="O37" s="46"/>
      <c r="P37" s="46"/>
      <c r="Q37" s="48" t="s">
        <v>76</v>
      </c>
      <c r="R37" s="46"/>
      <c r="S37" s="41" t="s">
        <v>61</v>
      </c>
      <c r="T37" s="24"/>
      <c r="U37" s="46" t="s">
        <v>37</v>
      </c>
      <c r="V37" s="47">
        <v>11250</v>
      </c>
      <c r="W37" s="54">
        <v>10.67</v>
      </c>
      <c r="X37" s="55">
        <v>1493.67</v>
      </c>
      <c r="Y37" s="56">
        <f t="shared" si="0"/>
        <v>1344.3030000000001</v>
      </c>
      <c r="Z37" s="58">
        <f t="shared" si="1"/>
        <v>125.98903467666355</v>
      </c>
      <c r="AA37" s="58"/>
      <c r="AB37" s="58"/>
      <c r="AC37" s="31">
        <f>Y37/10</f>
        <v>134.43030000000002</v>
      </c>
      <c r="AD37" s="31"/>
      <c r="AE37" s="31">
        <f>Y37/5</f>
        <v>268.86060000000003</v>
      </c>
      <c r="AF37" s="59"/>
      <c r="AG37" s="42"/>
      <c r="AH37" s="43"/>
      <c r="AI37" s="43"/>
      <c r="AJ37" s="43"/>
      <c r="AK37" s="45">
        <f>AC37/AS37</f>
        <v>1.1179234927234929</v>
      </c>
      <c r="AL37" s="43"/>
      <c r="AM37" s="37">
        <v>0.1</v>
      </c>
      <c r="AN37" s="38">
        <f t="shared" si="7"/>
        <v>149.36700000000002</v>
      </c>
      <c r="AO37" s="62" t="e">
        <f>(AC37-AC49)/AS37</f>
        <v>#VALUE!</v>
      </c>
      <c r="AS37" s="39">
        <v>120.25</v>
      </c>
      <c r="AT37" s="39"/>
    </row>
    <row r="38" spans="1:46" ht="63" customHeight="1" thickTop="1" thickBot="1" x14ac:dyDescent="0.4">
      <c r="A38" s="19" t="s">
        <v>91</v>
      </c>
      <c r="B38" s="19">
        <v>238571</v>
      </c>
      <c r="C38" s="19"/>
      <c r="D38" s="19"/>
      <c r="E38" s="19"/>
      <c r="F38" s="20" t="s">
        <v>75</v>
      </c>
      <c r="G38" s="21" t="s">
        <v>138</v>
      </c>
      <c r="H38" s="22" t="s">
        <v>37</v>
      </c>
      <c r="I38" s="23" t="s">
        <v>57</v>
      </c>
      <c r="J38" s="22"/>
      <c r="K38" s="22"/>
      <c r="L38" s="22"/>
      <c r="M38" s="22" t="s">
        <v>37</v>
      </c>
      <c r="N38" s="40"/>
      <c r="O38" s="46"/>
      <c r="P38" s="46"/>
      <c r="Q38" s="46"/>
      <c r="R38" s="48" t="s">
        <v>78</v>
      </c>
      <c r="S38" s="46"/>
      <c r="T38" s="41" t="s">
        <v>79</v>
      </c>
      <c r="U38" s="46" t="s">
        <v>37</v>
      </c>
      <c r="V38" s="47">
        <v>11250</v>
      </c>
      <c r="W38" s="54">
        <v>13.33</v>
      </c>
      <c r="X38" s="55">
        <v>1886.49</v>
      </c>
      <c r="Y38" s="56">
        <f t="shared" si="0"/>
        <v>1697.8409999999999</v>
      </c>
      <c r="Z38" s="58">
        <f t="shared" si="1"/>
        <v>127.36991747936983</v>
      </c>
      <c r="AA38" s="58"/>
      <c r="AB38" s="58"/>
      <c r="AC38" s="31">
        <f>Y38/10</f>
        <v>169.7841</v>
      </c>
      <c r="AD38" s="31"/>
      <c r="AE38" s="31">
        <f>Y38/5</f>
        <v>339.56819999999999</v>
      </c>
      <c r="AF38" s="59"/>
      <c r="AG38" s="42"/>
      <c r="AH38" s="43"/>
      <c r="AI38" s="43"/>
      <c r="AJ38" s="43"/>
      <c r="AK38" s="43"/>
      <c r="AL38" s="43"/>
      <c r="AM38" s="37">
        <v>0.1</v>
      </c>
      <c r="AN38" s="63">
        <f t="shared" si="7"/>
        <v>188.649</v>
      </c>
      <c r="AO38" s="64"/>
      <c r="AP38" s="64"/>
      <c r="AQ38" s="64"/>
      <c r="AR38" s="64"/>
      <c r="AS38" s="65"/>
    </row>
    <row r="39" spans="1:46" ht="38.25" customHeight="1" thickTop="1" thickBot="1" x14ac:dyDescent="0.4">
      <c r="A39" s="19" t="s">
        <v>92</v>
      </c>
      <c r="B39" s="19">
        <v>258276</v>
      </c>
      <c r="C39" s="19">
        <v>120.23</v>
      </c>
      <c r="D39" s="19">
        <v>368.16</v>
      </c>
      <c r="E39" s="19">
        <v>101.8</v>
      </c>
      <c r="F39" s="20" t="s">
        <v>93</v>
      </c>
      <c r="G39" s="21" t="s">
        <v>137</v>
      </c>
      <c r="H39" s="22" t="s">
        <v>37</v>
      </c>
      <c r="I39" s="23" t="s">
        <v>94</v>
      </c>
      <c r="J39" s="24" t="s">
        <v>46</v>
      </c>
      <c r="K39" s="24" t="s">
        <v>95</v>
      </c>
      <c r="L39" s="22"/>
      <c r="M39" s="22" t="s">
        <v>37</v>
      </c>
      <c r="N39" s="23" t="s">
        <v>40</v>
      </c>
      <c r="O39" s="46"/>
      <c r="P39" s="46"/>
      <c r="Q39" s="46"/>
      <c r="R39" s="46"/>
      <c r="S39" s="46"/>
      <c r="T39" s="46"/>
      <c r="U39" s="46" t="s">
        <v>37</v>
      </c>
      <c r="V39" s="47">
        <v>5700</v>
      </c>
      <c r="W39" s="54">
        <v>5</v>
      </c>
      <c r="X39" s="95">
        <v>434.05</v>
      </c>
      <c r="Y39" s="56">
        <f t="shared" si="0"/>
        <v>373.28300000000002</v>
      </c>
      <c r="Z39" s="58">
        <f t="shared" si="1"/>
        <v>74.656599999999997</v>
      </c>
      <c r="AA39" s="72">
        <f>Y39/10</f>
        <v>37.328299999999999</v>
      </c>
      <c r="AB39" s="101" t="s">
        <v>147</v>
      </c>
      <c r="AC39" s="59"/>
      <c r="AD39" s="59"/>
      <c r="AE39" s="59"/>
      <c r="AF39" s="32" t="e">
        <f>Z39/AP39</f>
        <v>#DIV/0!</v>
      </c>
      <c r="AG39" s="60"/>
      <c r="AH39" s="80"/>
      <c r="AI39" s="84"/>
      <c r="AJ39" s="77">
        <f t="shared" ref="AJ39" si="9">AA39/AR39</f>
        <v>1.5638165060745706</v>
      </c>
      <c r="AK39" s="84"/>
      <c r="AL39" s="84"/>
      <c r="AM39" s="37">
        <v>0.14000000000000001</v>
      </c>
      <c r="AN39" s="63">
        <f t="shared" si="7"/>
        <v>60.76700000000001</v>
      </c>
      <c r="AO39" s="64"/>
      <c r="AP39" s="39"/>
      <c r="AQ39" s="39"/>
      <c r="AR39" s="39">
        <v>23.87</v>
      </c>
      <c r="AS39" s="64"/>
    </row>
    <row r="40" spans="1:46" ht="39" customHeight="1" thickTop="1" thickBot="1" x14ac:dyDescent="0.4">
      <c r="A40" s="19" t="s">
        <v>96</v>
      </c>
      <c r="B40" s="19">
        <v>258283</v>
      </c>
      <c r="C40" s="19">
        <v>141.61000000000001</v>
      </c>
      <c r="D40" s="19">
        <v>490.89</v>
      </c>
      <c r="E40" s="19">
        <v>89.53</v>
      </c>
      <c r="F40" s="20" t="s">
        <v>93</v>
      </c>
      <c r="G40" s="21" t="s">
        <v>137</v>
      </c>
      <c r="H40" s="22" t="s">
        <v>37</v>
      </c>
      <c r="I40" s="23" t="s">
        <v>97</v>
      </c>
      <c r="J40" s="22"/>
      <c r="K40" s="24" t="s">
        <v>98</v>
      </c>
      <c r="L40" s="24" t="s">
        <v>99</v>
      </c>
      <c r="M40" s="22" t="s">
        <v>37</v>
      </c>
      <c r="N40" s="23" t="s">
        <v>40</v>
      </c>
      <c r="O40" s="46"/>
      <c r="P40" s="41" t="s">
        <v>100</v>
      </c>
      <c r="Q40" s="46"/>
      <c r="R40" s="46"/>
      <c r="S40" s="46"/>
      <c r="T40" s="46"/>
      <c r="U40" s="46" t="s">
        <v>37</v>
      </c>
      <c r="V40" s="47">
        <v>5700</v>
      </c>
      <c r="W40" s="54">
        <v>6.67</v>
      </c>
      <c r="X40" s="95">
        <v>512.89</v>
      </c>
      <c r="Y40" s="56">
        <f t="shared" si="0"/>
        <v>441.08539999999999</v>
      </c>
      <c r="Z40" s="58">
        <f t="shared" si="1"/>
        <v>66.12974512743628</v>
      </c>
      <c r="AA40" s="72">
        <f>Y40/10</f>
        <v>44.108539999999998</v>
      </c>
      <c r="AB40" s="102" t="s">
        <v>152</v>
      </c>
      <c r="AC40" s="59"/>
      <c r="AD40" s="59"/>
      <c r="AE40" s="59"/>
      <c r="AF40" s="32">
        <f>Z40/AP40</f>
        <v>2.0543567917811831</v>
      </c>
      <c r="AG40" s="60"/>
      <c r="AH40" s="85">
        <f t="shared" ref="AH40" si="10">AA40/AP40</f>
        <v>1.3702559801180492</v>
      </c>
      <c r="AI40" s="79"/>
      <c r="AJ40" s="76"/>
      <c r="AK40" s="84"/>
      <c r="AL40" s="84"/>
      <c r="AM40" s="37">
        <v>0.14000000000000001</v>
      </c>
      <c r="AN40" s="38">
        <f t="shared" si="7"/>
        <v>71.804600000000008</v>
      </c>
      <c r="AP40" s="39">
        <v>32.19</v>
      </c>
      <c r="AQ40" s="39">
        <v>47.79</v>
      </c>
      <c r="AR40" s="39"/>
    </row>
    <row r="41" spans="1:46" ht="39" customHeight="1" thickTop="1" thickBot="1" x14ac:dyDescent="0.4">
      <c r="A41" s="19" t="s">
        <v>96</v>
      </c>
      <c r="B41" s="19">
        <v>258283</v>
      </c>
      <c r="C41" s="19">
        <v>141.61000000000001</v>
      </c>
      <c r="D41" s="19">
        <v>490.89</v>
      </c>
      <c r="E41" s="19">
        <v>89.53</v>
      </c>
      <c r="F41" s="20" t="s">
        <v>93</v>
      </c>
      <c r="G41" s="21" t="s">
        <v>137</v>
      </c>
      <c r="H41" s="22" t="s">
        <v>37</v>
      </c>
      <c r="I41" s="23" t="s">
        <v>97</v>
      </c>
      <c r="J41" s="22"/>
      <c r="K41" s="24" t="s">
        <v>98</v>
      </c>
      <c r="L41" s="24" t="s">
        <v>99</v>
      </c>
      <c r="M41" s="22" t="s">
        <v>37</v>
      </c>
      <c r="N41" s="23" t="s">
        <v>40</v>
      </c>
      <c r="O41" s="46"/>
      <c r="P41" s="41" t="s">
        <v>100</v>
      </c>
      <c r="Q41" s="46"/>
      <c r="R41" s="46"/>
      <c r="S41" s="46"/>
      <c r="T41" s="46"/>
      <c r="U41" s="46" t="s">
        <v>37</v>
      </c>
      <c r="V41" s="47">
        <v>14250</v>
      </c>
      <c r="W41" s="54">
        <v>2.67</v>
      </c>
      <c r="X41" s="95">
        <v>512.89</v>
      </c>
      <c r="Y41" s="56">
        <f t="shared" si="0"/>
        <v>441.08539999999999</v>
      </c>
      <c r="Z41" s="58">
        <f t="shared" si="1"/>
        <v>165.20052434456929</v>
      </c>
      <c r="AA41" s="30">
        <f>Y41/10</f>
        <v>44.108539999999998</v>
      </c>
      <c r="AB41" s="100"/>
      <c r="AC41" s="59"/>
      <c r="AD41" s="59"/>
      <c r="AE41" s="72">
        <f>Y41/5</f>
        <v>88.217079999999996</v>
      </c>
      <c r="AF41" s="59"/>
      <c r="AG41" s="42"/>
      <c r="AH41" s="88"/>
      <c r="AI41" s="88"/>
      <c r="AJ41" s="88"/>
      <c r="AK41" s="88"/>
      <c r="AL41" s="88"/>
      <c r="AM41" s="37">
        <v>0.14000000000000001</v>
      </c>
      <c r="AN41" s="38">
        <f t="shared" si="7"/>
        <v>71.804600000000008</v>
      </c>
      <c r="AP41" s="39"/>
      <c r="AQ41" s="39"/>
      <c r="AR41" s="39"/>
      <c r="AS41" s="39"/>
    </row>
    <row r="42" spans="1:46" ht="39" customHeight="1" thickTop="1" thickBot="1" x14ac:dyDescent="0.4">
      <c r="A42" s="19" t="s">
        <v>101</v>
      </c>
      <c r="B42" s="19">
        <v>258278</v>
      </c>
      <c r="C42" s="19">
        <v>173.67</v>
      </c>
      <c r="D42" s="19">
        <v>736.33</v>
      </c>
      <c r="E42" s="19">
        <v>14.24</v>
      </c>
      <c r="F42" s="20" t="s">
        <v>93</v>
      </c>
      <c r="G42" s="21" t="s">
        <v>137</v>
      </c>
      <c r="H42" s="22" t="s">
        <v>37</v>
      </c>
      <c r="I42" s="23" t="s">
        <v>102</v>
      </c>
      <c r="J42" s="22"/>
      <c r="K42" s="24" t="s">
        <v>103</v>
      </c>
      <c r="L42" s="24" t="s">
        <v>104</v>
      </c>
      <c r="M42" s="22" t="s">
        <v>37</v>
      </c>
      <c r="N42" s="23" t="s">
        <v>40</v>
      </c>
      <c r="O42" s="46"/>
      <c r="P42" s="46"/>
      <c r="Q42" s="46"/>
      <c r="R42" s="46"/>
      <c r="S42" s="46"/>
      <c r="T42" s="46"/>
      <c r="U42" s="46" t="s">
        <v>37</v>
      </c>
      <c r="V42" s="47">
        <v>5700</v>
      </c>
      <c r="W42" s="54">
        <v>10</v>
      </c>
      <c r="X42" s="95">
        <v>688.17</v>
      </c>
      <c r="Y42" s="56">
        <f t="shared" si="0"/>
        <v>591.82619999999997</v>
      </c>
      <c r="Z42" s="58">
        <f t="shared" si="1"/>
        <v>59.18262</v>
      </c>
      <c r="AA42" s="30">
        <f>Y42/10</f>
        <v>59.18262</v>
      </c>
      <c r="AB42" s="102" t="s">
        <v>153</v>
      </c>
      <c r="AC42" s="59"/>
      <c r="AD42" s="59"/>
      <c r="AE42" s="59"/>
      <c r="AF42" s="32" t="e">
        <f>Z42/AP42</f>
        <v>#DIV/0!</v>
      </c>
      <c r="AG42" s="60"/>
      <c r="AH42" s="86"/>
      <c r="AI42" s="35">
        <f>AA42/AQ42</f>
        <v>1.2383892027620842</v>
      </c>
      <c r="AJ42" s="76"/>
      <c r="AK42" s="84"/>
      <c r="AL42" s="84"/>
      <c r="AM42" s="37">
        <v>0.14000000000000001</v>
      </c>
      <c r="AN42" s="38">
        <f t="shared" si="7"/>
        <v>96.343800000000002</v>
      </c>
      <c r="AP42" s="39"/>
      <c r="AQ42" s="39">
        <v>47.79</v>
      </c>
      <c r="AR42" s="39"/>
    </row>
    <row r="43" spans="1:46" ht="43.5" customHeight="1" thickTop="1" thickBot="1" x14ac:dyDescent="0.4">
      <c r="A43" s="19" t="s">
        <v>101</v>
      </c>
      <c r="B43" s="19">
        <v>258278</v>
      </c>
      <c r="C43" s="19">
        <v>173.67</v>
      </c>
      <c r="D43" s="19">
        <v>736.33</v>
      </c>
      <c r="E43" s="19">
        <v>14.24</v>
      </c>
      <c r="F43" s="20" t="s">
        <v>93</v>
      </c>
      <c r="G43" s="21" t="s">
        <v>137</v>
      </c>
      <c r="H43" s="22" t="s">
        <v>37</v>
      </c>
      <c r="I43" s="23" t="s">
        <v>102</v>
      </c>
      <c r="J43" s="22"/>
      <c r="K43" s="22"/>
      <c r="L43" s="22"/>
      <c r="M43" s="22" t="s">
        <v>37</v>
      </c>
      <c r="N43" s="40"/>
      <c r="O43" s="46"/>
      <c r="P43" s="41" t="s">
        <v>105</v>
      </c>
      <c r="Q43" s="41" t="s">
        <v>106</v>
      </c>
      <c r="R43" s="46"/>
      <c r="S43" s="41" t="s">
        <v>107</v>
      </c>
      <c r="T43" s="41" t="s">
        <v>108</v>
      </c>
      <c r="U43" s="46" t="s">
        <v>37</v>
      </c>
      <c r="V43" s="47">
        <v>14250</v>
      </c>
      <c r="W43" s="54">
        <v>4</v>
      </c>
      <c r="X43" s="95">
        <v>688.17</v>
      </c>
      <c r="Y43" s="56">
        <f t="shared" si="0"/>
        <v>591.82619999999997</v>
      </c>
      <c r="Z43" s="58">
        <f t="shared" si="1"/>
        <v>147.95654999999999</v>
      </c>
      <c r="AA43" s="30">
        <f>Y43/10</f>
        <v>59.18262</v>
      </c>
      <c r="AB43" s="100"/>
      <c r="AC43" s="59"/>
      <c r="AD43" s="59"/>
      <c r="AE43" s="31">
        <f>Y43/5</f>
        <v>118.36524</v>
      </c>
      <c r="AF43" s="59"/>
      <c r="AG43" s="111">
        <f>Y43/2.5</f>
        <v>236.73048</v>
      </c>
      <c r="AH43" s="92"/>
      <c r="AI43" s="92"/>
      <c r="AJ43" s="92"/>
      <c r="AK43" s="93"/>
      <c r="AL43" s="92"/>
      <c r="AM43" s="37">
        <v>0.14000000000000001</v>
      </c>
      <c r="AN43" s="38">
        <f t="shared" si="7"/>
        <v>96.343800000000002</v>
      </c>
      <c r="AP43" s="39"/>
      <c r="AQ43" s="39"/>
      <c r="AR43" s="39"/>
      <c r="AS43" s="39"/>
      <c r="AT43" s="39"/>
    </row>
    <row r="44" spans="1:46" ht="45.75" customHeight="1" thickTop="1" thickBot="1" x14ac:dyDescent="0.4">
      <c r="A44" s="19" t="s">
        <v>109</v>
      </c>
      <c r="B44" s="19">
        <v>258274</v>
      </c>
      <c r="C44" s="19">
        <v>242.19</v>
      </c>
      <c r="D44" s="19">
        <v>923.75</v>
      </c>
      <c r="E44" s="19">
        <v>237.91</v>
      </c>
      <c r="F44" s="20" t="s">
        <v>93</v>
      </c>
      <c r="G44" s="21" t="s">
        <v>137</v>
      </c>
      <c r="H44" s="22" t="s">
        <v>37</v>
      </c>
      <c r="I44" s="23"/>
      <c r="J44" s="22"/>
      <c r="K44" s="22"/>
      <c r="L44" s="22"/>
      <c r="M44" s="22" t="s">
        <v>37</v>
      </c>
      <c r="N44" s="40"/>
      <c r="O44" s="46"/>
      <c r="P44" s="46"/>
      <c r="Q44" s="41" t="s">
        <v>110</v>
      </c>
      <c r="R44" s="41" t="s">
        <v>111</v>
      </c>
      <c r="S44" s="46"/>
      <c r="T44" s="24"/>
      <c r="U44" s="46" t="s">
        <v>37</v>
      </c>
      <c r="V44" s="47">
        <v>14250</v>
      </c>
      <c r="W44" s="54">
        <v>5.33</v>
      </c>
      <c r="X44" s="55">
        <v>841.28</v>
      </c>
      <c r="Y44" s="56">
        <f t="shared" si="0"/>
        <v>723.50080000000003</v>
      </c>
      <c r="Z44" s="58">
        <f t="shared" si="1"/>
        <v>135.7412382739212</v>
      </c>
      <c r="AA44" s="58"/>
      <c r="AB44" s="100"/>
      <c r="AC44" s="59"/>
      <c r="AD44" s="59"/>
      <c r="AE44" s="106">
        <f>Y44/5</f>
        <v>144.70016000000001</v>
      </c>
      <c r="AF44" s="59"/>
      <c r="AG44" s="42"/>
      <c r="AH44" s="88"/>
      <c r="AI44" s="88"/>
      <c r="AJ44" s="88"/>
      <c r="AK44" s="90"/>
      <c r="AL44" s="91">
        <f>AE44/AT44</f>
        <v>1.1665604643663334</v>
      </c>
      <c r="AM44" s="37">
        <v>0.14000000000000001</v>
      </c>
      <c r="AN44" s="38">
        <f t="shared" si="7"/>
        <v>117.7792</v>
      </c>
      <c r="AP44" s="39"/>
      <c r="AQ44" s="39"/>
      <c r="AR44" s="39"/>
      <c r="AS44" s="39"/>
      <c r="AT44" s="39">
        <v>124.04</v>
      </c>
    </row>
    <row r="45" spans="1:46" ht="45.75" customHeight="1" thickTop="1" thickBot="1" x14ac:dyDescent="0.4">
      <c r="A45" s="19" t="s">
        <v>112</v>
      </c>
      <c r="B45" s="19">
        <v>258279</v>
      </c>
      <c r="C45" s="19">
        <v>277.27999999999997</v>
      </c>
      <c r="D45" s="19">
        <v>1154.68</v>
      </c>
      <c r="E45" s="19">
        <v>217.51</v>
      </c>
      <c r="F45" s="20" t="s">
        <v>93</v>
      </c>
      <c r="G45" s="21" t="s">
        <v>137</v>
      </c>
      <c r="H45" s="22" t="s">
        <v>37</v>
      </c>
      <c r="I45" s="23"/>
      <c r="J45" s="22"/>
      <c r="K45" s="22"/>
      <c r="L45" s="22"/>
      <c r="M45" s="22" t="s">
        <v>37</v>
      </c>
      <c r="N45" s="40"/>
      <c r="O45" s="46"/>
      <c r="P45" s="46"/>
      <c r="Q45" s="46"/>
      <c r="R45" s="41" t="s">
        <v>113</v>
      </c>
      <c r="S45" s="41" t="s">
        <v>114</v>
      </c>
      <c r="T45" s="46"/>
      <c r="U45" s="46" t="s">
        <v>37</v>
      </c>
      <c r="V45" s="47">
        <v>14250</v>
      </c>
      <c r="W45" s="54">
        <v>6.67</v>
      </c>
      <c r="X45" s="55">
        <v>1097.8599999999999</v>
      </c>
      <c r="Y45" s="56">
        <f t="shared" si="0"/>
        <v>944.15959999999995</v>
      </c>
      <c r="Z45" s="58">
        <f t="shared" si="1"/>
        <v>141.55316341829084</v>
      </c>
      <c r="AA45" s="58"/>
      <c r="AB45" s="100"/>
      <c r="AC45" s="59"/>
      <c r="AD45" s="59"/>
      <c r="AE45" s="31">
        <f>Y45/5</f>
        <v>188.83192</v>
      </c>
      <c r="AF45" s="59"/>
      <c r="AG45" s="42"/>
      <c r="AH45" s="88"/>
      <c r="AI45" s="88"/>
      <c r="AJ45" s="88"/>
      <c r="AK45" s="88"/>
      <c r="AL45" s="88"/>
      <c r="AM45" s="37">
        <v>0.14000000000000001</v>
      </c>
      <c r="AN45" s="38">
        <f t="shared" si="7"/>
        <v>153.7004</v>
      </c>
      <c r="AP45" s="39"/>
      <c r="AQ45" s="39"/>
      <c r="AR45" s="39"/>
      <c r="AS45" s="39"/>
    </row>
    <row r="46" spans="1:46" ht="45" customHeight="1" thickTop="1" thickBot="1" x14ac:dyDescent="0.4">
      <c r="A46" s="19" t="s">
        <v>115</v>
      </c>
      <c r="B46" s="19">
        <v>258287</v>
      </c>
      <c r="C46" s="19">
        <v>299.13</v>
      </c>
      <c r="D46" s="19">
        <v>1385.62</v>
      </c>
      <c r="E46" s="19">
        <v>136.06</v>
      </c>
      <c r="F46" s="20" t="s">
        <v>116</v>
      </c>
      <c r="G46" s="21" t="s">
        <v>137</v>
      </c>
      <c r="H46" s="22"/>
      <c r="I46" s="22"/>
      <c r="J46" s="22"/>
      <c r="K46" s="22"/>
      <c r="L46" s="22"/>
      <c r="M46" s="22" t="s">
        <v>37</v>
      </c>
      <c r="N46" s="40"/>
      <c r="O46" s="46"/>
      <c r="P46" s="41" t="s">
        <v>117</v>
      </c>
      <c r="Q46" s="41" t="s">
        <v>118</v>
      </c>
      <c r="R46" s="46"/>
      <c r="S46" s="41" t="s">
        <v>119</v>
      </c>
      <c r="T46" s="41" t="s">
        <v>120</v>
      </c>
      <c r="U46" s="46" t="s">
        <v>37</v>
      </c>
      <c r="V46" s="47">
        <v>14250</v>
      </c>
      <c r="W46" s="27">
        <v>8</v>
      </c>
      <c r="X46" s="66">
        <v>1112.67</v>
      </c>
      <c r="Y46" s="56">
        <f t="shared" si="0"/>
        <v>956.89620000000002</v>
      </c>
      <c r="Z46" s="58">
        <f t="shared" si="1"/>
        <v>119.612025</v>
      </c>
      <c r="AA46" s="58"/>
      <c r="AB46" s="100"/>
      <c r="AC46" s="31">
        <f>Y46/10</f>
        <v>95.689620000000005</v>
      </c>
      <c r="AD46" s="72">
        <f>Y46/5</f>
        <v>191.37924000000001</v>
      </c>
      <c r="AE46" s="59"/>
      <c r="AF46" s="59"/>
      <c r="AG46" s="42"/>
      <c r="AH46" s="88"/>
      <c r="AI46" s="88"/>
      <c r="AJ46" s="88"/>
      <c r="AK46" s="90"/>
      <c r="AL46" s="88"/>
      <c r="AM46" s="37">
        <v>0.14000000000000001</v>
      </c>
      <c r="AN46" s="38">
        <f t="shared" si="7"/>
        <v>155.77380000000002</v>
      </c>
      <c r="AP46" s="39"/>
      <c r="AQ46" s="39"/>
      <c r="AR46" s="39"/>
      <c r="AS46" s="39"/>
      <c r="AT46" s="39"/>
    </row>
    <row r="47" spans="1:46" ht="43.5" customHeight="1" thickTop="1" thickBot="1" x14ac:dyDescent="0.4">
      <c r="A47" s="19" t="s">
        <v>121</v>
      </c>
      <c r="B47" s="19">
        <v>213479</v>
      </c>
      <c r="C47" s="19">
        <v>108.41</v>
      </c>
      <c r="D47" s="19">
        <v>277.13</v>
      </c>
      <c r="E47" s="19">
        <v>139.79</v>
      </c>
      <c r="F47" s="20" t="s">
        <v>116</v>
      </c>
      <c r="G47" s="21" t="s">
        <v>137</v>
      </c>
      <c r="H47" s="22"/>
      <c r="I47" s="22"/>
      <c r="J47" s="22"/>
      <c r="K47" s="22"/>
      <c r="L47" s="22"/>
      <c r="M47" s="22" t="s">
        <v>37</v>
      </c>
      <c r="N47" s="40"/>
      <c r="O47" s="46"/>
      <c r="P47" s="41" t="s">
        <v>117</v>
      </c>
      <c r="Q47" s="41" t="s">
        <v>118</v>
      </c>
      <c r="R47" s="46"/>
      <c r="S47" s="41" t="s">
        <v>119</v>
      </c>
      <c r="T47" s="41" t="s">
        <v>120</v>
      </c>
      <c r="U47" s="46" t="s">
        <v>37</v>
      </c>
      <c r="V47" s="47">
        <v>14250</v>
      </c>
      <c r="W47" s="27">
        <v>1.6</v>
      </c>
      <c r="X47" s="243" t="s">
        <v>419</v>
      </c>
      <c r="Y47" s="56" t="e">
        <f t="shared" si="0"/>
        <v>#VALUE!</v>
      </c>
      <c r="Z47" s="58" t="e">
        <f t="shared" si="1"/>
        <v>#VALUE!</v>
      </c>
      <c r="AA47" s="58"/>
      <c r="AB47" s="100"/>
      <c r="AC47" s="31" t="e">
        <f>Y47/2</f>
        <v>#VALUE!</v>
      </c>
      <c r="AD47" s="31" t="e">
        <f>Y47</f>
        <v>#VALUE!</v>
      </c>
      <c r="AE47" s="59"/>
      <c r="AF47" s="59"/>
      <c r="AG47" s="42"/>
      <c r="AH47" s="88"/>
      <c r="AI47" s="88"/>
      <c r="AJ47" s="88"/>
      <c r="AK47" s="90"/>
      <c r="AL47" s="88"/>
      <c r="AM47" s="37">
        <v>0.14000000000000001</v>
      </c>
      <c r="AN47" s="38" t="e">
        <f t="shared" si="7"/>
        <v>#VALUE!</v>
      </c>
      <c r="AP47" s="39"/>
      <c r="AQ47" s="39"/>
      <c r="AR47" s="39"/>
      <c r="AS47" s="39"/>
      <c r="AT47" s="39"/>
    </row>
    <row r="48" spans="1:46" ht="43.5" customHeight="1" thickTop="1" thickBot="1" x14ac:dyDescent="0.4">
      <c r="A48" s="19" t="s">
        <v>122</v>
      </c>
      <c r="B48" s="19">
        <v>258289</v>
      </c>
      <c r="C48" s="19">
        <v>359.53</v>
      </c>
      <c r="D48" s="19">
        <v>1847.49</v>
      </c>
      <c r="E48" s="19">
        <v>89.88</v>
      </c>
      <c r="F48" s="20" t="s">
        <v>116</v>
      </c>
      <c r="G48" s="21" t="s">
        <v>137</v>
      </c>
      <c r="H48" s="22"/>
      <c r="I48" s="22"/>
      <c r="J48" s="22"/>
      <c r="K48" s="22"/>
      <c r="L48" s="22"/>
      <c r="M48" s="22" t="s">
        <v>37</v>
      </c>
      <c r="N48" s="40"/>
      <c r="O48" s="46"/>
      <c r="P48" s="46"/>
      <c r="Q48" s="41" t="s">
        <v>123</v>
      </c>
      <c r="R48" s="41" t="s">
        <v>124</v>
      </c>
      <c r="S48" s="46"/>
      <c r="T48" s="46"/>
      <c r="U48" s="46" t="s">
        <v>37</v>
      </c>
      <c r="V48" s="47">
        <v>14250</v>
      </c>
      <c r="W48" s="27">
        <v>10.67</v>
      </c>
      <c r="X48" s="66">
        <v>1509.72</v>
      </c>
      <c r="Y48" s="56">
        <f t="shared" si="0"/>
        <v>1298.3592000000001</v>
      </c>
      <c r="Z48" s="58">
        <f t="shared" si="1"/>
        <v>121.68314901593253</v>
      </c>
      <c r="AA48" s="58"/>
      <c r="AB48" s="100"/>
      <c r="AC48" s="106">
        <f>Y48/10</f>
        <v>129.83592000000002</v>
      </c>
      <c r="AD48" s="31"/>
      <c r="AE48" s="59"/>
      <c r="AF48" s="59"/>
      <c r="AG48" s="42"/>
      <c r="AH48" s="88"/>
      <c r="AI48" s="88"/>
      <c r="AJ48" s="88"/>
      <c r="AK48" s="89">
        <f t="shared" ref="AK48" si="11">AC48/AS48</f>
        <v>1.0797165904365906</v>
      </c>
      <c r="AL48" s="88"/>
      <c r="AM48" s="37">
        <v>0.14000000000000001</v>
      </c>
      <c r="AN48" s="38">
        <f t="shared" si="7"/>
        <v>211.36080000000001</v>
      </c>
      <c r="AP48" s="39"/>
      <c r="AQ48" s="39"/>
      <c r="AR48" s="39"/>
      <c r="AS48" s="39">
        <v>120.25</v>
      </c>
      <c r="AT48" s="39"/>
    </row>
    <row r="49" spans="1:46" ht="43.5" customHeight="1" thickTop="1" thickBot="1" x14ac:dyDescent="0.4">
      <c r="A49" s="19" t="s">
        <v>125</v>
      </c>
      <c r="B49" s="19">
        <v>213481</v>
      </c>
      <c r="C49" s="19">
        <v>110.34</v>
      </c>
      <c r="D49" s="19">
        <v>369.49</v>
      </c>
      <c r="E49" s="19">
        <v>55.26</v>
      </c>
      <c r="F49" s="20" t="s">
        <v>116</v>
      </c>
      <c r="G49" s="21" t="s">
        <v>137</v>
      </c>
      <c r="H49" s="22"/>
      <c r="I49" s="22"/>
      <c r="J49" s="22"/>
      <c r="K49" s="22"/>
      <c r="L49" s="22"/>
      <c r="M49" s="22" t="s">
        <v>37</v>
      </c>
      <c r="N49" s="40"/>
      <c r="O49" s="46"/>
      <c r="P49" s="46"/>
      <c r="Q49" s="41" t="s">
        <v>123</v>
      </c>
      <c r="R49" s="41" t="s">
        <v>126</v>
      </c>
      <c r="S49" s="46"/>
      <c r="T49" s="46"/>
      <c r="U49" s="46" t="s">
        <v>37</v>
      </c>
      <c r="V49" s="47">
        <v>14250</v>
      </c>
      <c r="W49" s="27">
        <v>2.13</v>
      </c>
      <c r="X49" s="243" t="s">
        <v>419</v>
      </c>
      <c r="Y49" s="56" t="e">
        <f t="shared" si="0"/>
        <v>#VALUE!</v>
      </c>
      <c r="Z49" s="58" t="e">
        <f t="shared" si="1"/>
        <v>#VALUE!</v>
      </c>
      <c r="AA49" s="58"/>
      <c r="AB49" s="100"/>
      <c r="AC49" s="105" t="e">
        <f>Y49/2</f>
        <v>#VALUE!</v>
      </c>
      <c r="AD49" s="31"/>
      <c r="AE49" s="59"/>
      <c r="AF49" s="59"/>
      <c r="AG49" s="42"/>
      <c r="AH49" s="88"/>
      <c r="AI49" s="88"/>
      <c r="AJ49" s="88"/>
      <c r="AK49" s="103" t="e">
        <f>AC49/AS49</f>
        <v>#VALUE!</v>
      </c>
      <c r="AL49" s="88"/>
      <c r="AM49" s="37">
        <v>0.14000000000000001</v>
      </c>
      <c r="AN49" s="38" t="e">
        <f t="shared" si="7"/>
        <v>#VALUE!</v>
      </c>
      <c r="AP49" s="39"/>
      <c r="AQ49" s="39"/>
      <c r="AR49" s="39"/>
      <c r="AS49" s="39">
        <v>120.25</v>
      </c>
      <c r="AT49" s="39"/>
    </row>
    <row r="50" spans="1:46" ht="42" customHeight="1" thickTop="1" thickBot="1" x14ac:dyDescent="0.4">
      <c r="A50" s="19" t="s">
        <v>127</v>
      </c>
      <c r="B50" s="19">
        <v>258291</v>
      </c>
      <c r="C50" s="19">
        <v>419.93</v>
      </c>
      <c r="D50" s="19">
        <v>2309.37</v>
      </c>
      <c r="E50" s="19">
        <v>43.69</v>
      </c>
      <c r="F50" s="20" t="s">
        <v>116</v>
      </c>
      <c r="G50" s="21" t="s">
        <v>137</v>
      </c>
      <c r="H50" s="22"/>
      <c r="I50" s="22"/>
      <c r="J50" s="22"/>
      <c r="K50" s="22"/>
      <c r="L50" s="22"/>
      <c r="M50" s="22" t="s">
        <v>37</v>
      </c>
      <c r="N50" s="40"/>
      <c r="O50" s="46"/>
      <c r="P50" s="46"/>
      <c r="Q50" s="46"/>
      <c r="R50" s="41" t="s">
        <v>128</v>
      </c>
      <c r="S50" s="41" t="s">
        <v>129</v>
      </c>
      <c r="T50" s="46"/>
      <c r="U50" s="46" t="s">
        <v>37</v>
      </c>
      <c r="V50" s="47">
        <v>14250</v>
      </c>
      <c r="W50" s="54">
        <v>13.33</v>
      </c>
      <c r="X50" s="66">
        <v>1906.77</v>
      </c>
      <c r="Y50" s="56">
        <f t="shared" si="0"/>
        <v>1639.8222000000001</v>
      </c>
      <c r="Z50" s="58">
        <f t="shared" si="1"/>
        <v>123.01741935483871</v>
      </c>
      <c r="AA50" s="58"/>
      <c r="AB50" s="100"/>
      <c r="AC50" s="31">
        <f>Y50/10</f>
        <v>163.98222000000001</v>
      </c>
      <c r="AD50" s="31"/>
      <c r="AE50" s="59"/>
      <c r="AF50" s="59"/>
      <c r="AG50" s="42"/>
      <c r="AH50" s="88"/>
      <c r="AI50" s="88"/>
      <c r="AJ50" s="88"/>
      <c r="AK50" s="88"/>
      <c r="AL50" s="88"/>
      <c r="AM50" s="37">
        <v>0.14000000000000001</v>
      </c>
      <c r="AN50" s="38">
        <f t="shared" si="7"/>
        <v>266.94780000000003</v>
      </c>
      <c r="AP50" s="39"/>
      <c r="AQ50" s="39"/>
      <c r="AR50" s="39"/>
      <c r="AS50" s="39"/>
    </row>
    <row r="51" spans="1:46" ht="51.75" customHeight="1" thickTop="1" thickBot="1" x14ac:dyDescent="0.4">
      <c r="A51" s="19" t="s">
        <v>130</v>
      </c>
      <c r="B51" s="19">
        <v>126409</v>
      </c>
      <c r="C51" s="19">
        <v>400.03</v>
      </c>
      <c r="D51" s="19">
        <v>736.33</v>
      </c>
      <c r="E51" s="19">
        <v>100.08</v>
      </c>
      <c r="F51" s="19" t="s">
        <v>131</v>
      </c>
      <c r="G51" s="21" t="s">
        <v>137</v>
      </c>
      <c r="H51" s="22"/>
      <c r="I51" s="22"/>
      <c r="J51" s="22"/>
      <c r="K51" s="24" t="s">
        <v>39</v>
      </c>
      <c r="L51" s="24" t="s">
        <v>39</v>
      </c>
      <c r="M51" s="67"/>
      <c r="N51" s="24" t="s">
        <v>39</v>
      </c>
      <c r="O51" s="68"/>
      <c r="P51" s="68"/>
      <c r="Q51" s="68"/>
      <c r="R51" s="68"/>
      <c r="S51" s="68"/>
      <c r="T51" s="68"/>
      <c r="U51" s="68"/>
      <c r="V51" s="54">
        <v>2.5</v>
      </c>
      <c r="W51" s="54">
        <v>10</v>
      </c>
      <c r="X51" s="66">
        <v>564.54</v>
      </c>
      <c r="Y51" s="56">
        <f t="shared" si="0"/>
        <v>485.50439999999998</v>
      </c>
      <c r="Z51" s="58">
        <f t="shared" si="1"/>
        <v>48.550439999999995</v>
      </c>
      <c r="AA51" s="30">
        <f>Y51/10</f>
        <v>48.550439999999995</v>
      </c>
      <c r="AB51" s="102" t="s">
        <v>148</v>
      </c>
      <c r="AC51" s="59"/>
      <c r="AD51" s="59"/>
      <c r="AE51" s="59"/>
      <c r="AF51" s="32">
        <f>Z51/AP51</f>
        <v>1.5082460391425907</v>
      </c>
      <c r="AG51" s="60"/>
      <c r="AH51" s="78">
        <f>AA51/AP51</f>
        <v>1.5082460391425907</v>
      </c>
      <c r="AI51" s="35">
        <f>AA51/AQ51</f>
        <v>1.0159121155053357</v>
      </c>
      <c r="AJ51" s="76"/>
      <c r="AK51" s="84"/>
      <c r="AL51" s="84"/>
      <c r="AM51" s="37">
        <v>0.14000000000000001</v>
      </c>
      <c r="AN51" s="38">
        <f t="shared" si="7"/>
        <v>79.035600000000002</v>
      </c>
      <c r="AP51" s="39">
        <v>32.19</v>
      </c>
      <c r="AQ51" s="39">
        <v>47.79</v>
      </c>
      <c r="AR51" s="39"/>
    </row>
    <row r="52" spans="1:46" ht="9" customHeight="1" thickTop="1" x14ac:dyDescent="0.35">
      <c r="G52" s="69"/>
      <c r="H52" s="69"/>
      <c r="I52" s="69"/>
      <c r="J52" s="69"/>
      <c r="K52" s="69"/>
      <c r="L52" s="69"/>
      <c r="O52" s="64"/>
      <c r="P52" s="64"/>
      <c r="Q52" s="64"/>
      <c r="R52" s="64"/>
      <c r="S52" s="64"/>
      <c r="T52" s="64"/>
    </row>
    <row r="53" spans="1:46" ht="15" x14ac:dyDescent="0.35">
      <c r="A53" s="70" t="s">
        <v>132</v>
      </c>
      <c r="B53" s="70"/>
      <c r="C53" s="70"/>
      <c r="D53" s="70"/>
      <c r="E53" s="70"/>
      <c r="G53" s="69"/>
      <c r="H53" s="69"/>
      <c r="I53" s="69"/>
      <c r="J53" s="69"/>
      <c r="K53" s="69"/>
      <c r="L53" s="69"/>
      <c r="O53" s="64"/>
      <c r="P53" s="64"/>
      <c r="Q53" s="64"/>
      <c r="R53" s="64"/>
      <c r="S53" s="64"/>
      <c r="T53" s="64"/>
    </row>
    <row r="54" spans="1:46" ht="15" x14ac:dyDescent="0.35">
      <c r="A54" s="70" t="s">
        <v>133</v>
      </c>
      <c r="B54" s="70"/>
      <c r="C54" s="70"/>
      <c r="D54" s="70"/>
      <c r="E54" s="70"/>
      <c r="G54" s="69"/>
      <c r="H54" s="69"/>
      <c r="I54" s="69"/>
      <c r="J54" s="69"/>
      <c r="K54" s="69"/>
      <c r="L54" s="69"/>
      <c r="O54" s="64"/>
      <c r="P54" s="64"/>
      <c r="Q54" s="64"/>
      <c r="R54" s="64"/>
      <c r="S54" s="64"/>
      <c r="T54" s="64"/>
    </row>
    <row r="55" spans="1:46" ht="15" x14ac:dyDescent="0.35">
      <c r="A55" s="70" t="s">
        <v>134</v>
      </c>
      <c r="B55" s="70"/>
      <c r="C55" s="70"/>
      <c r="D55" s="70"/>
      <c r="E55" s="70"/>
      <c r="G55" s="69"/>
      <c r="H55" s="69"/>
      <c r="I55" s="69"/>
      <c r="J55" s="69"/>
      <c r="K55" s="69"/>
      <c r="L55" s="69"/>
      <c r="O55" s="64"/>
      <c r="P55" s="64"/>
      <c r="Q55" s="64"/>
      <c r="R55" s="64"/>
      <c r="S55" s="64"/>
      <c r="T55" s="64"/>
    </row>
    <row r="56" spans="1:46" x14ac:dyDescent="0.35">
      <c r="G56" s="69"/>
      <c r="H56" s="69"/>
      <c r="I56" s="69"/>
      <c r="J56" s="69"/>
      <c r="K56" s="69"/>
      <c r="L56" s="69"/>
      <c r="O56" s="64"/>
      <c r="P56" s="64"/>
      <c r="Q56" s="64"/>
      <c r="R56" s="64"/>
      <c r="S56" s="64"/>
      <c r="T56" s="64"/>
    </row>
    <row r="57" spans="1:46" ht="63.75" customHeight="1" x14ac:dyDescent="0.35">
      <c r="A57" s="247" t="s">
        <v>135</v>
      </c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</row>
    <row r="58" spans="1:46" ht="15.75" customHeight="1" x14ac:dyDescent="0.35">
      <c r="A58" s="248" t="s">
        <v>136</v>
      </c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</row>
    <row r="59" spans="1:46" x14ac:dyDescent="0.35">
      <c r="A59" s="248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</row>
    <row r="60" spans="1:46" x14ac:dyDescent="0.35">
      <c r="A60" s="248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</row>
    <row r="61" spans="1:46" x14ac:dyDescent="0.35">
      <c r="A61" s="248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</row>
    <row r="62" spans="1:46" x14ac:dyDescent="0.35">
      <c r="A62" s="248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</row>
    <row r="63" spans="1:46" x14ac:dyDescent="0.35">
      <c r="A63" s="248"/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</row>
    <row r="64" spans="1:46" x14ac:dyDescent="0.35">
      <c r="A64" s="248"/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</row>
    <row r="65" spans="7:12" x14ac:dyDescent="0.35">
      <c r="G65" s="69"/>
      <c r="H65" s="69"/>
      <c r="I65" s="69"/>
      <c r="J65" s="69"/>
      <c r="K65" s="69"/>
      <c r="L65" s="69"/>
    </row>
    <row r="66" spans="7:12" x14ac:dyDescent="0.35">
      <c r="G66" s="69"/>
      <c r="H66" s="69"/>
      <c r="I66" s="69"/>
      <c r="J66" s="69"/>
      <c r="K66" s="69"/>
      <c r="L66" s="69"/>
    </row>
  </sheetData>
  <autoFilter ref="A3:AT51" xr:uid="{00000000-0009-0000-0000-000000000000}"/>
  <mergeCells count="3">
    <mergeCell ref="H2:U2"/>
    <mergeCell ref="A57:X57"/>
    <mergeCell ref="A58:X64"/>
  </mergeCells>
  <pageMargins left="0.25" right="0.25" top="0.75" bottom="0.75" header="0.3" footer="0.3"/>
  <pageSetup paperSize="8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C8A8-0815-4C3C-BDEB-BAC603D737CF}">
  <sheetPr>
    <pageSetUpPr fitToPage="1"/>
  </sheetPr>
  <dimension ref="A1:AU66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40" sqref="K40"/>
    </sheetView>
  </sheetViews>
  <sheetFormatPr defaultRowHeight="14.5" x14ac:dyDescent="0.35"/>
  <cols>
    <col min="1" max="1" width="21.1796875" customWidth="1"/>
    <col min="2" max="2" width="8.08984375" customWidth="1"/>
    <col min="3" max="3" width="8.54296875" hidden="1" customWidth="1"/>
    <col min="4" max="4" width="10" hidden="1" customWidth="1"/>
    <col min="5" max="5" width="9.453125" hidden="1" customWidth="1"/>
    <col min="6" max="6" width="13" customWidth="1"/>
    <col min="7" max="7" width="7.90625" customWidth="1"/>
    <col min="8" max="8" width="7.7265625" hidden="1" customWidth="1"/>
    <col min="9" max="9" width="12.26953125" hidden="1" customWidth="1"/>
    <col min="10" max="10" width="15.26953125" customWidth="1"/>
    <col min="11" max="11" width="16.90625" customWidth="1"/>
    <col min="12" max="12" width="13.54296875" customWidth="1"/>
    <col min="13" max="13" width="0.26953125" hidden="1" customWidth="1"/>
    <col min="14" max="14" width="12.1796875" hidden="1" customWidth="1"/>
    <col min="15" max="15" width="12.54296875" hidden="1" customWidth="1"/>
    <col min="16" max="16" width="12.453125" hidden="1" customWidth="1"/>
    <col min="17" max="17" width="12.26953125" hidden="1" customWidth="1"/>
    <col min="18" max="18" width="13.7265625" hidden="1" customWidth="1"/>
    <col min="19" max="19" width="12.7265625" hidden="1" customWidth="1"/>
    <col min="20" max="20" width="11.453125" hidden="1" customWidth="1"/>
    <col min="21" max="21" width="10.453125" customWidth="1"/>
    <col min="22" max="22" width="10.26953125" hidden="1" customWidth="1"/>
    <col min="23" max="23" width="10.08984375" hidden="1" customWidth="1"/>
    <col min="24" max="24" width="11.81640625" customWidth="1"/>
    <col min="25" max="25" width="10.26953125" customWidth="1"/>
    <col min="26" max="26" width="11.81640625" hidden="1" customWidth="1"/>
    <col min="27" max="27" width="13" customWidth="1"/>
    <col min="28" max="28" width="18.26953125" customWidth="1"/>
    <col min="29" max="30" width="11.54296875" hidden="1" customWidth="1"/>
    <col min="31" max="31" width="11.81640625" hidden="1" customWidth="1"/>
    <col min="32" max="32" width="8.81640625" hidden="1" customWidth="1"/>
    <col min="33" max="33" width="0.1796875" hidden="1" customWidth="1"/>
    <col min="34" max="34" width="13.36328125" customWidth="1"/>
    <col min="35" max="35" width="13.54296875" customWidth="1"/>
    <col min="36" max="36" width="14.36328125" customWidth="1"/>
    <col min="37" max="37" width="6" hidden="1" customWidth="1"/>
    <col min="38" max="38" width="11.1796875" hidden="1" customWidth="1"/>
    <col min="39" max="39" width="8.7265625" customWidth="1"/>
    <col min="40" max="40" width="6.54296875" customWidth="1"/>
    <col min="41" max="41" width="2.26953125" customWidth="1"/>
    <col min="42" max="43" width="11.453125" customWidth="1"/>
    <col min="44" max="44" width="11" customWidth="1"/>
    <col min="45" max="45" width="10.54296875" hidden="1" customWidth="1"/>
    <col min="46" max="46" width="10.7265625" hidden="1" customWidth="1"/>
  </cols>
  <sheetData>
    <row r="1" spans="1:47" ht="7.5" customHeight="1" x14ac:dyDescent="0.35"/>
    <row r="2" spans="1:47" ht="17" customHeight="1" thickBot="1" x14ac:dyDescent="0.4">
      <c r="H2" s="244" t="s">
        <v>0</v>
      </c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6"/>
    </row>
    <row r="3" spans="1:47" ht="74" customHeight="1" thickTop="1" thickBot="1" x14ac:dyDescent="0.4">
      <c r="A3" s="1" t="s">
        <v>1</v>
      </c>
      <c r="B3" s="1" t="s">
        <v>139</v>
      </c>
      <c r="C3" s="1" t="s">
        <v>140</v>
      </c>
      <c r="D3" s="1" t="s">
        <v>142</v>
      </c>
      <c r="E3" s="2" t="s">
        <v>141</v>
      </c>
      <c r="F3" s="1" t="s">
        <v>2</v>
      </c>
      <c r="G3" s="2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5" t="s">
        <v>9</v>
      </c>
      <c r="N3" s="5" t="s">
        <v>10</v>
      </c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  <c r="U3" s="3" t="s">
        <v>17</v>
      </c>
      <c r="V3" s="1" t="s">
        <v>18</v>
      </c>
      <c r="W3" s="1" t="s">
        <v>19</v>
      </c>
      <c r="X3" s="7" t="s">
        <v>413</v>
      </c>
      <c r="Y3" s="8" t="s">
        <v>414</v>
      </c>
      <c r="Z3" s="9" t="s">
        <v>20</v>
      </c>
      <c r="AA3" s="10" t="s">
        <v>21</v>
      </c>
      <c r="AB3" s="73" t="s">
        <v>143</v>
      </c>
      <c r="AC3" s="11" t="s">
        <v>22</v>
      </c>
      <c r="AD3" s="11" t="s">
        <v>23</v>
      </c>
      <c r="AE3" s="11" t="s">
        <v>24</v>
      </c>
      <c r="AF3" s="12" t="s">
        <v>25</v>
      </c>
      <c r="AG3" s="13" t="s">
        <v>26</v>
      </c>
      <c r="AH3" s="14" t="s">
        <v>149</v>
      </c>
      <c r="AI3" s="14" t="s">
        <v>150</v>
      </c>
      <c r="AJ3" s="74" t="s">
        <v>415</v>
      </c>
      <c r="AK3" s="108" t="s">
        <v>27</v>
      </c>
      <c r="AL3" s="108" t="s">
        <v>28</v>
      </c>
      <c r="AM3" s="15" t="s">
        <v>29</v>
      </c>
      <c r="AN3" s="16"/>
      <c r="AO3" s="16"/>
      <c r="AP3" s="17" t="s">
        <v>30</v>
      </c>
      <c r="AQ3" s="17" t="s">
        <v>31</v>
      </c>
      <c r="AR3" s="75" t="s">
        <v>146</v>
      </c>
      <c r="AS3" s="109" t="s">
        <v>32</v>
      </c>
      <c r="AT3" s="109" t="s">
        <v>33</v>
      </c>
      <c r="AU3" s="18"/>
    </row>
    <row r="4" spans="1:47" ht="44.25" customHeight="1" thickTop="1" thickBot="1" x14ac:dyDescent="0.4">
      <c r="A4" s="19" t="s">
        <v>34</v>
      </c>
      <c r="B4" s="19">
        <v>130521</v>
      </c>
      <c r="C4" s="19">
        <v>185.89</v>
      </c>
      <c r="D4" s="19">
        <v>525.95000000000005</v>
      </c>
      <c r="E4" s="19">
        <v>152.76</v>
      </c>
      <c r="F4" s="20" t="s">
        <v>35</v>
      </c>
      <c r="G4" s="21" t="s">
        <v>36</v>
      </c>
      <c r="H4" s="22" t="s">
        <v>37</v>
      </c>
      <c r="I4" s="23" t="s">
        <v>38</v>
      </c>
      <c r="J4" s="24" t="s">
        <v>39</v>
      </c>
      <c r="K4" s="22"/>
      <c r="L4" s="23" t="s">
        <v>40</v>
      </c>
      <c r="M4" s="22" t="s">
        <v>37</v>
      </c>
      <c r="N4" s="23" t="s">
        <v>40</v>
      </c>
      <c r="O4" s="25"/>
      <c r="P4" s="25"/>
      <c r="Q4" s="25"/>
      <c r="R4" s="25"/>
      <c r="S4" s="25"/>
      <c r="T4" s="25"/>
      <c r="U4" s="25"/>
      <c r="V4" s="26">
        <v>3500</v>
      </c>
      <c r="W4" s="27">
        <v>7.14</v>
      </c>
      <c r="X4" s="94">
        <v>348.47</v>
      </c>
      <c r="Y4" s="29">
        <f t="shared" ref="Y4:Y51" si="0">X4-AN4</f>
        <v>348.47</v>
      </c>
      <c r="Z4" s="30">
        <f t="shared" ref="Z4:Z51" si="1">Y4/W4</f>
        <v>48.805322128851543</v>
      </c>
      <c r="AA4" s="30">
        <f>Y4/10</f>
        <v>34.847000000000001</v>
      </c>
      <c r="AB4" s="228" t="s">
        <v>144</v>
      </c>
      <c r="AC4" s="31"/>
      <c r="AD4" s="31"/>
      <c r="AE4" s="31"/>
      <c r="AF4" s="32" t="e">
        <f>Z4/AP4</f>
        <v>#DIV/0!</v>
      </c>
      <c r="AG4" s="33"/>
      <c r="AH4" s="76"/>
      <c r="AI4" s="76"/>
      <c r="AJ4" s="77">
        <f>AA4/AR4</f>
        <v>1.431088295687885</v>
      </c>
      <c r="AK4" s="87"/>
      <c r="AL4" s="87"/>
      <c r="AM4" s="37">
        <v>0</v>
      </c>
      <c r="AN4" s="38">
        <f t="shared" ref="AN4:AN51" si="2">AM4*X4</f>
        <v>0</v>
      </c>
      <c r="AP4" s="39"/>
      <c r="AQ4" s="39"/>
      <c r="AR4" s="39">
        <v>24.35</v>
      </c>
    </row>
    <row r="5" spans="1:47" ht="38.5" customHeight="1" thickTop="1" thickBot="1" x14ac:dyDescent="0.4">
      <c r="A5" s="19" t="s">
        <v>41</v>
      </c>
      <c r="B5" s="19">
        <v>130526</v>
      </c>
      <c r="C5" s="19">
        <v>195.83</v>
      </c>
      <c r="D5" s="19">
        <v>736.33</v>
      </c>
      <c r="E5" s="19">
        <v>102.09</v>
      </c>
      <c r="F5" s="20" t="s">
        <v>42</v>
      </c>
      <c r="G5" s="21" t="s">
        <v>36</v>
      </c>
      <c r="H5" s="22" t="s">
        <v>37</v>
      </c>
      <c r="I5" s="23" t="s">
        <v>43</v>
      </c>
      <c r="J5" s="22"/>
      <c r="K5" s="24" t="s">
        <v>39</v>
      </c>
      <c r="L5" s="23" t="s">
        <v>40</v>
      </c>
      <c r="M5" s="22" t="s">
        <v>37</v>
      </c>
      <c r="N5" s="23" t="s">
        <v>40</v>
      </c>
      <c r="O5" s="25"/>
      <c r="P5" s="25"/>
      <c r="Q5" s="25"/>
      <c r="R5" s="25"/>
      <c r="S5" s="25"/>
      <c r="T5" s="25"/>
      <c r="U5" s="25"/>
      <c r="V5" s="26">
        <v>3500</v>
      </c>
      <c r="W5" s="27">
        <v>10</v>
      </c>
      <c r="X5" s="94">
        <v>373.27</v>
      </c>
      <c r="Y5" s="29">
        <f t="shared" si="0"/>
        <v>373.27</v>
      </c>
      <c r="Z5" s="30">
        <f t="shared" si="1"/>
        <v>37.326999999999998</v>
      </c>
      <c r="AA5" s="30">
        <f>Y5/10</f>
        <v>37.326999999999998</v>
      </c>
      <c r="AB5" s="229" t="s">
        <v>145</v>
      </c>
      <c r="AC5" s="31"/>
      <c r="AD5" s="31"/>
      <c r="AE5" s="31"/>
      <c r="AF5" s="32" t="e">
        <f>Z5/AP5</f>
        <v>#DIV/0!</v>
      </c>
      <c r="AG5" s="33"/>
      <c r="AH5" s="76"/>
      <c r="AI5" s="76"/>
      <c r="AJ5" s="77">
        <f>AA5/AR5</f>
        <v>1.5329363449691991</v>
      </c>
      <c r="AK5" s="87"/>
      <c r="AL5" s="87"/>
      <c r="AM5" s="37">
        <v>0</v>
      </c>
      <c r="AN5" s="38">
        <f t="shared" si="2"/>
        <v>0</v>
      </c>
      <c r="AP5" s="39"/>
      <c r="AQ5" s="39"/>
      <c r="AR5" s="39">
        <v>24.35</v>
      </c>
    </row>
    <row r="6" spans="1:47" ht="36.5" hidden="1" customHeight="1" thickTop="1" thickBot="1" x14ac:dyDescent="0.4">
      <c r="A6" s="19" t="s">
        <v>44</v>
      </c>
      <c r="B6" s="19">
        <v>107605</v>
      </c>
      <c r="C6" s="19">
        <v>210.84</v>
      </c>
      <c r="D6" s="19">
        <v>1004.04</v>
      </c>
      <c r="E6" s="19">
        <v>65.64</v>
      </c>
      <c r="F6" s="20" t="s">
        <v>45</v>
      </c>
      <c r="G6" s="21" t="s">
        <v>36</v>
      </c>
      <c r="H6" s="22"/>
      <c r="I6" s="22"/>
      <c r="J6" s="22"/>
      <c r="K6" s="22"/>
      <c r="L6" s="22"/>
      <c r="M6" s="22" t="s">
        <v>37</v>
      </c>
      <c r="N6" s="40"/>
      <c r="O6" s="41" t="s">
        <v>46</v>
      </c>
      <c r="P6" s="24"/>
      <c r="Q6" s="24"/>
      <c r="R6" s="24"/>
      <c r="S6" s="24"/>
      <c r="T6" s="24"/>
      <c r="U6" s="24"/>
      <c r="V6" s="26">
        <v>8625</v>
      </c>
      <c r="W6" s="27">
        <v>5.8</v>
      </c>
      <c r="X6" s="94">
        <v>635.91</v>
      </c>
      <c r="Y6" s="29">
        <f t="shared" si="0"/>
        <v>635.91</v>
      </c>
      <c r="Z6" s="30">
        <f t="shared" si="1"/>
        <v>109.6396551724138</v>
      </c>
      <c r="AA6" s="30"/>
      <c r="AB6" s="230"/>
      <c r="AC6" s="31">
        <f>Y6/10</f>
        <v>63.590999999999994</v>
      </c>
      <c r="AD6" s="31"/>
      <c r="AE6" s="31"/>
      <c r="AF6" s="31"/>
      <c r="AG6" s="42"/>
      <c r="AH6" s="88"/>
      <c r="AI6" s="88"/>
      <c r="AJ6" s="88"/>
      <c r="AK6" s="88"/>
      <c r="AL6" s="88"/>
      <c r="AM6" s="37">
        <v>0</v>
      </c>
      <c r="AN6" s="38">
        <f t="shared" si="2"/>
        <v>0</v>
      </c>
      <c r="AP6" s="39"/>
      <c r="AQ6" s="39"/>
      <c r="AR6" s="39">
        <v>24.35</v>
      </c>
      <c r="AS6" s="39"/>
    </row>
    <row r="7" spans="1:47" ht="50" hidden="1" customHeight="1" thickTop="1" thickBot="1" x14ac:dyDescent="0.4">
      <c r="A7" s="19" t="s">
        <v>47</v>
      </c>
      <c r="B7" s="19"/>
      <c r="C7" s="19"/>
      <c r="D7" s="19"/>
      <c r="E7" s="19"/>
      <c r="F7" s="20" t="s">
        <v>45</v>
      </c>
      <c r="G7" s="21" t="s">
        <v>36</v>
      </c>
      <c r="H7" s="22"/>
      <c r="I7" s="22"/>
      <c r="J7" s="22"/>
      <c r="K7" s="22"/>
      <c r="L7" s="22"/>
      <c r="M7" s="22" t="s">
        <v>37</v>
      </c>
      <c r="N7" s="40"/>
      <c r="O7" s="41" t="s">
        <v>46</v>
      </c>
      <c r="P7" s="24"/>
      <c r="Q7" s="24"/>
      <c r="R7" s="24"/>
      <c r="S7" s="24"/>
      <c r="T7" s="24"/>
      <c r="U7" s="24"/>
      <c r="V7" s="26">
        <v>8625</v>
      </c>
      <c r="W7" s="27">
        <v>1.1599999999999999</v>
      </c>
      <c r="X7" s="28"/>
      <c r="Y7" s="29">
        <f t="shared" si="0"/>
        <v>0</v>
      </c>
      <c r="Z7" s="30">
        <f t="shared" si="1"/>
        <v>0</v>
      </c>
      <c r="AA7" s="30"/>
      <c r="AB7" s="230"/>
      <c r="AC7" s="31">
        <f>Y7/2</f>
        <v>0</v>
      </c>
      <c r="AD7" s="31"/>
      <c r="AE7" s="31"/>
      <c r="AF7" s="31"/>
      <c r="AG7" s="42"/>
      <c r="AH7" s="43"/>
      <c r="AI7" s="43"/>
      <c r="AJ7" s="43"/>
      <c r="AK7" s="43"/>
      <c r="AL7" s="43"/>
      <c r="AM7" s="37">
        <v>0</v>
      </c>
      <c r="AN7" s="38">
        <f t="shared" si="2"/>
        <v>0</v>
      </c>
      <c r="AR7" s="39">
        <v>24.35</v>
      </c>
      <c r="AS7" s="39"/>
    </row>
    <row r="8" spans="1:47" ht="46.5" hidden="1" customHeight="1" thickTop="1" thickBot="1" x14ac:dyDescent="0.4">
      <c r="A8" s="19" t="s">
        <v>48</v>
      </c>
      <c r="B8" s="19">
        <v>108382</v>
      </c>
      <c r="C8" s="19">
        <v>284.02</v>
      </c>
      <c r="D8" s="19">
        <v>1506.09</v>
      </c>
      <c r="E8" s="19">
        <v>75.55</v>
      </c>
      <c r="F8" s="20" t="s">
        <v>45</v>
      </c>
      <c r="G8" s="21" t="s">
        <v>36</v>
      </c>
      <c r="H8" s="22"/>
      <c r="I8" s="22"/>
      <c r="J8" s="22"/>
      <c r="K8" s="22"/>
      <c r="L8" s="22"/>
      <c r="M8" s="22" t="s">
        <v>37</v>
      </c>
      <c r="N8" s="40"/>
      <c r="O8" s="24"/>
      <c r="P8" s="41" t="s">
        <v>46</v>
      </c>
      <c r="Q8" s="24"/>
      <c r="R8" s="24"/>
      <c r="S8" s="41" t="s">
        <v>49</v>
      </c>
      <c r="T8" s="41" t="s">
        <v>50</v>
      </c>
      <c r="U8" s="24"/>
      <c r="V8" s="26">
        <v>8625</v>
      </c>
      <c r="W8" s="27">
        <v>8.6999999999999993</v>
      </c>
      <c r="X8" s="94">
        <v>897.01</v>
      </c>
      <c r="Y8" s="29">
        <f t="shared" si="0"/>
        <v>897.01</v>
      </c>
      <c r="Z8" s="30">
        <f t="shared" si="1"/>
        <v>103.10459770114943</v>
      </c>
      <c r="AA8" s="30"/>
      <c r="AB8" s="230"/>
      <c r="AC8" s="31">
        <f>Y8/10</f>
        <v>89.700999999999993</v>
      </c>
      <c r="AD8" s="31">
        <f>Y8/5</f>
        <v>179.40199999999999</v>
      </c>
      <c r="AE8" s="31"/>
      <c r="AF8" s="31"/>
      <c r="AG8" s="42"/>
      <c r="AH8" s="88"/>
      <c r="AI8" s="88"/>
      <c r="AJ8" s="88"/>
      <c r="AK8" s="88"/>
      <c r="AL8" s="88"/>
      <c r="AM8" s="37">
        <v>0</v>
      </c>
      <c r="AN8" s="38">
        <f t="shared" si="2"/>
        <v>0</v>
      </c>
      <c r="AP8" s="39"/>
      <c r="AQ8" s="39"/>
      <c r="AR8" s="39">
        <v>24.35</v>
      </c>
      <c r="AS8" s="39"/>
    </row>
    <row r="9" spans="1:47" ht="48" hidden="1" customHeight="1" thickTop="1" thickBot="1" x14ac:dyDescent="0.4">
      <c r="A9" s="19" t="s">
        <v>51</v>
      </c>
      <c r="B9" s="19">
        <v>107612</v>
      </c>
      <c r="C9" s="19">
        <v>520.75</v>
      </c>
      <c r="D9" s="19">
        <v>2008.14</v>
      </c>
      <c r="E9" s="19">
        <v>81.290000000000006</v>
      </c>
      <c r="F9" s="20" t="s">
        <v>45</v>
      </c>
      <c r="G9" s="21" t="s">
        <v>36</v>
      </c>
      <c r="H9" s="22"/>
      <c r="I9" s="22"/>
      <c r="J9" s="22"/>
      <c r="K9" s="22"/>
      <c r="L9" s="22"/>
      <c r="M9" s="22" t="s">
        <v>37</v>
      </c>
      <c r="N9" s="40"/>
      <c r="O9" s="24"/>
      <c r="P9" s="24"/>
      <c r="Q9" s="41" t="s">
        <v>46</v>
      </c>
      <c r="R9" s="41" t="s">
        <v>52</v>
      </c>
      <c r="S9" s="24"/>
      <c r="T9" s="24"/>
      <c r="U9" s="24"/>
      <c r="V9" s="26">
        <v>8625</v>
      </c>
      <c r="W9" s="44">
        <v>11.59</v>
      </c>
      <c r="X9" s="94">
        <v>1202.6600000000001</v>
      </c>
      <c r="Y9" s="29">
        <f t="shared" si="0"/>
        <v>1202.6600000000001</v>
      </c>
      <c r="Z9" s="30">
        <f t="shared" si="1"/>
        <v>103.76704055220019</v>
      </c>
      <c r="AA9" s="30"/>
      <c r="AB9" s="230"/>
      <c r="AC9" s="106">
        <f>Y9/10</f>
        <v>120.26600000000001</v>
      </c>
      <c r="AD9" s="31"/>
      <c r="AE9" s="31"/>
      <c r="AF9" s="31"/>
      <c r="AG9" s="42"/>
      <c r="AH9" s="88"/>
      <c r="AI9" s="88"/>
      <c r="AJ9" s="88"/>
      <c r="AK9" s="89">
        <f>AC9/AS9</f>
        <v>1.0252855924978688</v>
      </c>
      <c r="AL9" s="88"/>
      <c r="AM9" s="37">
        <v>0</v>
      </c>
      <c r="AN9" s="38">
        <f t="shared" si="2"/>
        <v>0</v>
      </c>
      <c r="AP9" s="39"/>
      <c r="AQ9" s="39"/>
      <c r="AR9" s="39">
        <v>24.35</v>
      </c>
      <c r="AS9" s="39">
        <v>117.3</v>
      </c>
    </row>
    <row r="10" spans="1:47" ht="47" hidden="1" customHeight="1" thickTop="1" thickBot="1" x14ac:dyDescent="0.4">
      <c r="A10" s="19" t="s">
        <v>53</v>
      </c>
      <c r="B10" s="19"/>
      <c r="C10" s="19"/>
      <c r="D10" s="19"/>
      <c r="E10" s="19"/>
      <c r="F10" s="20" t="s">
        <v>45</v>
      </c>
      <c r="G10" s="21" t="s">
        <v>36</v>
      </c>
      <c r="H10" s="22"/>
      <c r="I10" s="22"/>
      <c r="J10" s="22"/>
      <c r="K10" s="22"/>
      <c r="L10" s="22"/>
      <c r="M10" s="22" t="s">
        <v>37</v>
      </c>
      <c r="N10" s="40"/>
      <c r="O10" s="24"/>
      <c r="P10" s="24"/>
      <c r="Q10" s="41" t="s">
        <v>46</v>
      </c>
      <c r="R10" s="41" t="s">
        <v>52</v>
      </c>
      <c r="S10" s="24"/>
      <c r="T10" s="24"/>
      <c r="U10" s="24"/>
      <c r="V10" s="26">
        <v>8625</v>
      </c>
      <c r="W10" s="44">
        <v>2.3199999999999998</v>
      </c>
      <c r="X10" s="28"/>
      <c r="Y10" s="29">
        <f t="shared" si="0"/>
        <v>0</v>
      </c>
      <c r="Z10" s="30">
        <f t="shared" si="1"/>
        <v>0</v>
      </c>
      <c r="AA10" s="30"/>
      <c r="AB10" s="230"/>
      <c r="AC10" s="31">
        <f>Y10/2</f>
        <v>0</v>
      </c>
      <c r="AD10" s="31"/>
      <c r="AE10" s="31"/>
      <c r="AF10" s="31"/>
      <c r="AG10" s="42"/>
      <c r="AH10" s="43"/>
      <c r="AI10" s="43"/>
      <c r="AJ10" s="43"/>
      <c r="AK10" s="45">
        <f>AC10/AS10</f>
        <v>0</v>
      </c>
      <c r="AL10" s="43"/>
      <c r="AM10" s="37">
        <v>0</v>
      </c>
      <c r="AN10" s="38">
        <f t="shared" si="2"/>
        <v>0</v>
      </c>
      <c r="AR10" s="39">
        <v>24.35</v>
      </c>
      <c r="AS10" s="39">
        <v>106.94</v>
      </c>
    </row>
    <row r="11" spans="1:47" ht="46.5" customHeight="1" thickTop="1" thickBot="1" x14ac:dyDescent="0.4">
      <c r="A11" s="19" t="s">
        <v>54</v>
      </c>
      <c r="B11" s="19">
        <v>848783</v>
      </c>
      <c r="C11" s="19">
        <v>66.09</v>
      </c>
      <c r="D11" s="19">
        <v>368.16</v>
      </c>
      <c r="E11" s="19">
        <v>46.2</v>
      </c>
      <c r="F11" s="20" t="s">
        <v>55</v>
      </c>
      <c r="G11" s="21" t="s">
        <v>56</v>
      </c>
      <c r="H11" s="22" t="s">
        <v>37</v>
      </c>
      <c r="I11" s="23" t="s">
        <v>57</v>
      </c>
      <c r="J11" s="24" t="s">
        <v>39</v>
      </c>
      <c r="K11" s="22"/>
      <c r="L11" s="22"/>
      <c r="M11" s="22" t="s">
        <v>37</v>
      </c>
      <c r="N11" s="23" t="s">
        <v>40</v>
      </c>
      <c r="O11" s="46"/>
      <c r="P11" s="46"/>
      <c r="Q11" s="46"/>
      <c r="R11" s="46"/>
      <c r="S11" s="46"/>
      <c r="T11" s="46"/>
      <c r="U11" s="46" t="s">
        <v>37</v>
      </c>
      <c r="V11" s="47">
        <v>4000</v>
      </c>
      <c r="W11" s="44">
        <v>5</v>
      </c>
      <c r="X11" s="28">
        <v>348.27</v>
      </c>
      <c r="Y11" s="29">
        <f t="shared" si="0"/>
        <v>348.27</v>
      </c>
      <c r="Z11" s="30">
        <f t="shared" si="1"/>
        <v>69.653999999999996</v>
      </c>
      <c r="AA11" s="30">
        <f>Y11/10</f>
        <v>34.826999999999998</v>
      </c>
      <c r="AB11" s="231" t="s">
        <v>144</v>
      </c>
      <c r="AC11" s="31"/>
      <c r="AD11" s="31"/>
      <c r="AE11" s="31"/>
      <c r="AF11" s="32" t="e">
        <f>Z11/AP11</f>
        <v>#DIV/0!</v>
      </c>
      <c r="AG11" s="33"/>
      <c r="AH11" s="76"/>
      <c r="AI11" s="76"/>
      <c r="AJ11" s="77">
        <f>AA11/AR11</f>
        <v>1.4302669404517452</v>
      </c>
      <c r="AK11" s="87"/>
      <c r="AL11" s="87"/>
      <c r="AM11" s="37">
        <v>0</v>
      </c>
      <c r="AN11" s="38">
        <f t="shared" si="2"/>
        <v>0</v>
      </c>
      <c r="AP11" s="39"/>
      <c r="AQ11" s="39"/>
      <c r="AR11" s="39">
        <v>24.35</v>
      </c>
    </row>
    <row r="12" spans="1:47" ht="51" customHeight="1" thickTop="1" thickBot="1" x14ac:dyDescent="0.4">
      <c r="A12" s="19" t="s">
        <v>58</v>
      </c>
      <c r="B12" s="19">
        <v>125286</v>
      </c>
      <c r="C12" s="19"/>
      <c r="D12" s="19"/>
      <c r="E12" s="19">
        <v>0</v>
      </c>
      <c r="F12" s="20" t="s">
        <v>55</v>
      </c>
      <c r="G12" s="21" t="s">
        <v>56</v>
      </c>
      <c r="H12" s="22" t="s">
        <v>37</v>
      </c>
      <c r="I12" s="23" t="s">
        <v>57</v>
      </c>
      <c r="J12" s="24" t="s">
        <v>39</v>
      </c>
      <c r="K12" s="22"/>
      <c r="L12" s="22"/>
      <c r="M12" s="22" t="s">
        <v>37</v>
      </c>
      <c r="N12" s="23" t="s">
        <v>40</v>
      </c>
      <c r="O12" s="46"/>
      <c r="P12" s="46"/>
      <c r="Q12" s="46"/>
      <c r="R12" s="46"/>
      <c r="S12" s="46"/>
      <c r="T12" s="46"/>
      <c r="U12" s="46" t="s">
        <v>37</v>
      </c>
      <c r="V12" s="47">
        <v>4000</v>
      </c>
      <c r="W12" s="44">
        <v>25</v>
      </c>
      <c r="X12" s="28">
        <v>1315.6</v>
      </c>
      <c r="Y12" s="29">
        <f t="shared" si="0"/>
        <v>1315.6</v>
      </c>
      <c r="Z12" s="30">
        <f t="shared" si="1"/>
        <v>52.623999999999995</v>
      </c>
      <c r="AA12" s="30">
        <f>Y12/50</f>
        <v>26.311999999999998</v>
      </c>
      <c r="AB12" s="231" t="s">
        <v>144</v>
      </c>
      <c r="AC12" s="31"/>
      <c r="AD12" s="31"/>
      <c r="AE12" s="31"/>
      <c r="AF12" s="32" t="e">
        <f>Z12/AP12</f>
        <v>#DIV/0!</v>
      </c>
      <c r="AG12" s="33"/>
      <c r="AH12" s="53"/>
      <c r="AI12" s="53"/>
      <c r="AJ12" s="234">
        <f>AA12/AR12</f>
        <v>1.0805749486652976</v>
      </c>
      <c r="AK12" s="36"/>
      <c r="AL12" s="36"/>
      <c r="AM12" s="37">
        <v>0</v>
      </c>
      <c r="AN12" s="38">
        <f t="shared" si="2"/>
        <v>0</v>
      </c>
      <c r="AP12" s="39"/>
      <c r="AQ12" s="39"/>
      <c r="AR12" s="39">
        <v>24.35</v>
      </c>
    </row>
    <row r="13" spans="1:47" ht="36" customHeight="1" thickTop="1" thickBot="1" x14ac:dyDescent="0.4">
      <c r="A13" s="19" t="s">
        <v>59</v>
      </c>
      <c r="B13" s="19">
        <v>847085</v>
      </c>
      <c r="C13" s="19">
        <v>87.97</v>
      </c>
      <c r="D13" s="19">
        <v>736.33</v>
      </c>
      <c r="E13" s="19">
        <v>0</v>
      </c>
      <c r="F13" s="20" t="s">
        <v>55</v>
      </c>
      <c r="G13" s="21" t="s">
        <v>56</v>
      </c>
      <c r="H13" s="22" t="s">
        <v>37</v>
      </c>
      <c r="I13" s="23" t="s">
        <v>57</v>
      </c>
      <c r="J13" s="22"/>
      <c r="K13" s="24" t="s">
        <v>39</v>
      </c>
      <c r="L13" s="24" t="s">
        <v>39</v>
      </c>
      <c r="M13" s="22" t="s">
        <v>37</v>
      </c>
      <c r="N13" s="23" t="s">
        <v>40</v>
      </c>
      <c r="O13" s="46"/>
      <c r="P13" s="46"/>
      <c r="Q13" s="46"/>
      <c r="R13" s="46"/>
      <c r="S13" s="46"/>
      <c r="T13" s="46"/>
      <c r="U13" s="46" t="s">
        <v>37</v>
      </c>
      <c r="V13" s="47">
        <v>4000</v>
      </c>
      <c r="W13" s="44">
        <v>10</v>
      </c>
      <c r="X13" s="28">
        <v>648.36</v>
      </c>
      <c r="Y13" s="29">
        <f t="shared" si="0"/>
        <v>648.36</v>
      </c>
      <c r="Z13" s="30">
        <f t="shared" si="1"/>
        <v>64.835999999999999</v>
      </c>
      <c r="AA13" s="30">
        <f>Y13/10</f>
        <v>64.835999999999999</v>
      </c>
      <c r="AB13" s="230"/>
      <c r="AC13" s="31"/>
      <c r="AD13" s="31"/>
      <c r="AE13" s="31"/>
      <c r="AF13" s="32">
        <f>Z13/AP13</f>
        <v>1.7084584980237152</v>
      </c>
      <c r="AG13" s="33"/>
      <c r="AH13" s="78">
        <f t="shared" ref="AH13:AH14" si="3">AA13/AP13</f>
        <v>1.7084584980237152</v>
      </c>
      <c r="AI13" s="79">
        <f t="shared" ref="AI13:AI14" si="4">AA13/AQ13</f>
        <v>1.7084584980237152</v>
      </c>
      <c r="AJ13" s="76"/>
      <c r="AK13" s="87"/>
      <c r="AL13" s="87"/>
      <c r="AM13" s="37">
        <v>0</v>
      </c>
      <c r="AN13" s="38">
        <f t="shared" si="2"/>
        <v>0</v>
      </c>
      <c r="AP13" s="39">
        <v>37.950000000000003</v>
      </c>
      <c r="AQ13" s="39">
        <v>37.950000000000003</v>
      </c>
      <c r="AR13" s="39"/>
    </row>
    <row r="14" spans="1:47" ht="46" customHeight="1" thickTop="1" thickBot="1" x14ac:dyDescent="0.4">
      <c r="A14" s="19" t="s">
        <v>60</v>
      </c>
      <c r="B14" s="19">
        <v>125287</v>
      </c>
      <c r="C14" s="19"/>
      <c r="D14" s="19"/>
      <c r="E14" s="19"/>
      <c r="F14" s="20" t="s">
        <v>55</v>
      </c>
      <c r="G14" s="21" t="s">
        <v>56</v>
      </c>
      <c r="H14" s="22" t="s">
        <v>37</v>
      </c>
      <c r="I14" s="23" t="s">
        <v>57</v>
      </c>
      <c r="J14" s="22"/>
      <c r="K14" s="24" t="s">
        <v>39</v>
      </c>
      <c r="L14" s="24" t="s">
        <v>39</v>
      </c>
      <c r="M14" s="22" t="s">
        <v>37</v>
      </c>
      <c r="N14" s="23" t="s">
        <v>40</v>
      </c>
      <c r="O14" s="46"/>
      <c r="P14" s="46"/>
      <c r="Q14" s="46"/>
      <c r="R14" s="46"/>
      <c r="S14" s="46"/>
      <c r="T14" s="46"/>
      <c r="U14" s="46" t="s">
        <v>37</v>
      </c>
      <c r="V14" s="47">
        <v>4000</v>
      </c>
      <c r="W14" s="44">
        <v>50</v>
      </c>
      <c r="X14" s="28">
        <v>1897.5</v>
      </c>
      <c r="Y14" s="29">
        <f t="shared" si="0"/>
        <v>1897.5</v>
      </c>
      <c r="Z14" s="30">
        <f t="shared" si="1"/>
        <v>37.950000000000003</v>
      </c>
      <c r="AA14" s="238">
        <f>Y14/50</f>
        <v>37.950000000000003</v>
      </c>
      <c r="AB14" s="230"/>
      <c r="AC14" s="31"/>
      <c r="AD14" s="31"/>
      <c r="AE14" s="31"/>
      <c r="AF14" s="32">
        <f>Z14/AP14</f>
        <v>1</v>
      </c>
      <c r="AG14" s="33"/>
      <c r="AH14" s="235">
        <f t="shared" si="3"/>
        <v>1</v>
      </c>
      <c r="AI14" s="236">
        <f t="shared" si="4"/>
        <v>1</v>
      </c>
      <c r="AJ14" s="53"/>
      <c r="AK14" s="36"/>
      <c r="AL14" s="36"/>
      <c r="AM14" s="37">
        <v>0</v>
      </c>
      <c r="AN14" s="38">
        <f t="shared" si="2"/>
        <v>0</v>
      </c>
      <c r="AP14" s="39">
        <v>37.950000000000003</v>
      </c>
      <c r="AQ14" s="39">
        <v>37.950000000000003</v>
      </c>
      <c r="AR14" s="39"/>
    </row>
    <row r="15" spans="1:47" ht="43.5" hidden="1" customHeight="1" thickTop="1" thickBot="1" x14ac:dyDescent="0.4">
      <c r="A15" s="19" t="s">
        <v>59</v>
      </c>
      <c r="B15" s="19">
        <v>115401</v>
      </c>
      <c r="C15" s="19">
        <v>87.97</v>
      </c>
      <c r="D15" s="19">
        <v>736.33</v>
      </c>
      <c r="E15" s="19">
        <v>0</v>
      </c>
      <c r="F15" s="20" t="s">
        <v>55</v>
      </c>
      <c r="G15" s="21" t="s">
        <v>56</v>
      </c>
      <c r="H15" s="22" t="s">
        <v>37</v>
      </c>
      <c r="I15" s="23" t="s">
        <v>57</v>
      </c>
      <c r="J15" s="22"/>
      <c r="K15" s="22"/>
      <c r="L15" s="22"/>
      <c r="M15" s="22" t="s">
        <v>37</v>
      </c>
      <c r="N15" s="40"/>
      <c r="O15" s="41" t="s">
        <v>61</v>
      </c>
      <c r="P15" s="46"/>
      <c r="Q15" s="46"/>
      <c r="R15" s="46"/>
      <c r="S15" s="46"/>
      <c r="T15" s="46"/>
      <c r="U15" s="46" t="s">
        <v>37</v>
      </c>
      <c r="V15" s="47">
        <v>11250</v>
      </c>
      <c r="W15" s="44">
        <v>3.56</v>
      </c>
      <c r="X15" s="28">
        <v>648.36</v>
      </c>
      <c r="Y15" s="29">
        <f t="shared" si="0"/>
        <v>648.36</v>
      </c>
      <c r="Z15" s="30">
        <f t="shared" si="1"/>
        <v>182.12359550561797</v>
      </c>
      <c r="AA15" s="30"/>
      <c r="AB15" s="230"/>
      <c r="AC15" s="31"/>
      <c r="AD15" s="31"/>
      <c r="AE15" s="31">
        <f>Y15/5</f>
        <v>129.672</v>
      </c>
      <c r="AF15" s="32"/>
      <c r="AG15" s="42"/>
      <c r="AH15" s="88"/>
      <c r="AI15" s="88"/>
      <c r="AJ15" s="88"/>
      <c r="AK15" s="88"/>
      <c r="AL15" s="88"/>
      <c r="AM15" s="37">
        <v>0</v>
      </c>
      <c r="AN15" s="38">
        <f t="shared" si="2"/>
        <v>0</v>
      </c>
      <c r="AP15" s="39"/>
      <c r="AQ15" s="39"/>
      <c r="AR15" s="39"/>
      <c r="AS15" s="39"/>
    </row>
    <row r="16" spans="1:47" ht="41" hidden="1" customHeight="1" thickTop="1" thickBot="1" x14ac:dyDescent="0.4">
      <c r="A16" s="19" t="s">
        <v>60</v>
      </c>
      <c r="B16" s="19">
        <v>125287</v>
      </c>
      <c r="C16" s="19"/>
      <c r="D16" s="19"/>
      <c r="E16" s="19"/>
      <c r="F16" s="20" t="s">
        <v>55</v>
      </c>
      <c r="G16" s="21" t="s">
        <v>56</v>
      </c>
      <c r="H16" s="22" t="s">
        <v>37</v>
      </c>
      <c r="I16" s="23" t="s">
        <v>57</v>
      </c>
      <c r="J16" s="22"/>
      <c r="K16" s="22"/>
      <c r="L16" s="22"/>
      <c r="M16" s="22" t="s">
        <v>37</v>
      </c>
      <c r="N16" s="40"/>
      <c r="O16" s="41" t="s">
        <v>61</v>
      </c>
      <c r="P16" s="46"/>
      <c r="Q16" s="46"/>
      <c r="R16" s="46"/>
      <c r="S16" s="46"/>
      <c r="T16" s="46"/>
      <c r="U16" s="46" t="s">
        <v>37</v>
      </c>
      <c r="V16" s="47">
        <v>11250</v>
      </c>
      <c r="W16" s="44">
        <v>17.78</v>
      </c>
      <c r="X16" s="28">
        <v>1897.5</v>
      </c>
      <c r="Y16" s="29">
        <f t="shared" si="0"/>
        <v>1897.5</v>
      </c>
      <c r="Z16" s="30">
        <f t="shared" si="1"/>
        <v>106.72103487064116</v>
      </c>
      <c r="AA16" s="30"/>
      <c r="AB16" s="230"/>
      <c r="AC16" s="31"/>
      <c r="AD16" s="31"/>
      <c r="AE16" s="31">
        <f>Y16/25</f>
        <v>75.900000000000006</v>
      </c>
      <c r="AF16" s="32"/>
      <c r="AG16" s="42"/>
      <c r="AH16" s="43"/>
      <c r="AI16" s="43"/>
      <c r="AJ16" s="43"/>
      <c r="AK16" s="43"/>
      <c r="AL16" s="43"/>
      <c r="AM16" s="37">
        <v>0</v>
      </c>
      <c r="AN16" s="38">
        <f t="shared" si="2"/>
        <v>0</v>
      </c>
      <c r="AP16" s="39"/>
      <c r="AQ16" s="39"/>
      <c r="AR16" s="39"/>
      <c r="AS16" s="39"/>
    </row>
    <row r="17" spans="1:46" ht="52.5" hidden="1" customHeight="1" thickTop="1" thickBot="1" x14ac:dyDescent="0.4">
      <c r="A17" s="19" t="s">
        <v>62</v>
      </c>
      <c r="B17" s="19">
        <v>848209</v>
      </c>
      <c r="C17" s="19">
        <v>77.540000000000006</v>
      </c>
      <c r="D17" s="19">
        <v>923.75</v>
      </c>
      <c r="E17" s="19">
        <v>0</v>
      </c>
      <c r="F17" s="20" t="s">
        <v>55</v>
      </c>
      <c r="G17" s="21" t="s">
        <v>56</v>
      </c>
      <c r="H17" s="22" t="s">
        <v>37</v>
      </c>
      <c r="I17" s="23" t="s">
        <v>57</v>
      </c>
      <c r="J17" s="22"/>
      <c r="K17" s="22"/>
      <c r="L17" s="22"/>
      <c r="M17" s="22" t="s">
        <v>37</v>
      </c>
      <c r="N17" s="40"/>
      <c r="O17" s="48" t="s">
        <v>63</v>
      </c>
      <c r="P17" s="41" t="s">
        <v>61</v>
      </c>
      <c r="Q17" s="46"/>
      <c r="R17" s="46"/>
      <c r="S17" s="46"/>
      <c r="T17" s="46"/>
      <c r="U17" s="46" t="s">
        <v>37</v>
      </c>
      <c r="V17" s="47">
        <v>11250</v>
      </c>
      <c r="W17" s="44">
        <v>5.33</v>
      </c>
      <c r="X17" s="28">
        <v>846.27</v>
      </c>
      <c r="Y17" s="29">
        <f t="shared" si="0"/>
        <v>846.27</v>
      </c>
      <c r="Z17" s="30">
        <f t="shared" si="1"/>
        <v>158.7748592870544</v>
      </c>
      <c r="AA17" s="30"/>
      <c r="AB17" s="230"/>
      <c r="AC17" s="31">
        <f>Y17/10</f>
        <v>84.626999999999995</v>
      </c>
      <c r="AD17" s="31"/>
      <c r="AE17" s="31">
        <f>Y17/5</f>
        <v>169.25399999999999</v>
      </c>
      <c r="AF17" s="31"/>
      <c r="AG17" s="42"/>
      <c r="AH17" s="88"/>
      <c r="AI17" s="88"/>
      <c r="AJ17" s="88"/>
      <c r="AK17" s="88"/>
      <c r="AL17" s="88"/>
      <c r="AM17" s="37">
        <v>0</v>
      </c>
      <c r="AN17" s="38">
        <f t="shared" si="2"/>
        <v>0</v>
      </c>
      <c r="AP17" s="39"/>
      <c r="AQ17" s="39"/>
      <c r="AR17" s="39"/>
      <c r="AS17" s="39"/>
    </row>
    <row r="18" spans="1:46" ht="55.5" hidden="1" customHeight="1" thickTop="1" thickBot="1" x14ac:dyDescent="0.4">
      <c r="A18" s="19" t="s">
        <v>64</v>
      </c>
      <c r="B18" s="19">
        <v>125288</v>
      </c>
      <c r="C18" s="19"/>
      <c r="D18" s="19"/>
      <c r="E18" s="19"/>
      <c r="F18" s="20" t="s">
        <v>55</v>
      </c>
      <c r="G18" s="21" t="s">
        <v>56</v>
      </c>
      <c r="H18" s="22" t="s">
        <v>37</v>
      </c>
      <c r="I18" s="23" t="s">
        <v>57</v>
      </c>
      <c r="J18" s="22"/>
      <c r="K18" s="22"/>
      <c r="L18" s="22"/>
      <c r="M18" s="22" t="s">
        <v>37</v>
      </c>
      <c r="N18" s="40"/>
      <c r="O18" s="48" t="s">
        <v>63</v>
      </c>
      <c r="P18" s="41" t="s">
        <v>61</v>
      </c>
      <c r="Q18" s="46"/>
      <c r="R18" s="46"/>
      <c r="S18" s="46"/>
      <c r="T18" s="46"/>
      <c r="U18" s="46" t="s">
        <v>37</v>
      </c>
      <c r="V18" s="47">
        <v>11250</v>
      </c>
      <c r="W18" s="44">
        <v>26.6</v>
      </c>
      <c r="X18" s="28">
        <v>2722.5</v>
      </c>
      <c r="Y18" s="29">
        <f t="shared" si="0"/>
        <v>2722.5</v>
      </c>
      <c r="Z18" s="30">
        <f t="shared" si="1"/>
        <v>102.34962406015038</v>
      </c>
      <c r="AA18" s="30"/>
      <c r="AB18" s="230"/>
      <c r="AC18" s="31">
        <f>Y18/50</f>
        <v>54.45</v>
      </c>
      <c r="AD18" s="31"/>
      <c r="AE18" s="31">
        <f>Y18/25</f>
        <v>108.9</v>
      </c>
      <c r="AF18" s="31"/>
      <c r="AG18" s="42"/>
      <c r="AH18" s="43"/>
      <c r="AI18" s="43"/>
      <c r="AJ18" s="43"/>
      <c r="AK18" s="43"/>
      <c r="AL18" s="43"/>
      <c r="AM18" s="37">
        <v>0</v>
      </c>
      <c r="AN18" s="38">
        <f t="shared" si="2"/>
        <v>0</v>
      </c>
      <c r="AS18" s="39"/>
    </row>
    <row r="19" spans="1:46" ht="40.5" hidden="1" customHeight="1" thickTop="1" thickBot="1" x14ac:dyDescent="0.4">
      <c r="A19" s="19" t="s">
        <v>65</v>
      </c>
      <c r="B19" s="19">
        <v>849302</v>
      </c>
      <c r="C19" s="19">
        <v>89.83</v>
      </c>
      <c r="D19" s="19">
        <v>1231.6600000000001</v>
      </c>
      <c r="E19" s="19">
        <v>0</v>
      </c>
      <c r="F19" s="20" t="s">
        <v>55</v>
      </c>
      <c r="G19" s="21" t="s">
        <v>56</v>
      </c>
      <c r="H19" s="22" t="s">
        <v>37</v>
      </c>
      <c r="I19" s="23" t="s">
        <v>57</v>
      </c>
      <c r="J19" s="22"/>
      <c r="K19" s="22"/>
      <c r="L19" s="22"/>
      <c r="M19" s="22" t="s">
        <v>37</v>
      </c>
      <c r="N19" s="40"/>
      <c r="O19" s="48" t="s">
        <v>66</v>
      </c>
      <c r="P19" s="48" t="s">
        <v>67</v>
      </c>
      <c r="Q19" s="41" t="s">
        <v>61</v>
      </c>
      <c r="R19" s="46"/>
      <c r="S19" s="46"/>
      <c r="T19" s="41" t="s">
        <v>68</v>
      </c>
      <c r="U19" s="46" t="s">
        <v>37</v>
      </c>
      <c r="V19" s="47">
        <v>11250</v>
      </c>
      <c r="W19" s="44">
        <v>7.11</v>
      </c>
      <c r="X19" s="28">
        <v>1141.83</v>
      </c>
      <c r="Y19" s="29">
        <f t="shared" si="0"/>
        <v>1141.83</v>
      </c>
      <c r="Z19" s="30">
        <f t="shared" si="1"/>
        <v>160.59493670886073</v>
      </c>
      <c r="AA19" s="30"/>
      <c r="AB19" s="230"/>
      <c r="AC19" s="31">
        <f>Y19/10</f>
        <v>114.18299999999999</v>
      </c>
      <c r="AD19" s="31"/>
      <c r="AE19" s="31">
        <f>Y19/5</f>
        <v>228.36599999999999</v>
      </c>
      <c r="AF19" s="31"/>
      <c r="AG19" s="49">
        <f>Y19/2.5</f>
        <v>456.73199999999997</v>
      </c>
      <c r="AH19" s="50"/>
      <c r="AI19" s="50"/>
      <c r="AJ19" s="50"/>
      <c r="AK19" s="51"/>
      <c r="AL19" s="52">
        <f>AE19/AT19</f>
        <v>2.0195083126989739</v>
      </c>
      <c r="AM19" s="37">
        <v>0</v>
      </c>
      <c r="AN19" s="38">
        <f t="shared" si="2"/>
        <v>0</v>
      </c>
      <c r="AS19" s="39"/>
      <c r="AT19" s="39">
        <v>113.08</v>
      </c>
    </row>
    <row r="20" spans="1:46" ht="30.5" hidden="1" customHeight="1" thickTop="1" thickBot="1" x14ac:dyDescent="0.4">
      <c r="A20" s="19" t="s">
        <v>69</v>
      </c>
      <c r="B20" s="19">
        <v>125289</v>
      </c>
      <c r="C20" s="19"/>
      <c r="D20" s="19"/>
      <c r="E20" s="19"/>
      <c r="F20" s="20" t="s">
        <v>55</v>
      </c>
      <c r="G20" s="21" t="s">
        <v>56</v>
      </c>
      <c r="H20" s="22" t="s">
        <v>37</v>
      </c>
      <c r="I20" s="23" t="s">
        <v>57</v>
      </c>
      <c r="J20" s="22"/>
      <c r="K20" s="22"/>
      <c r="L20" s="22"/>
      <c r="M20" s="22" t="s">
        <v>37</v>
      </c>
      <c r="N20" s="40"/>
      <c r="O20" s="48" t="s">
        <v>66</v>
      </c>
      <c r="P20" s="48" t="s">
        <v>67</v>
      </c>
      <c r="Q20" s="41" t="s">
        <v>61</v>
      </c>
      <c r="R20" s="46"/>
      <c r="S20" s="46"/>
      <c r="T20" s="41" t="s">
        <v>68</v>
      </c>
      <c r="U20" s="46" t="s">
        <v>37</v>
      </c>
      <c r="V20" s="47">
        <v>11250</v>
      </c>
      <c r="W20" s="44">
        <v>35.6</v>
      </c>
      <c r="X20" s="28">
        <v>3685</v>
      </c>
      <c r="Y20" s="29">
        <f t="shared" si="0"/>
        <v>3685</v>
      </c>
      <c r="Z20" s="30">
        <f t="shared" si="1"/>
        <v>103.51123595505618</v>
      </c>
      <c r="AA20" s="30"/>
      <c r="AB20" s="230"/>
      <c r="AC20" s="31">
        <f>Y20/50</f>
        <v>73.7</v>
      </c>
      <c r="AD20" s="31"/>
      <c r="AE20" s="31">
        <f>Y20/25</f>
        <v>147.4</v>
      </c>
      <c r="AF20" s="31"/>
      <c r="AG20" s="49">
        <f>Y20/12.5</f>
        <v>294.8</v>
      </c>
      <c r="AH20" s="50"/>
      <c r="AI20" s="50"/>
      <c r="AJ20" s="50"/>
      <c r="AK20" s="51"/>
      <c r="AL20" s="52">
        <f>AE20/AT20</f>
        <v>1.3035019455252919</v>
      </c>
      <c r="AM20" s="37">
        <v>0</v>
      </c>
      <c r="AN20" s="38">
        <f t="shared" si="2"/>
        <v>0</v>
      </c>
      <c r="AS20" s="39"/>
      <c r="AT20" s="39">
        <v>113.08</v>
      </c>
    </row>
    <row r="21" spans="1:46" ht="55.5" hidden="1" customHeight="1" thickTop="1" thickBot="1" x14ac:dyDescent="0.4">
      <c r="A21" s="19" t="s">
        <v>70</v>
      </c>
      <c r="B21" s="19">
        <v>848965</v>
      </c>
      <c r="C21" s="19">
        <v>301.73</v>
      </c>
      <c r="D21" s="19">
        <v>1539.57</v>
      </c>
      <c r="E21" s="19">
        <v>0</v>
      </c>
      <c r="F21" s="20" t="s">
        <v>55</v>
      </c>
      <c r="G21" s="21" t="s">
        <v>56</v>
      </c>
      <c r="H21" s="22" t="s">
        <v>37</v>
      </c>
      <c r="I21" s="23" t="s">
        <v>57</v>
      </c>
      <c r="J21" s="22"/>
      <c r="K21" s="22"/>
      <c r="L21" s="22"/>
      <c r="M21" s="22" t="s">
        <v>37</v>
      </c>
      <c r="N21" s="40"/>
      <c r="O21" s="46"/>
      <c r="P21" s="48" t="s">
        <v>71</v>
      </c>
      <c r="Q21" s="48" t="s">
        <v>72</v>
      </c>
      <c r="R21" s="41" t="s">
        <v>61</v>
      </c>
      <c r="S21" s="46"/>
      <c r="T21" s="46"/>
      <c r="U21" s="46" t="s">
        <v>37</v>
      </c>
      <c r="V21" s="47">
        <v>11250</v>
      </c>
      <c r="W21" s="44">
        <v>8.89</v>
      </c>
      <c r="X21" s="28">
        <v>1237.83</v>
      </c>
      <c r="Y21" s="29">
        <f t="shared" si="0"/>
        <v>1237.83</v>
      </c>
      <c r="Z21" s="30">
        <f t="shared" si="1"/>
        <v>139.23847019122607</v>
      </c>
      <c r="AA21" s="30"/>
      <c r="AB21" s="230"/>
      <c r="AC21" s="31">
        <f>Y21/10</f>
        <v>123.78299999999999</v>
      </c>
      <c r="AD21" s="31"/>
      <c r="AE21" s="31">
        <f>Y21/5</f>
        <v>247.56599999999997</v>
      </c>
      <c r="AF21" s="31"/>
      <c r="AG21" s="42"/>
      <c r="AH21" s="88"/>
      <c r="AI21" s="88"/>
      <c r="AJ21" s="88"/>
      <c r="AK21" s="90"/>
      <c r="AL21" s="88"/>
      <c r="AM21" s="37">
        <v>0</v>
      </c>
      <c r="AN21" s="38">
        <f t="shared" si="2"/>
        <v>0</v>
      </c>
      <c r="AP21" s="39"/>
      <c r="AQ21" s="39"/>
      <c r="AR21" s="39"/>
      <c r="AS21" s="39"/>
    </row>
    <row r="22" spans="1:46" ht="54" hidden="1" customHeight="1" thickTop="1" thickBot="1" x14ac:dyDescent="0.4">
      <c r="A22" s="19" t="s">
        <v>73</v>
      </c>
      <c r="B22" s="19">
        <v>125290</v>
      </c>
      <c r="C22" s="19"/>
      <c r="D22" s="19"/>
      <c r="E22" s="19"/>
      <c r="F22" s="20" t="s">
        <v>55</v>
      </c>
      <c r="G22" s="21" t="s">
        <v>56</v>
      </c>
      <c r="H22" s="22" t="s">
        <v>37</v>
      </c>
      <c r="I22" s="23" t="s">
        <v>57</v>
      </c>
      <c r="J22" s="22"/>
      <c r="K22" s="22"/>
      <c r="L22" s="22"/>
      <c r="M22" s="22" t="s">
        <v>37</v>
      </c>
      <c r="N22" s="40"/>
      <c r="O22" s="46"/>
      <c r="P22" s="48" t="s">
        <v>71</v>
      </c>
      <c r="Q22" s="48" t="s">
        <v>72</v>
      </c>
      <c r="R22" s="41" t="s">
        <v>61</v>
      </c>
      <c r="S22" s="46"/>
      <c r="T22" s="46"/>
      <c r="U22" s="46" t="s">
        <v>37</v>
      </c>
      <c r="V22" s="47">
        <v>11250</v>
      </c>
      <c r="W22" s="44">
        <v>44.4</v>
      </c>
      <c r="X22" s="28">
        <v>4455</v>
      </c>
      <c r="Y22" s="29">
        <f t="shared" si="0"/>
        <v>4455</v>
      </c>
      <c r="Z22" s="30">
        <f t="shared" si="1"/>
        <v>100.33783783783784</v>
      </c>
      <c r="AA22" s="30"/>
      <c r="AB22" s="230"/>
      <c r="AC22" s="31">
        <f>Y22/50</f>
        <v>89.1</v>
      </c>
      <c r="AD22" s="31"/>
      <c r="AE22" s="31">
        <f>Y22/25</f>
        <v>178.2</v>
      </c>
      <c r="AF22" s="31"/>
      <c r="AG22" s="42"/>
      <c r="AH22" s="43"/>
      <c r="AI22" s="43"/>
      <c r="AJ22" s="43"/>
      <c r="AK22" s="53"/>
      <c r="AL22" s="43"/>
      <c r="AM22" s="37">
        <v>0</v>
      </c>
      <c r="AN22" s="38">
        <f t="shared" si="2"/>
        <v>0</v>
      </c>
      <c r="AS22" s="39"/>
    </row>
    <row r="23" spans="1:46" ht="53" hidden="1" customHeight="1" thickTop="1" thickBot="1" x14ac:dyDescent="0.4">
      <c r="A23" s="19" t="s">
        <v>74</v>
      </c>
      <c r="B23" s="19">
        <v>850147</v>
      </c>
      <c r="C23" s="19">
        <v>361</v>
      </c>
      <c r="D23" s="19">
        <v>1847.49</v>
      </c>
      <c r="E23" s="19">
        <v>99.98</v>
      </c>
      <c r="F23" s="20" t="s">
        <v>75</v>
      </c>
      <c r="G23" s="21" t="s">
        <v>56</v>
      </c>
      <c r="H23" s="22" t="s">
        <v>37</v>
      </c>
      <c r="I23" s="23" t="s">
        <v>57</v>
      </c>
      <c r="J23" s="22"/>
      <c r="K23" s="22"/>
      <c r="L23" s="22"/>
      <c r="M23" s="22" t="s">
        <v>37</v>
      </c>
      <c r="N23" s="40"/>
      <c r="O23" s="46"/>
      <c r="P23" s="46"/>
      <c r="Q23" s="48" t="s">
        <v>76</v>
      </c>
      <c r="R23" s="46"/>
      <c r="S23" s="41" t="s">
        <v>61</v>
      </c>
      <c r="T23" s="24"/>
      <c r="U23" s="46" t="s">
        <v>37</v>
      </c>
      <c r="V23" s="47">
        <v>11250</v>
      </c>
      <c r="W23" s="54">
        <v>10.67</v>
      </c>
      <c r="X23" s="55">
        <v>1586.49</v>
      </c>
      <c r="Y23" s="56">
        <f t="shared" si="0"/>
        <v>1586.49</v>
      </c>
      <c r="Z23" s="30">
        <f t="shared" si="1"/>
        <v>148.68697282099345</v>
      </c>
      <c r="AA23" s="30"/>
      <c r="AB23" s="107" t="s">
        <v>155</v>
      </c>
      <c r="AC23" s="106">
        <f>Y23/10</f>
        <v>158.649</v>
      </c>
      <c r="AD23" s="31"/>
      <c r="AE23" s="31">
        <f>Y23/5</f>
        <v>317.298</v>
      </c>
      <c r="AF23" s="31"/>
      <c r="AG23" s="42"/>
      <c r="AH23" s="88"/>
      <c r="AI23" s="88"/>
      <c r="AJ23" s="88"/>
      <c r="AK23" s="89">
        <f>AC23/AS23</f>
        <v>1.1468049732543011</v>
      </c>
      <c r="AL23" s="88"/>
      <c r="AM23" s="37">
        <v>0</v>
      </c>
      <c r="AN23" s="38">
        <f t="shared" si="2"/>
        <v>0</v>
      </c>
      <c r="AP23" s="39"/>
      <c r="AQ23" s="39"/>
      <c r="AR23" s="39"/>
      <c r="AS23" s="39">
        <v>138.34</v>
      </c>
    </row>
    <row r="24" spans="1:46" ht="0.5" hidden="1" customHeight="1" thickTop="1" thickBot="1" x14ac:dyDescent="0.4">
      <c r="A24" s="19" t="s">
        <v>77</v>
      </c>
      <c r="B24" s="19">
        <v>107951</v>
      </c>
      <c r="C24" s="19">
        <v>328.11</v>
      </c>
      <c r="D24" s="19">
        <v>2309.37</v>
      </c>
      <c r="E24" s="19">
        <v>0</v>
      </c>
      <c r="F24" s="20" t="s">
        <v>75</v>
      </c>
      <c r="G24" s="21" t="s">
        <v>56</v>
      </c>
      <c r="H24" s="22" t="s">
        <v>37</v>
      </c>
      <c r="I24" s="23" t="s">
        <v>57</v>
      </c>
      <c r="J24" s="22"/>
      <c r="K24" s="22"/>
      <c r="L24" s="22"/>
      <c r="M24" s="22" t="s">
        <v>37</v>
      </c>
      <c r="N24" s="40"/>
      <c r="O24" s="46"/>
      <c r="P24" s="46"/>
      <c r="Q24" s="46"/>
      <c r="R24" s="48" t="s">
        <v>78</v>
      </c>
      <c r="S24" s="46"/>
      <c r="T24" s="41" t="s">
        <v>79</v>
      </c>
      <c r="U24" s="46" t="s">
        <v>37</v>
      </c>
      <c r="V24" s="47">
        <v>11250</v>
      </c>
      <c r="W24" s="57">
        <v>13.33</v>
      </c>
      <c r="X24" s="55">
        <v>1981.24</v>
      </c>
      <c r="Y24" s="56">
        <f t="shared" si="0"/>
        <v>1981.24</v>
      </c>
      <c r="Z24" s="58">
        <f t="shared" si="1"/>
        <v>148.63015753938484</v>
      </c>
      <c r="AA24" s="58"/>
      <c r="AB24" s="232"/>
      <c r="AC24" s="31">
        <f>Y24/10</f>
        <v>198.124</v>
      </c>
      <c r="AD24" s="31"/>
      <c r="AE24" s="31">
        <f>Y24/5</f>
        <v>396.24799999999999</v>
      </c>
      <c r="AF24" s="59"/>
      <c r="AG24" s="42"/>
      <c r="AH24" s="88"/>
      <c r="AI24" s="88"/>
      <c r="AJ24" s="88"/>
      <c r="AK24" s="88"/>
      <c r="AL24" s="88"/>
      <c r="AM24" s="37">
        <v>0</v>
      </c>
      <c r="AN24" s="38">
        <f t="shared" si="2"/>
        <v>0</v>
      </c>
      <c r="AP24" s="39"/>
      <c r="AQ24" s="39"/>
      <c r="AR24" s="39"/>
      <c r="AS24" s="39"/>
    </row>
    <row r="25" spans="1:46" ht="43.5" customHeight="1" thickTop="1" thickBot="1" x14ac:dyDescent="0.4">
      <c r="A25" s="19" t="s">
        <v>80</v>
      </c>
      <c r="B25" s="19">
        <v>219050</v>
      </c>
      <c r="C25" s="19">
        <v>98.8</v>
      </c>
      <c r="D25" s="19">
        <v>368.16</v>
      </c>
      <c r="E25" s="19">
        <v>10.039999999999999</v>
      </c>
      <c r="F25" s="20" t="s">
        <v>55</v>
      </c>
      <c r="G25" s="21" t="s">
        <v>138</v>
      </c>
      <c r="H25" s="22" t="s">
        <v>37</v>
      </c>
      <c r="I25" s="23" t="s">
        <v>57</v>
      </c>
      <c r="J25" s="24" t="s">
        <v>39</v>
      </c>
      <c r="K25" s="22"/>
      <c r="L25" s="22"/>
      <c r="M25" s="22" t="s">
        <v>37</v>
      </c>
      <c r="N25" s="24"/>
      <c r="O25" s="46"/>
      <c r="P25" s="46"/>
      <c r="Q25" s="46"/>
      <c r="R25" s="46"/>
      <c r="S25" s="46"/>
      <c r="T25" s="46"/>
      <c r="U25" s="46" t="s">
        <v>37</v>
      </c>
      <c r="V25" s="47">
        <v>4000</v>
      </c>
      <c r="W25" s="44">
        <v>5</v>
      </c>
      <c r="X25" s="95">
        <v>270.5</v>
      </c>
      <c r="Y25" s="56">
        <f t="shared" si="0"/>
        <v>243.45</v>
      </c>
      <c r="Z25" s="58">
        <f t="shared" si="1"/>
        <v>48.69</v>
      </c>
      <c r="AA25" s="238">
        <f>Y25/10</f>
        <v>24.344999999999999</v>
      </c>
      <c r="AB25" s="231" t="s">
        <v>144</v>
      </c>
      <c r="AC25" s="59"/>
      <c r="AD25" s="59"/>
      <c r="AE25" s="59"/>
      <c r="AF25" s="32" t="e">
        <f>Z25/AP25</f>
        <v>#DIV/0!</v>
      </c>
      <c r="AG25" s="60"/>
      <c r="AH25" s="76"/>
      <c r="AI25" s="80"/>
      <c r="AJ25" s="227">
        <f>AA25/AR25</f>
        <v>0.99979466119096494</v>
      </c>
      <c r="AK25" s="84"/>
      <c r="AL25" s="84"/>
      <c r="AM25" s="37">
        <v>0.1</v>
      </c>
      <c r="AN25" s="38">
        <f t="shared" si="2"/>
        <v>27.05</v>
      </c>
      <c r="AP25" s="39"/>
      <c r="AQ25" s="39"/>
      <c r="AR25" s="39">
        <v>24.35</v>
      </c>
    </row>
    <row r="26" spans="1:46" ht="56" hidden="1" customHeight="1" thickTop="1" thickBot="1" x14ac:dyDescent="0.4">
      <c r="A26" s="19" t="s">
        <v>81</v>
      </c>
      <c r="B26" s="19">
        <v>233119</v>
      </c>
      <c r="C26" s="19"/>
      <c r="D26" s="19"/>
      <c r="E26" s="19"/>
      <c r="F26" s="20" t="s">
        <v>55</v>
      </c>
      <c r="G26" s="21" t="s">
        <v>138</v>
      </c>
      <c r="H26" s="22" t="s">
        <v>37</v>
      </c>
      <c r="I26" s="23" t="s">
        <v>57</v>
      </c>
      <c r="J26" s="24" t="s">
        <v>39</v>
      </c>
      <c r="K26" s="22"/>
      <c r="L26" s="22"/>
      <c r="M26" s="22" t="s">
        <v>37</v>
      </c>
      <c r="N26" s="24"/>
      <c r="O26" s="46"/>
      <c r="P26" s="46"/>
      <c r="Q26" s="46"/>
      <c r="R26" s="46"/>
      <c r="S26" s="46"/>
      <c r="T26" s="46"/>
      <c r="U26" s="46" t="s">
        <v>37</v>
      </c>
      <c r="V26" s="47">
        <v>4000</v>
      </c>
      <c r="W26" s="44">
        <v>25</v>
      </c>
      <c r="X26" s="71" t="s">
        <v>419</v>
      </c>
      <c r="Y26" s="56" t="e">
        <f t="shared" si="0"/>
        <v>#VALUE!</v>
      </c>
      <c r="Z26" s="58" t="e">
        <f t="shared" si="1"/>
        <v>#VALUE!</v>
      </c>
      <c r="AA26" s="30" t="e">
        <f>Y26/50</f>
        <v>#VALUE!</v>
      </c>
      <c r="AB26" s="230"/>
      <c r="AC26" s="59"/>
      <c r="AD26" s="59"/>
      <c r="AE26" s="59"/>
      <c r="AF26" s="32" t="e">
        <f>Z26/AP26</f>
        <v>#VALUE!</v>
      </c>
      <c r="AG26" s="60"/>
      <c r="AH26" s="34" t="e">
        <f t="shared" ref="AH26:AH28" si="5">AA26/AP26</f>
        <v>#VALUE!</v>
      </c>
      <c r="AI26" s="35" t="e">
        <f t="shared" ref="AI26:AI28" si="6">AA26/AQ26</f>
        <v>#VALUE!</v>
      </c>
      <c r="AJ26" s="35"/>
      <c r="AK26" s="61"/>
      <c r="AL26" s="61"/>
      <c r="AM26" s="37">
        <v>0.1</v>
      </c>
      <c r="AN26" s="38" t="e">
        <f t="shared" si="2"/>
        <v>#VALUE!</v>
      </c>
      <c r="AP26" s="39"/>
      <c r="AQ26" s="39"/>
      <c r="AR26" s="39"/>
    </row>
    <row r="27" spans="1:46" ht="44" customHeight="1" thickTop="1" thickBot="1" x14ac:dyDescent="0.4">
      <c r="A27" s="19" t="s">
        <v>82</v>
      </c>
      <c r="B27" s="19">
        <v>219052</v>
      </c>
      <c r="C27" s="19">
        <v>161.03</v>
      </c>
      <c r="D27" s="19">
        <v>736.33</v>
      </c>
      <c r="E27" s="19">
        <v>-103.97</v>
      </c>
      <c r="F27" s="20" t="s">
        <v>55</v>
      </c>
      <c r="G27" s="21" t="s">
        <v>138</v>
      </c>
      <c r="H27" s="22" t="s">
        <v>37</v>
      </c>
      <c r="I27" s="23" t="s">
        <v>57</v>
      </c>
      <c r="J27" s="22"/>
      <c r="K27" s="24" t="s">
        <v>39</v>
      </c>
      <c r="L27" s="24" t="s">
        <v>39</v>
      </c>
      <c r="M27" s="22" t="s">
        <v>37</v>
      </c>
      <c r="N27" s="24"/>
      <c r="O27" s="46"/>
      <c r="P27" s="46"/>
      <c r="Q27" s="46"/>
      <c r="R27" s="46"/>
      <c r="S27" s="46"/>
      <c r="T27" s="46"/>
      <c r="U27" s="46" t="s">
        <v>37</v>
      </c>
      <c r="V27" s="47">
        <v>4000</v>
      </c>
      <c r="W27" s="44">
        <v>10</v>
      </c>
      <c r="X27" s="95">
        <v>562.24</v>
      </c>
      <c r="Y27" s="56">
        <f t="shared" si="0"/>
        <v>477.904</v>
      </c>
      <c r="Z27" s="58">
        <f t="shared" si="1"/>
        <v>47.790399999999998</v>
      </c>
      <c r="AA27" s="30">
        <f>Y27/10</f>
        <v>47.790399999999998</v>
      </c>
      <c r="AB27" s="230"/>
      <c r="AC27" s="59"/>
      <c r="AD27" s="59"/>
      <c r="AE27" s="59"/>
      <c r="AF27" s="32">
        <f>Z27/AP27</f>
        <v>1.2592990777338602</v>
      </c>
      <c r="AG27" s="60"/>
      <c r="AH27" s="34">
        <f t="shared" si="5"/>
        <v>1.2592990777338602</v>
      </c>
      <c r="AI27" s="35">
        <f t="shared" si="6"/>
        <v>1.2592990777338602</v>
      </c>
      <c r="AJ27" s="76"/>
      <c r="AK27" s="84"/>
      <c r="AL27" s="84"/>
      <c r="AM27" s="37">
        <v>0.15</v>
      </c>
      <c r="AN27" s="38">
        <f t="shared" si="2"/>
        <v>84.335999999999999</v>
      </c>
      <c r="AP27" s="39">
        <v>37.950000000000003</v>
      </c>
      <c r="AQ27" s="39">
        <v>37.950000000000003</v>
      </c>
      <c r="AR27" s="39"/>
    </row>
    <row r="28" spans="1:46" ht="33" hidden="1" customHeight="1" thickTop="1" thickBot="1" x14ac:dyDescent="0.4">
      <c r="A28" s="19" t="s">
        <v>83</v>
      </c>
      <c r="B28" s="19">
        <v>233123</v>
      </c>
      <c r="C28" s="19"/>
      <c r="D28" s="19"/>
      <c r="E28" s="19"/>
      <c r="F28" s="20" t="s">
        <v>55</v>
      </c>
      <c r="G28" s="21" t="s">
        <v>138</v>
      </c>
      <c r="H28" s="22" t="s">
        <v>37</v>
      </c>
      <c r="I28" s="23" t="s">
        <v>57</v>
      </c>
      <c r="J28" s="22"/>
      <c r="K28" s="24" t="s">
        <v>39</v>
      </c>
      <c r="L28" s="24" t="s">
        <v>39</v>
      </c>
      <c r="M28" s="22" t="s">
        <v>37</v>
      </c>
      <c r="N28" s="24"/>
      <c r="O28" s="46"/>
      <c r="P28" s="46"/>
      <c r="Q28" s="46"/>
      <c r="R28" s="46"/>
      <c r="S28" s="46"/>
      <c r="T28" s="46"/>
      <c r="U28" s="46" t="s">
        <v>37</v>
      </c>
      <c r="V28" s="47">
        <v>4000</v>
      </c>
      <c r="W28" s="44">
        <v>50</v>
      </c>
      <c r="X28" s="71" t="s">
        <v>419</v>
      </c>
      <c r="Y28" s="56" t="e">
        <f t="shared" si="0"/>
        <v>#VALUE!</v>
      </c>
      <c r="Z28" s="58" t="e">
        <f t="shared" si="1"/>
        <v>#VALUE!</v>
      </c>
      <c r="AA28" s="239" t="e">
        <f>Y28/50</f>
        <v>#VALUE!</v>
      </c>
      <c r="AB28" s="230"/>
      <c r="AC28" s="59"/>
      <c r="AD28" s="59"/>
      <c r="AE28" s="59"/>
      <c r="AF28" s="32" t="e">
        <f>Z28/AP28</f>
        <v>#VALUE!</v>
      </c>
      <c r="AG28" s="60"/>
      <c r="AH28" s="34" t="e">
        <f t="shared" si="5"/>
        <v>#VALUE!</v>
      </c>
      <c r="AI28" s="35" t="e">
        <f t="shared" si="6"/>
        <v>#VALUE!</v>
      </c>
      <c r="AJ28" s="35"/>
      <c r="AK28" s="61"/>
      <c r="AL28" s="61"/>
      <c r="AM28" s="37">
        <v>0.15</v>
      </c>
      <c r="AN28" s="38" t="e">
        <f t="shared" si="2"/>
        <v>#VALUE!</v>
      </c>
      <c r="AP28" s="39"/>
      <c r="AQ28" s="39"/>
      <c r="AR28" s="39"/>
    </row>
    <row r="29" spans="1:46" ht="30.5" hidden="1" customHeight="1" thickTop="1" thickBot="1" x14ac:dyDescent="0.4">
      <c r="A29" s="19" t="s">
        <v>82</v>
      </c>
      <c r="B29" s="19">
        <v>219052</v>
      </c>
      <c r="C29" s="19">
        <v>151.66</v>
      </c>
      <c r="D29" s="19">
        <v>736.33</v>
      </c>
      <c r="E29" s="19">
        <v>-103.97</v>
      </c>
      <c r="F29" s="20" t="s">
        <v>55</v>
      </c>
      <c r="G29" s="21" t="s">
        <v>138</v>
      </c>
      <c r="H29" s="22" t="s">
        <v>37</v>
      </c>
      <c r="I29" s="23" t="s">
        <v>57</v>
      </c>
      <c r="J29" s="22"/>
      <c r="K29" s="22"/>
      <c r="L29" s="22"/>
      <c r="M29" s="22" t="s">
        <v>37</v>
      </c>
      <c r="N29" s="40"/>
      <c r="O29" s="41" t="s">
        <v>61</v>
      </c>
      <c r="P29" s="46"/>
      <c r="Q29" s="46"/>
      <c r="R29" s="46"/>
      <c r="S29" s="46"/>
      <c r="T29" s="46"/>
      <c r="U29" s="46" t="s">
        <v>37</v>
      </c>
      <c r="V29" s="47">
        <v>11250</v>
      </c>
      <c r="W29" s="44">
        <v>3.56</v>
      </c>
      <c r="X29" s="95">
        <v>562.24</v>
      </c>
      <c r="Y29" s="56">
        <f t="shared" si="0"/>
        <v>477.904</v>
      </c>
      <c r="Z29" s="58">
        <f t="shared" si="1"/>
        <v>134.24269662921347</v>
      </c>
      <c r="AA29" s="240"/>
      <c r="AB29" s="232"/>
      <c r="AC29" s="59"/>
      <c r="AD29" s="59"/>
      <c r="AE29" s="31">
        <f>Y29/5</f>
        <v>95.580799999999996</v>
      </c>
      <c r="AF29" s="32"/>
      <c r="AG29" s="42"/>
      <c r="AH29" s="88"/>
      <c r="AI29" s="88"/>
      <c r="AJ29" s="88"/>
      <c r="AK29" s="88"/>
      <c r="AL29" s="88"/>
      <c r="AM29" s="37">
        <v>0.15</v>
      </c>
      <c r="AN29" s="38">
        <f t="shared" si="2"/>
        <v>84.335999999999999</v>
      </c>
      <c r="AP29" s="39"/>
      <c r="AQ29" s="39"/>
      <c r="AR29" s="39"/>
      <c r="AS29" s="39"/>
    </row>
    <row r="30" spans="1:46" ht="30.5" hidden="1" customHeight="1" thickTop="1" thickBot="1" x14ac:dyDescent="0.4">
      <c r="A30" s="19" t="s">
        <v>83</v>
      </c>
      <c r="B30" s="19">
        <v>233123</v>
      </c>
      <c r="C30" s="19"/>
      <c r="D30" s="19"/>
      <c r="E30" s="19"/>
      <c r="F30" s="20" t="s">
        <v>55</v>
      </c>
      <c r="G30" s="21" t="s">
        <v>138</v>
      </c>
      <c r="H30" s="22" t="s">
        <v>37</v>
      </c>
      <c r="I30" s="23" t="s">
        <v>57</v>
      </c>
      <c r="J30" s="22"/>
      <c r="K30" s="22"/>
      <c r="L30" s="22"/>
      <c r="M30" s="22" t="s">
        <v>37</v>
      </c>
      <c r="N30" s="40"/>
      <c r="O30" s="41" t="s">
        <v>61</v>
      </c>
      <c r="P30" s="46"/>
      <c r="Q30" s="46"/>
      <c r="R30" s="46"/>
      <c r="S30" s="46"/>
      <c r="T30" s="46"/>
      <c r="U30" s="46" t="s">
        <v>37</v>
      </c>
      <c r="V30" s="47">
        <v>11250</v>
      </c>
      <c r="W30" s="44">
        <v>17.78</v>
      </c>
      <c r="X30" s="71" t="s">
        <v>419</v>
      </c>
      <c r="Y30" s="56" t="e">
        <f t="shared" si="0"/>
        <v>#VALUE!</v>
      </c>
      <c r="Z30" s="58" t="e">
        <f t="shared" si="1"/>
        <v>#VALUE!</v>
      </c>
      <c r="AA30" s="240"/>
      <c r="AB30" s="232"/>
      <c r="AC30" s="59"/>
      <c r="AD30" s="59"/>
      <c r="AE30" s="31" t="e">
        <f>Y30/25</f>
        <v>#VALUE!</v>
      </c>
      <c r="AF30" s="32"/>
      <c r="AG30" s="42"/>
      <c r="AH30" s="43"/>
      <c r="AI30" s="43"/>
      <c r="AJ30" s="43"/>
      <c r="AK30" s="43"/>
      <c r="AL30" s="43"/>
      <c r="AM30" s="37">
        <v>0.15</v>
      </c>
      <c r="AN30" s="38" t="e">
        <f t="shared" si="2"/>
        <v>#VALUE!</v>
      </c>
      <c r="AP30" s="39"/>
      <c r="AQ30" s="39"/>
      <c r="AR30" s="39"/>
      <c r="AS30" s="39"/>
    </row>
    <row r="31" spans="1:46" ht="36.5" hidden="1" customHeight="1" thickTop="1" thickBot="1" x14ac:dyDescent="0.4">
      <c r="A31" s="19" t="s">
        <v>84</v>
      </c>
      <c r="B31" s="19">
        <v>219054</v>
      </c>
      <c r="C31" s="19">
        <v>181.94</v>
      </c>
      <c r="D31" s="19">
        <v>923.75</v>
      </c>
      <c r="E31" s="19">
        <v>-123.61</v>
      </c>
      <c r="F31" s="20" t="s">
        <v>55</v>
      </c>
      <c r="G31" s="21" t="s">
        <v>138</v>
      </c>
      <c r="H31" s="22" t="s">
        <v>37</v>
      </c>
      <c r="I31" s="23" t="s">
        <v>57</v>
      </c>
      <c r="J31" s="22"/>
      <c r="K31" s="22"/>
      <c r="L31" s="22"/>
      <c r="M31" s="22" t="s">
        <v>37</v>
      </c>
      <c r="N31" s="40"/>
      <c r="O31" s="48" t="s">
        <v>63</v>
      </c>
      <c r="P31" s="41" t="s">
        <v>61</v>
      </c>
      <c r="Q31" s="46"/>
      <c r="R31" s="46"/>
      <c r="S31" s="46"/>
      <c r="T31" s="46"/>
      <c r="U31" s="46" t="s">
        <v>37</v>
      </c>
      <c r="V31" s="47">
        <v>11250</v>
      </c>
      <c r="W31" s="44">
        <v>5.33</v>
      </c>
      <c r="X31" s="95">
        <v>717.67</v>
      </c>
      <c r="Y31" s="56">
        <f t="shared" si="0"/>
        <v>610.01949999999999</v>
      </c>
      <c r="Z31" s="58">
        <f t="shared" si="1"/>
        <v>114.45018761726078</v>
      </c>
      <c r="AA31" s="240"/>
      <c r="AB31" s="232"/>
      <c r="AC31" s="72">
        <f>Y31/10</f>
        <v>61.001950000000001</v>
      </c>
      <c r="AD31" s="31"/>
      <c r="AE31" s="31">
        <f>Y31/5</f>
        <v>122.0039</v>
      </c>
      <c r="AF31" s="59"/>
      <c r="AG31" s="42"/>
      <c r="AH31" s="88"/>
      <c r="AI31" s="88"/>
      <c r="AJ31" s="88"/>
      <c r="AK31" s="88"/>
      <c r="AL31" s="88"/>
      <c r="AM31" s="37">
        <v>0.15</v>
      </c>
      <c r="AN31" s="38">
        <f t="shared" si="2"/>
        <v>107.65049999999999</v>
      </c>
      <c r="AP31" s="39"/>
      <c r="AQ31" s="39"/>
      <c r="AR31" s="39"/>
      <c r="AS31" s="39"/>
    </row>
    <row r="32" spans="1:46" ht="33.5" hidden="1" customHeight="1" thickTop="1" thickBot="1" x14ac:dyDescent="0.4">
      <c r="A32" s="19" t="s">
        <v>85</v>
      </c>
      <c r="B32" s="19">
        <v>238548</v>
      </c>
      <c r="C32" s="19"/>
      <c r="D32" s="19"/>
      <c r="E32" s="19"/>
      <c r="F32" s="20" t="s">
        <v>55</v>
      </c>
      <c r="G32" s="21" t="s">
        <v>138</v>
      </c>
      <c r="H32" s="22" t="s">
        <v>37</v>
      </c>
      <c r="I32" s="23" t="s">
        <v>57</v>
      </c>
      <c r="J32" s="22"/>
      <c r="K32" s="22"/>
      <c r="L32" s="22"/>
      <c r="M32" s="22" t="s">
        <v>37</v>
      </c>
      <c r="N32" s="40"/>
      <c r="O32" s="48" t="s">
        <v>63</v>
      </c>
      <c r="P32" s="41" t="s">
        <v>61</v>
      </c>
      <c r="Q32" s="46"/>
      <c r="R32" s="46"/>
      <c r="S32" s="46"/>
      <c r="T32" s="46"/>
      <c r="U32" s="46" t="s">
        <v>37</v>
      </c>
      <c r="V32" s="47">
        <v>11250</v>
      </c>
      <c r="W32" s="44">
        <v>26.6</v>
      </c>
      <c r="X32" s="71" t="s">
        <v>419</v>
      </c>
      <c r="Y32" s="56" t="e">
        <f t="shared" si="0"/>
        <v>#VALUE!</v>
      </c>
      <c r="Z32" s="58" t="e">
        <f t="shared" si="1"/>
        <v>#VALUE!</v>
      </c>
      <c r="AA32" s="240"/>
      <c r="AB32" s="232"/>
      <c r="AC32" s="31" t="e">
        <f>Y32/50</f>
        <v>#VALUE!</v>
      </c>
      <c r="AD32" s="31"/>
      <c r="AE32" s="31" t="e">
        <f>Y32/25</f>
        <v>#VALUE!</v>
      </c>
      <c r="AF32" s="59"/>
      <c r="AG32" s="42"/>
      <c r="AH32" s="43"/>
      <c r="AI32" s="43"/>
      <c r="AJ32" s="43"/>
      <c r="AK32" s="43"/>
      <c r="AL32" s="43"/>
      <c r="AM32" s="37">
        <v>0.15</v>
      </c>
      <c r="AN32" s="38" t="e">
        <f t="shared" si="2"/>
        <v>#VALUE!</v>
      </c>
      <c r="AS32" s="39"/>
    </row>
    <row r="33" spans="1:46" ht="38" hidden="1" customHeight="1" thickTop="1" thickBot="1" x14ac:dyDescent="0.4">
      <c r="A33" s="19" t="s">
        <v>86</v>
      </c>
      <c r="B33" s="19">
        <v>219056</v>
      </c>
      <c r="C33" s="19">
        <v>222.64</v>
      </c>
      <c r="D33" s="19">
        <v>1231.6600000000001</v>
      </c>
      <c r="E33" s="19">
        <v>-187.32</v>
      </c>
      <c r="F33" s="20" t="s">
        <v>55</v>
      </c>
      <c r="G33" s="21" t="s">
        <v>138</v>
      </c>
      <c r="H33" s="22" t="s">
        <v>37</v>
      </c>
      <c r="I33" s="23" t="s">
        <v>57</v>
      </c>
      <c r="J33" s="22"/>
      <c r="K33" s="22"/>
      <c r="L33" s="22"/>
      <c r="M33" s="22" t="s">
        <v>37</v>
      </c>
      <c r="N33" s="40"/>
      <c r="O33" s="48" t="s">
        <v>66</v>
      </c>
      <c r="P33" s="48" t="s">
        <v>67</v>
      </c>
      <c r="Q33" s="41" t="s">
        <v>61</v>
      </c>
      <c r="R33" s="46"/>
      <c r="S33" s="46"/>
      <c r="T33" s="41" t="s">
        <v>68</v>
      </c>
      <c r="U33" s="46" t="s">
        <v>37</v>
      </c>
      <c r="V33" s="47">
        <v>11250</v>
      </c>
      <c r="W33" s="44">
        <v>7.11</v>
      </c>
      <c r="X33" s="95">
        <v>973</v>
      </c>
      <c r="Y33" s="56">
        <f t="shared" si="0"/>
        <v>827.05</v>
      </c>
      <c r="Z33" s="58">
        <f t="shared" si="1"/>
        <v>116.32208157524612</v>
      </c>
      <c r="AA33" s="240"/>
      <c r="AB33" s="107" t="s">
        <v>156</v>
      </c>
      <c r="AC33" s="31">
        <f>Y33/10</f>
        <v>82.704999999999998</v>
      </c>
      <c r="AD33" s="31"/>
      <c r="AE33" s="105">
        <f>Y33/5</f>
        <v>165.41</v>
      </c>
      <c r="AF33" s="59"/>
      <c r="AG33" s="49">
        <f>Y33/2.5</f>
        <v>330.82</v>
      </c>
      <c r="AH33" s="87"/>
      <c r="AI33" s="87"/>
      <c r="AJ33" s="87"/>
      <c r="AK33" s="90"/>
      <c r="AL33" s="104">
        <f t="shared" ref="AL33:AL34" si="7">AE33/AT33</f>
        <v>1.4378477051460361</v>
      </c>
      <c r="AM33" s="37">
        <v>0.15</v>
      </c>
      <c r="AN33" s="38">
        <f t="shared" si="2"/>
        <v>145.94999999999999</v>
      </c>
      <c r="AP33" s="39"/>
      <c r="AQ33" s="39"/>
      <c r="AR33" s="39"/>
      <c r="AS33" s="39"/>
      <c r="AT33" s="39">
        <v>115.04</v>
      </c>
    </row>
    <row r="34" spans="1:46" ht="39" hidden="1" customHeight="1" thickTop="1" thickBot="1" x14ac:dyDescent="0.4">
      <c r="A34" s="19" t="s">
        <v>87</v>
      </c>
      <c r="B34" s="19">
        <v>238749</v>
      </c>
      <c r="C34" s="19"/>
      <c r="D34" s="19"/>
      <c r="E34" s="19"/>
      <c r="F34" s="20" t="s">
        <v>55</v>
      </c>
      <c r="G34" s="21" t="s">
        <v>138</v>
      </c>
      <c r="H34" s="22" t="s">
        <v>37</v>
      </c>
      <c r="I34" s="23" t="s">
        <v>57</v>
      </c>
      <c r="J34" s="22"/>
      <c r="K34" s="22"/>
      <c r="L34" s="22"/>
      <c r="M34" s="22" t="s">
        <v>37</v>
      </c>
      <c r="N34" s="40"/>
      <c r="O34" s="48" t="s">
        <v>66</v>
      </c>
      <c r="P34" s="48" t="s">
        <v>67</v>
      </c>
      <c r="Q34" s="41" t="s">
        <v>61</v>
      </c>
      <c r="R34" s="46"/>
      <c r="S34" s="46"/>
      <c r="T34" s="41" t="s">
        <v>68</v>
      </c>
      <c r="U34" s="46" t="s">
        <v>37</v>
      </c>
      <c r="V34" s="47">
        <v>11250</v>
      </c>
      <c r="W34" s="44">
        <v>35.6</v>
      </c>
      <c r="X34" s="71" t="s">
        <v>419</v>
      </c>
      <c r="Y34" s="56" t="e">
        <f t="shared" si="0"/>
        <v>#VALUE!</v>
      </c>
      <c r="Z34" s="58" t="e">
        <f t="shared" si="1"/>
        <v>#VALUE!</v>
      </c>
      <c r="AA34" s="240"/>
      <c r="AB34" s="232"/>
      <c r="AC34" s="31" t="e">
        <f>Y34/50</f>
        <v>#VALUE!</v>
      </c>
      <c r="AD34" s="31"/>
      <c r="AE34" s="31" t="e">
        <f>Y34/25</f>
        <v>#VALUE!</v>
      </c>
      <c r="AF34" s="59"/>
      <c r="AG34" s="49" t="e">
        <f>Y34/12.5</f>
        <v>#VALUE!</v>
      </c>
      <c r="AH34" s="50"/>
      <c r="AI34" s="50"/>
      <c r="AJ34" s="50"/>
      <c r="AK34" s="53"/>
      <c r="AL34" s="52" t="e">
        <f t="shared" si="7"/>
        <v>#VALUE!</v>
      </c>
      <c r="AM34" s="37">
        <v>0.15</v>
      </c>
      <c r="AN34" s="38" t="e">
        <f t="shared" si="2"/>
        <v>#VALUE!</v>
      </c>
      <c r="AS34" s="39"/>
      <c r="AT34" s="39">
        <v>113.08</v>
      </c>
    </row>
    <row r="35" spans="1:46" ht="34.5" hidden="1" customHeight="1" thickTop="1" thickBot="1" x14ac:dyDescent="0.4">
      <c r="A35" s="19" t="s">
        <v>88</v>
      </c>
      <c r="B35" s="19">
        <v>219058</v>
      </c>
      <c r="C35" s="19">
        <v>275.22000000000003</v>
      </c>
      <c r="D35" s="19">
        <v>1539.57</v>
      </c>
      <c r="E35" s="19">
        <v>-179.75</v>
      </c>
      <c r="F35" s="20" t="s">
        <v>55</v>
      </c>
      <c r="G35" s="21" t="s">
        <v>138</v>
      </c>
      <c r="H35" s="22" t="s">
        <v>37</v>
      </c>
      <c r="I35" s="23" t="s">
        <v>57</v>
      </c>
      <c r="J35" s="22"/>
      <c r="K35" s="22"/>
      <c r="L35" s="22"/>
      <c r="M35" s="22" t="s">
        <v>37</v>
      </c>
      <c r="N35" s="40"/>
      <c r="O35" s="46"/>
      <c r="P35" s="48" t="s">
        <v>71</v>
      </c>
      <c r="Q35" s="48" t="s">
        <v>72</v>
      </c>
      <c r="R35" s="41" t="s">
        <v>61</v>
      </c>
      <c r="S35" s="46"/>
      <c r="T35" s="46"/>
      <c r="U35" s="46" t="s">
        <v>37</v>
      </c>
      <c r="V35" s="47">
        <v>11250</v>
      </c>
      <c r="W35" s="44">
        <v>8.89</v>
      </c>
      <c r="X35" s="95">
        <v>1231.78</v>
      </c>
      <c r="Y35" s="56">
        <f t="shared" si="0"/>
        <v>1047.0129999999999</v>
      </c>
      <c r="Z35" s="58">
        <f t="shared" si="1"/>
        <v>117.77424071991</v>
      </c>
      <c r="AA35" s="240"/>
      <c r="AB35" s="232"/>
      <c r="AC35" s="31">
        <f>Y35/10</f>
        <v>104.70129999999999</v>
      </c>
      <c r="AD35" s="31"/>
      <c r="AE35" s="31">
        <f>Y35/5</f>
        <v>209.40259999999998</v>
      </c>
      <c r="AF35" s="59"/>
      <c r="AG35" s="42"/>
      <c r="AH35" s="88"/>
      <c r="AI35" s="88"/>
      <c r="AJ35" s="88"/>
      <c r="AK35" s="90"/>
      <c r="AL35" s="88"/>
      <c r="AM35" s="37">
        <v>0.15</v>
      </c>
      <c r="AN35" s="38">
        <f t="shared" si="2"/>
        <v>184.767</v>
      </c>
      <c r="AP35" s="39"/>
      <c r="AQ35" s="39"/>
      <c r="AR35" s="39"/>
      <c r="AS35" s="39"/>
      <c r="AT35" s="39"/>
    </row>
    <row r="36" spans="1:46" ht="23" hidden="1" customHeight="1" thickTop="1" thickBot="1" x14ac:dyDescent="0.4">
      <c r="A36" s="19" t="s">
        <v>89</v>
      </c>
      <c r="B36" s="19">
        <v>233118</v>
      </c>
      <c r="C36" s="19"/>
      <c r="D36" s="19"/>
      <c r="E36" s="19"/>
      <c r="F36" s="20" t="s">
        <v>55</v>
      </c>
      <c r="G36" s="21" t="s">
        <v>138</v>
      </c>
      <c r="H36" s="22" t="s">
        <v>37</v>
      </c>
      <c r="I36" s="23" t="s">
        <v>57</v>
      </c>
      <c r="J36" s="22"/>
      <c r="K36" s="22"/>
      <c r="L36" s="22"/>
      <c r="M36" s="22" t="s">
        <v>37</v>
      </c>
      <c r="N36" s="40"/>
      <c r="O36" s="46"/>
      <c r="P36" s="48" t="s">
        <v>71</v>
      </c>
      <c r="Q36" s="48" t="s">
        <v>72</v>
      </c>
      <c r="R36" s="41" t="s">
        <v>61</v>
      </c>
      <c r="S36" s="46"/>
      <c r="T36" s="46"/>
      <c r="U36" s="46" t="s">
        <v>37</v>
      </c>
      <c r="V36" s="47">
        <v>11250</v>
      </c>
      <c r="W36" s="44">
        <v>44.4</v>
      </c>
      <c r="X36" s="71" t="s">
        <v>419</v>
      </c>
      <c r="Y36" s="56" t="e">
        <f t="shared" si="0"/>
        <v>#VALUE!</v>
      </c>
      <c r="Z36" s="58" t="e">
        <f t="shared" si="1"/>
        <v>#VALUE!</v>
      </c>
      <c r="AA36" s="240"/>
      <c r="AB36" s="232"/>
      <c r="AC36" s="31" t="e">
        <f>Y36/50</f>
        <v>#VALUE!</v>
      </c>
      <c r="AD36" s="31"/>
      <c r="AE36" s="31" t="e">
        <f>Y36/25</f>
        <v>#VALUE!</v>
      </c>
      <c r="AF36" s="59"/>
      <c r="AG36" s="42"/>
      <c r="AH36" s="43"/>
      <c r="AI36" s="43"/>
      <c r="AJ36" s="43"/>
      <c r="AK36" s="53"/>
      <c r="AL36" s="43"/>
      <c r="AM36" s="37">
        <v>0.15</v>
      </c>
      <c r="AN36" s="38" t="e">
        <f t="shared" si="2"/>
        <v>#VALUE!</v>
      </c>
      <c r="AS36" s="39"/>
      <c r="AT36" s="39"/>
    </row>
    <row r="37" spans="1:46" ht="24" hidden="1" customHeight="1" thickTop="1" thickBot="1" x14ac:dyDescent="0.4">
      <c r="A37" s="19" t="s">
        <v>90</v>
      </c>
      <c r="B37" s="19">
        <v>238568</v>
      </c>
      <c r="C37" s="19"/>
      <c r="D37" s="19"/>
      <c r="E37" s="19"/>
      <c r="F37" s="20" t="s">
        <v>75</v>
      </c>
      <c r="G37" s="21" t="s">
        <v>138</v>
      </c>
      <c r="H37" s="22" t="s">
        <v>37</v>
      </c>
      <c r="I37" s="23" t="s">
        <v>57</v>
      </c>
      <c r="J37" s="22"/>
      <c r="K37" s="22"/>
      <c r="L37" s="22"/>
      <c r="M37" s="22" t="s">
        <v>37</v>
      </c>
      <c r="N37" s="40"/>
      <c r="O37" s="46"/>
      <c r="P37" s="46"/>
      <c r="Q37" s="48" t="s">
        <v>76</v>
      </c>
      <c r="R37" s="46"/>
      <c r="S37" s="41" t="s">
        <v>61</v>
      </c>
      <c r="T37" s="24"/>
      <c r="U37" s="46" t="s">
        <v>37</v>
      </c>
      <c r="V37" s="47">
        <v>11250</v>
      </c>
      <c r="W37" s="54">
        <v>10.67</v>
      </c>
      <c r="X37" s="55">
        <v>1493.67</v>
      </c>
      <c r="Y37" s="56">
        <f t="shared" si="0"/>
        <v>1344.3030000000001</v>
      </c>
      <c r="Z37" s="58">
        <f t="shared" si="1"/>
        <v>125.98903467666355</v>
      </c>
      <c r="AA37" s="240"/>
      <c r="AB37" s="232"/>
      <c r="AC37" s="31">
        <f>Y37/10</f>
        <v>134.43030000000002</v>
      </c>
      <c r="AD37" s="31"/>
      <c r="AE37" s="31">
        <f>Y37/5</f>
        <v>268.86060000000003</v>
      </c>
      <c r="AF37" s="59"/>
      <c r="AG37" s="42"/>
      <c r="AH37" s="43"/>
      <c r="AI37" s="43"/>
      <c r="AJ37" s="43"/>
      <c r="AK37" s="45">
        <f>AC37/AS37</f>
        <v>1.2570628389751264</v>
      </c>
      <c r="AL37" s="43"/>
      <c r="AM37" s="37">
        <v>0.1</v>
      </c>
      <c r="AN37" s="38">
        <f t="shared" si="2"/>
        <v>149.36700000000002</v>
      </c>
      <c r="AO37" s="62" t="e">
        <f>(AC37-AC49)/AS37</f>
        <v>#VALUE!</v>
      </c>
      <c r="AS37" s="39">
        <v>106.94</v>
      </c>
      <c r="AT37" s="39"/>
    </row>
    <row r="38" spans="1:46" ht="33.5" hidden="1" customHeight="1" thickTop="1" thickBot="1" x14ac:dyDescent="0.4">
      <c r="A38" s="19" t="s">
        <v>91</v>
      </c>
      <c r="B38" s="19">
        <v>238571</v>
      </c>
      <c r="C38" s="19"/>
      <c r="D38" s="19"/>
      <c r="E38" s="19"/>
      <c r="F38" s="20" t="s">
        <v>75</v>
      </c>
      <c r="G38" s="21" t="s">
        <v>138</v>
      </c>
      <c r="H38" s="22" t="s">
        <v>37</v>
      </c>
      <c r="I38" s="23" t="s">
        <v>57</v>
      </c>
      <c r="J38" s="22"/>
      <c r="K38" s="22"/>
      <c r="L38" s="22"/>
      <c r="M38" s="22" t="s">
        <v>37</v>
      </c>
      <c r="N38" s="40"/>
      <c r="O38" s="46"/>
      <c r="P38" s="46"/>
      <c r="Q38" s="46"/>
      <c r="R38" s="48" t="s">
        <v>78</v>
      </c>
      <c r="S38" s="46"/>
      <c r="T38" s="41" t="s">
        <v>79</v>
      </c>
      <c r="U38" s="46" t="s">
        <v>37</v>
      </c>
      <c r="V38" s="47">
        <v>11250</v>
      </c>
      <c r="W38" s="54">
        <v>13.33</v>
      </c>
      <c r="X38" s="55">
        <v>1886.49</v>
      </c>
      <c r="Y38" s="56">
        <f t="shared" si="0"/>
        <v>1697.8409999999999</v>
      </c>
      <c r="Z38" s="58">
        <f t="shared" si="1"/>
        <v>127.36991747936983</v>
      </c>
      <c r="AA38" s="240"/>
      <c r="AB38" s="232"/>
      <c r="AC38" s="31">
        <f>Y38/10</f>
        <v>169.7841</v>
      </c>
      <c r="AD38" s="31"/>
      <c r="AE38" s="31">
        <f>Y38/5</f>
        <v>339.56819999999999</v>
      </c>
      <c r="AF38" s="59"/>
      <c r="AG38" s="42"/>
      <c r="AH38" s="43"/>
      <c r="AI38" s="43"/>
      <c r="AJ38" s="43"/>
      <c r="AK38" s="43"/>
      <c r="AL38" s="43"/>
      <c r="AM38" s="37">
        <v>0.1</v>
      </c>
      <c r="AN38" s="63">
        <f t="shared" si="2"/>
        <v>188.649</v>
      </c>
      <c r="AO38" s="64"/>
      <c r="AP38" s="64"/>
      <c r="AQ38" s="64"/>
      <c r="AR38" s="64"/>
      <c r="AS38" s="65"/>
    </row>
    <row r="39" spans="1:46" ht="41" customHeight="1" thickTop="1" thickBot="1" x14ac:dyDescent="0.4">
      <c r="A39" s="19" t="s">
        <v>92</v>
      </c>
      <c r="B39" s="19">
        <v>258276</v>
      </c>
      <c r="C39" s="19">
        <v>120.23</v>
      </c>
      <c r="D39" s="19">
        <v>368.16</v>
      </c>
      <c r="E39" s="19">
        <v>101.8</v>
      </c>
      <c r="F39" s="20" t="s">
        <v>93</v>
      </c>
      <c r="G39" s="21" t="s">
        <v>137</v>
      </c>
      <c r="H39" s="22" t="s">
        <v>37</v>
      </c>
      <c r="I39" s="23" t="s">
        <v>94</v>
      </c>
      <c r="J39" s="24" t="s">
        <v>46</v>
      </c>
      <c r="K39" s="24" t="s">
        <v>95</v>
      </c>
      <c r="L39" s="22"/>
      <c r="M39" s="22" t="s">
        <v>37</v>
      </c>
      <c r="N39" s="23" t="s">
        <v>40</v>
      </c>
      <c r="O39" s="46"/>
      <c r="P39" s="46"/>
      <c r="Q39" s="46"/>
      <c r="R39" s="46"/>
      <c r="S39" s="46"/>
      <c r="T39" s="46"/>
      <c r="U39" s="46" t="s">
        <v>37</v>
      </c>
      <c r="V39" s="47">
        <v>5700</v>
      </c>
      <c r="W39" s="54">
        <v>5</v>
      </c>
      <c r="X39" s="95">
        <v>434.05</v>
      </c>
      <c r="Y39" s="56">
        <f t="shared" si="0"/>
        <v>373.28300000000002</v>
      </c>
      <c r="Z39" s="58">
        <f t="shared" si="1"/>
        <v>74.656599999999997</v>
      </c>
      <c r="AA39" s="30">
        <f>Y39/10</f>
        <v>37.328299999999999</v>
      </c>
      <c r="AB39" s="229" t="s">
        <v>147</v>
      </c>
      <c r="AC39" s="59"/>
      <c r="AD39" s="59"/>
      <c r="AE39" s="59"/>
      <c r="AF39" s="32" t="e">
        <f>Z39/AP39</f>
        <v>#DIV/0!</v>
      </c>
      <c r="AG39" s="60"/>
      <c r="AH39" s="80"/>
      <c r="AI39" s="84"/>
      <c r="AJ39" s="77">
        <f t="shared" ref="AJ39" si="8">AA39/AR39</f>
        <v>1.5329897330595481</v>
      </c>
      <c r="AK39" s="84"/>
      <c r="AL39" s="84"/>
      <c r="AM39" s="37">
        <v>0.14000000000000001</v>
      </c>
      <c r="AN39" s="63">
        <f t="shared" si="2"/>
        <v>60.76700000000001</v>
      </c>
      <c r="AO39" s="64"/>
      <c r="AP39" s="39"/>
      <c r="AQ39" s="39"/>
      <c r="AR39" s="39">
        <v>24.35</v>
      </c>
      <c r="AS39" s="64"/>
    </row>
    <row r="40" spans="1:46" ht="36.5" customHeight="1" thickTop="1" thickBot="1" x14ac:dyDescent="0.4">
      <c r="A40" s="19" t="s">
        <v>96</v>
      </c>
      <c r="B40" s="19">
        <v>258283</v>
      </c>
      <c r="C40" s="19">
        <v>141.61000000000001</v>
      </c>
      <c r="D40" s="19">
        <v>490.89</v>
      </c>
      <c r="E40" s="19">
        <v>89.53</v>
      </c>
      <c r="F40" s="20" t="s">
        <v>93</v>
      </c>
      <c r="G40" s="21" t="s">
        <v>137</v>
      </c>
      <c r="H40" s="22" t="s">
        <v>37</v>
      </c>
      <c r="I40" s="23" t="s">
        <v>97</v>
      </c>
      <c r="J40" s="22"/>
      <c r="K40" s="24" t="s">
        <v>98</v>
      </c>
      <c r="L40" s="24" t="s">
        <v>99</v>
      </c>
      <c r="M40" s="22" t="s">
        <v>37</v>
      </c>
      <c r="N40" s="23" t="s">
        <v>40</v>
      </c>
      <c r="O40" s="46"/>
      <c r="P40" s="41" t="s">
        <v>100</v>
      </c>
      <c r="Q40" s="46"/>
      <c r="R40" s="46"/>
      <c r="S40" s="46"/>
      <c r="T40" s="46"/>
      <c r="U40" s="46" t="s">
        <v>37</v>
      </c>
      <c r="V40" s="47">
        <v>5700</v>
      </c>
      <c r="W40" s="54">
        <v>6.67</v>
      </c>
      <c r="X40" s="95">
        <v>512.89</v>
      </c>
      <c r="Y40" s="56">
        <f t="shared" si="0"/>
        <v>441.08539999999999</v>
      </c>
      <c r="Z40" s="58">
        <f t="shared" si="1"/>
        <v>66.12974512743628</v>
      </c>
      <c r="AA40" s="30">
        <f>Y40/10</f>
        <v>44.108539999999998</v>
      </c>
      <c r="AB40" s="233" t="s">
        <v>152</v>
      </c>
      <c r="AC40" s="59"/>
      <c r="AD40" s="59"/>
      <c r="AE40" s="59"/>
      <c r="AF40" s="32">
        <f>Z40/AP40</f>
        <v>1.7425492787203234</v>
      </c>
      <c r="AG40" s="60"/>
      <c r="AH40" s="78">
        <f t="shared" ref="AH40" si="9">AA40/AP40</f>
        <v>1.1622803689064558</v>
      </c>
      <c r="AI40" s="90"/>
      <c r="AJ40" s="76"/>
      <c r="AK40" s="84"/>
      <c r="AL40" s="84"/>
      <c r="AM40" s="37">
        <v>0.14000000000000001</v>
      </c>
      <c r="AN40" s="38">
        <f t="shared" si="2"/>
        <v>71.804600000000008</v>
      </c>
      <c r="AP40" s="39">
        <v>37.950000000000003</v>
      </c>
      <c r="AQ40" s="39">
        <v>37.950000000000003</v>
      </c>
      <c r="AR40" s="39"/>
    </row>
    <row r="41" spans="1:46" ht="39" hidden="1" customHeight="1" thickTop="1" thickBot="1" x14ac:dyDescent="0.4">
      <c r="A41" s="19" t="s">
        <v>96</v>
      </c>
      <c r="B41" s="19">
        <v>258283</v>
      </c>
      <c r="C41" s="19">
        <v>141.61000000000001</v>
      </c>
      <c r="D41" s="19">
        <v>490.89</v>
      </c>
      <c r="E41" s="19">
        <v>89.53</v>
      </c>
      <c r="F41" s="20" t="s">
        <v>93</v>
      </c>
      <c r="G41" s="21" t="s">
        <v>137</v>
      </c>
      <c r="H41" s="22" t="s">
        <v>37</v>
      </c>
      <c r="I41" s="23" t="s">
        <v>97</v>
      </c>
      <c r="J41" s="22"/>
      <c r="K41" s="24" t="s">
        <v>98</v>
      </c>
      <c r="L41" s="24" t="s">
        <v>99</v>
      </c>
      <c r="M41" s="22" t="s">
        <v>37</v>
      </c>
      <c r="N41" s="23" t="s">
        <v>40</v>
      </c>
      <c r="O41" s="46"/>
      <c r="P41" s="41" t="s">
        <v>100</v>
      </c>
      <c r="Q41" s="46"/>
      <c r="R41" s="46"/>
      <c r="S41" s="46"/>
      <c r="T41" s="46"/>
      <c r="U41" s="46" t="s">
        <v>37</v>
      </c>
      <c r="V41" s="47">
        <v>14250</v>
      </c>
      <c r="W41" s="54">
        <v>2.67</v>
      </c>
      <c r="X41" s="95">
        <v>512.89</v>
      </c>
      <c r="Y41" s="56">
        <f t="shared" si="0"/>
        <v>441.08539999999999</v>
      </c>
      <c r="Z41" s="58">
        <f t="shared" si="1"/>
        <v>165.20052434456929</v>
      </c>
      <c r="AA41" s="30">
        <f>Y41/10</f>
        <v>44.108539999999998</v>
      </c>
      <c r="AB41" s="232"/>
      <c r="AC41" s="59"/>
      <c r="AD41" s="59"/>
      <c r="AE41" s="72">
        <f>Y41/5</f>
        <v>88.217079999999996</v>
      </c>
      <c r="AF41" s="59"/>
      <c r="AG41" s="42"/>
      <c r="AH41" s="88"/>
      <c r="AI41" s="88"/>
      <c r="AJ41" s="88"/>
      <c r="AK41" s="88"/>
      <c r="AL41" s="88"/>
      <c r="AM41" s="37">
        <v>0.14000000000000001</v>
      </c>
      <c r="AN41" s="38">
        <f t="shared" si="2"/>
        <v>71.804600000000008</v>
      </c>
      <c r="AP41" s="39"/>
      <c r="AQ41" s="39">
        <v>47.79</v>
      </c>
      <c r="AR41" s="39"/>
      <c r="AS41" s="39"/>
    </row>
    <row r="42" spans="1:46" ht="34.5" customHeight="1" thickTop="1" thickBot="1" x14ac:dyDescent="0.4">
      <c r="A42" s="19" t="s">
        <v>101</v>
      </c>
      <c r="B42" s="19">
        <v>258278</v>
      </c>
      <c r="C42" s="19">
        <v>173.67</v>
      </c>
      <c r="D42" s="19">
        <v>736.33</v>
      </c>
      <c r="E42" s="19">
        <v>14.24</v>
      </c>
      <c r="F42" s="20" t="s">
        <v>93</v>
      </c>
      <c r="G42" s="21" t="s">
        <v>137</v>
      </c>
      <c r="H42" s="22" t="s">
        <v>37</v>
      </c>
      <c r="I42" s="23" t="s">
        <v>102</v>
      </c>
      <c r="J42" s="22"/>
      <c r="K42" s="24" t="s">
        <v>103</v>
      </c>
      <c r="L42" s="24" t="s">
        <v>104</v>
      </c>
      <c r="M42" s="22" t="s">
        <v>37</v>
      </c>
      <c r="N42" s="23" t="s">
        <v>40</v>
      </c>
      <c r="O42" s="46"/>
      <c r="P42" s="46"/>
      <c r="Q42" s="46"/>
      <c r="R42" s="46"/>
      <c r="S42" s="46"/>
      <c r="T42" s="46"/>
      <c r="U42" s="46" t="s">
        <v>37</v>
      </c>
      <c r="V42" s="47">
        <v>5700</v>
      </c>
      <c r="W42" s="54">
        <v>10</v>
      </c>
      <c r="X42" s="95">
        <v>688.17</v>
      </c>
      <c r="Y42" s="56">
        <f t="shared" si="0"/>
        <v>591.82619999999997</v>
      </c>
      <c r="Z42" s="58">
        <f t="shared" si="1"/>
        <v>59.18262</v>
      </c>
      <c r="AA42" s="30">
        <f>Y42/10</f>
        <v>59.18262</v>
      </c>
      <c r="AB42" s="233" t="s">
        <v>153</v>
      </c>
      <c r="AC42" s="59"/>
      <c r="AD42" s="59"/>
      <c r="AE42" s="59"/>
      <c r="AF42" s="32" t="e">
        <f>Z42/AP42</f>
        <v>#DIV/0!</v>
      </c>
      <c r="AG42" s="60"/>
      <c r="AH42" s="86"/>
      <c r="AI42" s="79">
        <f>AA42/AQ42</f>
        <v>1.5594893280632409</v>
      </c>
      <c r="AJ42" s="76"/>
      <c r="AK42" s="84"/>
      <c r="AL42" s="84"/>
      <c r="AM42" s="37">
        <v>0.14000000000000001</v>
      </c>
      <c r="AN42" s="38">
        <f t="shared" si="2"/>
        <v>96.343800000000002</v>
      </c>
      <c r="AP42" s="39"/>
      <c r="AQ42" s="39">
        <v>37.950000000000003</v>
      </c>
      <c r="AR42" s="39"/>
    </row>
    <row r="43" spans="1:46" ht="43.5" hidden="1" customHeight="1" thickTop="1" thickBot="1" x14ac:dyDescent="0.4">
      <c r="A43" s="19" t="s">
        <v>101</v>
      </c>
      <c r="B43" s="19">
        <v>258278</v>
      </c>
      <c r="C43" s="19">
        <v>173.67</v>
      </c>
      <c r="D43" s="19">
        <v>736.33</v>
      </c>
      <c r="E43" s="19">
        <v>14.24</v>
      </c>
      <c r="F43" s="20" t="s">
        <v>93</v>
      </c>
      <c r="G43" s="21" t="s">
        <v>137</v>
      </c>
      <c r="H43" s="22" t="s">
        <v>37</v>
      </c>
      <c r="I43" s="23" t="s">
        <v>102</v>
      </c>
      <c r="J43" s="22"/>
      <c r="K43" s="22"/>
      <c r="L43" s="22"/>
      <c r="M43" s="22" t="s">
        <v>37</v>
      </c>
      <c r="N43" s="40"/>
      <c r="O43" s="46"/>
      <c r="P43" s="41" t="s">
        <v>105</v>
      </c>
      <c r="Q43" s="41" t="s">
        <v>106</v>
      </c>
      <c r="R43" s="46"/>
      <c r="S43" s="41" t="s">
        <v>107</v>
      </c>
      <c r="T43" s="41" t="s">
        <v>108</v>
      </c>
      <c r="U43" s="46" t="s">
        <v>37</v>
      </c>
      <c r="V43" s="47">
        <v>14250</v>
      </c>
      <c r="W43" s="54">
        <v>4</v>
      </c>
      <c r="X43" s="95">
        <v>688.17</v>
      </c>
      <c r="Y43" s="56">
        <f t="shared" si="0"/>
        <v>591.82619999999997</v>
      </c>
      <c r="Z43" s="58">
        <f t="shared" si="1"/>
        <v>147.95654999999999</v>
      </c>
      <c r="AA43" s="30">
        <f>Y43/10</f>
        <v>59.18262</v>
      </c>
      <c r="AB43" s="232"/>
      <c r="AC43" s="59"/>
      <c r="AD43" s="59"/>
      <c r="AE43" s="31">
        <f>Y43/5</f>
        <v>118.36524</v>
      </c>
      <c r="AF43" s="59"/>
      <c r="AG43" s="111">
        <f>Y43/2.5</f>
        <v>236.73048</v>
      </c>
      <c r="AH43" s="92"/>
      <c r="AI43" s="237"/>
      <c r="AJ43" s="92"/>
      <c r="AK43" s="93"/>
      <c r="AL43" s="92"/>
      <c r="AM43" s="37">
        <v>0.14000000000000001</v>
      </c>
      <c r="AN43" s="38">
        <f t="shared" si="2"/>
        <v>96.343800000000002</v>
      </c>
      <c r="AP43" s="39"/>
      <c r="AQ43" s="39">
        <v>47.79</v>
      </c>
      <c r="AR43" s="39"/>
      <c r="AS43" s="39"/>
      <c r="AT43" s="39"/>
    </row>
    <row r="44" spans="1:46" ht="45.5" hidden="1" customHeight="1" thickTop="1" thickBot="1" x14ac:dyDescent="0.4">
      <c r="A44" s="19" t="s">
        <v>109</v>
      </c>
      <c r="B44" s="19">
        <v>258274</v>
      </c>
      <c r="C44" s="19">
        <v>242.19</v>
      </c>
      <c r="D44" s="19">
        <v>923.75</v>
      </c>
      <c r="E44" s="19">
        <v>237.91</v>
      </c>
      <c r="F44" s="20" t="s">
        <v>93</v>
      </c>
      <c r="G44" s="21" t="s">
        <v>137</v>
      </c>
      <c r="H44" s="22" t="s">
        <v>37</v>
      </c>
      <c r="I44" s="23"/>
      <c r="J44" s="22"/>
      <c r="K44" s="22"/>
      <c r="L44" s="22"/>
      <c r="M44" s="22" t="s">
        <v>37</v>
      </c>
      <c r="N44" s="40"/>
      <c r="O44" s="46"/>
      <c r="P44" s="46"/>
      <c r="Q44" s="41" t="s">
        <v>110</v>
      </c>
      <c r="R44" s="41" t="s">
        <v>111</v>
      </c>
      <c r="S44" s="46"/>
      <c r="T44" s="24"/>
      <c r="U44" s="46" t="s">
        <v>37</v>
      </c>
      <c r="V44" s="47">
        <v>14250</v>
      </c>
      <c r="W44" s="54">
        <v>5.33</v>
      </c>
      <c r="X44" s="55">
        <v>841.28</v>
      </c>
      <c r="Y44" s="56">
        <f t="shared" si="0"/>
        <v>723.50080000000003</v>
      </c>
      <c r="Z44" s="58">
        <f t="shared" si="1"/>
        <v>135.7412382739212</v>
      </c>
      <c r="AA44" s="58"/>
      <c r="AB44" s="232"/>
      <c r="AC44" s="59"/>
      <c r="AD44" s="59"/>
      <c r="AE44" s="106">
        <f>Y44/5</f>
        <v>144.70016000000001</v>
      </c>
      <c r="AF44" s="59"/>
      <c r="AG44" s="42"/>
      <c r="AH44" s="88"/>
      <c r="AI44" s="43"/>
      <c r="AJ44" s="88"/>
      <c r="AK44" s="90"/>
      <c r="AL44" s="91">
        <f>AE44/AT44</f>
        <v>1.2578247566063978</v>
      </c>
      <c r="AM44" s="37">
        <v>0.14000000000000001</v>
      </c>
      <c r="AN44" s="38">
        <f t="shared" si="2"/>
        <v>117.7792</v>
      </c>
      <c r="AP44" s="39"/>
      <c r="AQ44" s="39">
        <v>47.79</v>
      </c>
      <c r="AR44" s="39"/>
      <c r="AS44" s="39"/>
      <c r="AT44" s="39">
        <v>115.04</v>
      </c>
    </row>
    <row r="45" spans="1:46" ht="45.5" hidden="1" customHeight="1" thickTop="1" thickBot="1" x14ac:dyDescent="0.4">
      <c r="A45" s="19" t="s">
        <v>112</v>
      </c>
      <c r="B45" s="19">
        <v>258279</v>
      </c>
      <c r="C45" s="19">
        <v>277.27999999999997</v>
      </c>
      <c r="D45" s="19">
        <v>1154.68</v>
      </c>
      <c r="E45" s="19">
        <v>217.51</v>
      </c>
      <c r="F45" s="20" t="s">
        <v>93</v>
      </c>
      <c r="G45" s="21" t="s">
        <v>137</v>
      </c>
      <c r="H45" s="22" t="s">
        <v>37</v>
      </c>
      <c r="I45" s="23"/>
      <c r="J45" s="22"/>
      <c r="K45" s="22"/>
      <c r="L45" s="22"/>
      <c r="M45" s="22" t="s">
        <v>37</v>
      </c>
      <c r="N45" s="40"/>
      <c r="O45" s="46"/>
      <c r="P45" s="46"/>
      <c r="Q45" s="46"/>
      <c r="R45" s="41" t="s">
        <v>113</v>
      </c>
      <c r="S45" s="41" t="s">
        <v>114</v>
      </c>
      <c r="T45" s="46"/>
      <c r="U45" s="46" t="s">
        <v>37</v>
      </c>
      <c r="V45" s="47">
        <v>14250</v>
      </c>
      <c r="W45" s="54">
        <v>6.67</v>
      </c>
      <c r="X45" s="55">
        <v>1097.8599999999999</v>
      </c>
      <c r="Y45" s="56">
        <f t="shared" si="0"/>
        <v>944.15959999999995</v>
      </c>
      <c r="Z45" s="58">
        <f t="shared" si="1"/>
        <v>141.55316341829084</v>
      </c>
      <c r="AA45" s="58"/>
      <c r="AB45" s="232"/>
      <c r="AC45" s="59"/>
      <c r="AD45" s="59"/>
      <c r="AE45" s="31">
        <f>Y45/5</f>
        <v>188.83192</v>
      </c>
      <c r="AF45" s="59"/>
      <c r="AG45" s="42"/>
      <c r="AH45" s="88"/>
      <c r="AI45" s="43"/>
      <c r="AJ45" s="88"/>
      <c r="AK45" s="88"/>
      <c r="AL45" s="88"/>
      <c r="AM45" s="37">
        <v>0.14000000000000001</v>
      </c>
      <c r="AN45" s="38">
        <f t="shared" si="2"/>
        <v>153.7004</v>
      </c>
      <c r="AP45" s="39"/>
      <c r="AQ45" s="39">
        <v>47.79</v>
      </c>
      <c r="AR45" s="39"/>
      <c r="AS45" s="39"/>
    </row>
    <row r="46" spans="1:46" ht="45" hidden="1" customHeight="1" thickTop="1" thickBot="1" x14ac:dyDescent="0.4">
      <c r="A46" s="19" t="s">
        <v>115</v>
      </c>
      <c r="B46" s="19">
        <v>258287</v>
      </c>
      <c r="C46" s="19">
        <v>299.13</v>
      </c>
      <c r="D46" s="19">
        <v>1385.62</v>
      </c>
      <c r="E46" s="19">
        <v>136.06</v>
      </c>
      <c r="F46" s="20" t="s">
        <v>116</v>
      </c>
      <c r="G46" s="21" t="s">
        <v>137</v>
      </c>
      <c r="H46" s="22"/>
      <c r="I46" s="22"/>
      <c r="J46" s="22"/>
      <c r="K46" s="22"/>
      <c r="L46" s="22"/>
      <c r="M46" s="22" t="s">
        <v>37</v>
      </c>
      <c r="N46" s="40"/>
      <c r="O46" s="46"/>
      <c r="P46" s="41" t="s">
        <v>117</v>
      </c>
      <c r="Q46" s="41" t="s">
        <v>118</v>
      </c>
      <c r="R46" s="46"/>
      <c r="S46" s="41" t="s">
        <v>119</v>
      </c>
      <c r="T46" s="41" t="s">
        <v>120</v>
      </c>
      <c r="U46" s="46" t="s">
        <v>37</v>
      </c>
      <c r="V46" s="47">
        <v>14250</v>
      </c>
      <c r="W46" s="27">
        <v>8</v>
      </c>
      <c r="X46" s="66">
        <v>1112.67</v>
      </c>
      <c r="Y46" s="56">
        <f t="shared" si="0"/>
        <v>956.89620000000002</v>
      </c>
      <c r="Z46" s="58">
        <f t="shared" si="1"/>
        <v>119.612025</v>
      </c>
      <c r="AA46" s="58"/>
      <c r="AB46" s="232"/>
      <c r="AC46" s="31">
        <f>Y46/10</f>
        <v>95.689620000000005</v>
      </c>
      <c r="AD46" s="72">
        <f>Y46/5</f>
        <v>191.37924000000001</v>
      </c>
      <c r="AE46" s="59"/>
      <c r="AF46" s="59"/>
      <c r="AG46" s="42"/>
      <c r="AH46" s="88"/>
      <c r="AI46" s="43"/>
      <c r="AJ46" s="88"/>
      <c r="AK46" s="90"/>
      <c r="AL46" s="88"/>
      <c r="AM46" s="37">
        <v>0.14000000000000001</v>
      </c>
      <c r="AN46" s="38">
        <f t="shared" si="2"/>
        <v>155.77380000000002</v>
      </c>
      <c r="AP46" s="39"/>
      <c r="AQ46" s="39">
        <v>47.79</v>
      </c>
      <c r="AR46" s="39"/>
      <c r="AS46" s="39"/>
      <c r="AT46" s="39"/>
    </row>
    <row r="47" spans="1:46" ht="43.5" hidden="1" customHeight="1" thickTop="1" thickBot="1" x14ac:dyDescent="0.4">
      <c r="A47" s="19" t="s">
        <v>121</v>
      </c>
      <c r="B47" s="19">
        <v>213479</v>
      </c>
      <c r="C47" s="19">
        <v>108.41</v>
      </c>
      <c r="D47" s="19">
        <v>277.13</v>
      </c>
      <c r="E47" s="19">
        <v>139.79</v>
      </c>
      <c r="F47" s="20" t="s">
        <v>116</v>
      </c>
      <c r="G47" s="21" t="s">
        <v>137</v>
      </c>
      <c r="H47" s="22"/>
      <c r="I47" s="22"/>
      <c r="J47" s="22"/>
      <c r="K47" s="22"/>
      <c r="L47" s="22"/>
      <c r="M47" s="22" t="s">
        <v>37</v>
      </c>
      <c r="N47" s="40"/>
      <c r="O47" s="46"/>
      <c r="P47" s="41" t="s">
        <v>117</v>
      </c>
      <c r="Q47" s="41" t="s">
        <v>118</v>
      </c>
      <c r="R47" s="46"/>
      <c r="S47" s="41" t="s">
        <v>119</v>
      </c>
      <c r="T47" s="41" t="s">
        <v>120</v>
      </c>
      <c r="U47" s="46" t="s">
        <v>37</v>
      </c>
      <c r="V47" s="47">
        <v>14250</v>
      </c>
      <c r="W47" s="27">
        <v>1.6</v>
      </c>
      <c r="X47" s="243" t="s">
        <v>419</v>
      </c>
      <c r="Y47" s="56" t="e">
        <f t="shared" si="0"/>
        <v>#VALUE!</v>
      </c>
      <c r="Z47" s="58" t="e">
        <f t="shared" si="1"/>
        <v>#VALUE!</v>
      </c>
      <c r="AA47" s="58"/>
      <c r="AB47" s="232"/>
      <c r="AC47" s="31" t="e">
        <f>Y47/2</f>
        <v>#VALUE!</v>
      </c>
      <c r="AD47" s="31" t="e">
        <f>Y47</f>
        <v>#VALUE!</v>
      </c>
      <c r="AE47" s="59"/>
      <c r="AF47" s="59"/>
      <c r="AG47" s="42"/>
      <c r="AH47" s="88"/>
      <c r="AI47" s="43"/>
      <c r="AJ47" s="88"/>
      <c r="AK47" s="90"/>
      <c r="AL47" s="88"/>
      <c r="AM47" s="37">
        <v>0.14000000000000001</v>
      </c>
      <c r="AN47" s="38" t="e">
        <f t="shared" si="2"/>
        <v>#VALUE!</v>
      </c>
      <c r="AP47" s="39"/>
      <c r="AQ47" s="39">
        <v>47.79</v>
      </c>
      <c r="AR47" s="39"/>
      <c r="AS47" s="39"/>
      <c r="AT47" s="39"/>
    </row>
    <row r="48" spans="1:46" ht="43.5" hidden="1" customHeight="1" thickTop="1" thickBot="1" x14ac:dyDescent="0.4">
      <c r="A48" s="19" t="s">
        <v>122</v>
      </c>
      <c r="B48" s="19">
        <v>258289</v>
      </c>
      <c r="C48" s="19">
        <v>359.53</v>
      </c>
      <c r="D48" s="19">
        <v>1847.49</v>
      </c>
      <c r="E48" s="19">
        <v>89.88</v>
      </c>
      <c r="F48" s="20" t="s">
        <v>116</v>
      </c>
      <c r="G48" s="21" t="s">
        <v>137</v>
      </c>
      <c r="H48" s="22"/>
      <c r="I48" s="22"/>
      <c r="J48" s="22"/>
      <c r="K48" s="22"/>
      <c r="L48" s="22"/>
      <c r="M48" s="22" t="s">
        <v>37</v>
      </c>
      <c r="N48" s="40"/>
      <c r="O48" s="46"/>
      <c r="P48" s="46"/>
      <c r="Q48" s="41" t="s">
        <v>123</v>
      </c>
      <c r="R48" s="41" t="s">
        <v>124</v>
      </c>
      <c r="S48" s="46"/>
      <c r="T48" s="46"/>
      <c r="U48" s="46" t="s">
        <v>37</v>
      </c>
      <c r="V48" s="47">
        <v>14250</v>
      </c>
      <c r="W48" s="27">
        <v>10.67</v>
      </c>
      <c r="X48" s="66">
        <v>1509.72</v>
      </c>
      <c r="Y48" s="56">
        <f t="shared" si="0"/>
        <v>1298.3592000000001</v>
      </c>
      <c r="Z48" s="58">
        <f t="shared" si="1"/>
        <v>121.68314901593253</v>
      </c>
      <c r="AA48" s="58"/>
      <c r="AB48" s="232"/>
      <c r="AC48" s="106">
        <f>Y48/10</f>
        <v>129.83592000000002</v>
      </c>
      <c r="AD48" s="31"/>
      <c r="AE48" s="59"/>
      <c r="AF48" s="59"/>
      <c r="AG48" s="42"/>
      <c r="AH48" s="88"/>
      <c r="AI48" s="43"/>
      <c r="AJ48" s="88"/>
      <c r="AK48" s="89">
        <f t="shared" ref="AK48" si="10">AC48/AS48</f>
        <v>0.93852768541275133</v>
      </c>
      <c r="AL48" s="88"/>
      <c r="AM48" s="37">
        <v>0.14000000000000001</v>
      </c>
      <c r="AN48" s="38">
        <f t="shared" si="2"/>
        <v>211.36080000000001</v>
      </c>
      <c r="AP48" s="39"/>
      <c r="AQ48" s="39">
        <v>47.79</v>
      </c>
      <c r="AR48" s="39"/>
      <c r="AS48" s="39">
        <v>138.34</v>
      </c>
      <c r="AT48" s="39"/>
    </row>
    <row r="49" spans="1:46" ht="48.5" hidden="1" customHeight="1" thickTop="1" thickBot="1" x14ac:dyDescent="0.4">
      <c r="A49" s="19" t="s">
        <v>125</v>
      </c>
      <c r="B49" s="19">
        <v>213481</v>
      </c>
      <c r="C49" s="19">
        <v>110.34</v>
      </c>
      <c r="D49" s="19">
        <v>369.49</v>
      </c>
      <c r="E49" s="19">
        <v>55.26</v>
      </c>
      <c r="F49" s="20" t="s">
        <v>116</v>
      </c>
      <c r="G49" s="21" t="s">
        <v>137</v>
      </c>
      <c r="H49" s="22"/>
      <c r="I49" s="22"/>
      <c r="J49" s="22"/>
      <c r="K49" s="22"/>
      <c r="L49" s="22"/>
      <c r="M49" s="22" t="s">
        <v>37</v>
      </c>
      <c r="N49" s="40"/>
      <c r="O49" s="46"/>
      <c r="P49" s="46"/>
      <c r="Q49" s="41" t="s">
        <v>123</v>
      </c>
      <c r="R49" s="41" t="s">
        <v>126</v>
      </c>
      <c r="S49" s="46"/>
      <c r="T49" s="46"/>
      <c r="U49" s="46" t="s">
        <v>37</v>
      </c>
      <c r="V49" s="47">
        <v>14250</v>
      </c>
      <c r="W49" s="27">
        <v>2.13</v>
      </c>
      <c r="X49" s="243" t="s">
        <v>419</v>
      </c>
      <c r="Y49" s="56" t="e">
        <f t="shared" si="0"/>
        <v>#VALUE!</v>
      </c>
      <c r="Z49" s="58" t="e">
        <f t="shared" si="1"/>
        <v>#VALUE!</v>
      </c>
      <c r="AA49" s="58"/>
      <c r="AB49" s="232"/>
      <c r="AC49" s="105" t="e">
        <f>Y49/2</f>
        <v>#VALUE!</v>
      </c>
      <c r="AD49" s="31"/>
      <c r="AE49" s="59"/>
      <c r="AF49" s="59"/>
      <c r="AG49" s="42"/>
      <c r="AH49" s="88"/>
      <c r="AI49" s="43"/>
      <c r="AJ49" s="88"/>
      <c r="AK49" s="103" t="e">
        <f>AC49/AS49</f>
        <v>#VALUE!</v>
      </c>
      <c r="AL49" s="88"/>
      <c r="AM49" s="37">
        <v>0.14000000000000001</v>
      </c>
      <c r="AN49" s="38" t="e">
        <f t="shared" si="2"/>
        <v>#VALUE!</v>
      </c>
      <c r="AP49" s="39"/>
      <c r="AQ49" s="39">
        <v>47.79</v>
      </c>
      <c r="AR49" s="39"/>
      <c r="AS49" s="39">
        <v>138.34</v>
      </c>
      <c r="AT49" s="39"/>
    </row>
    <row r="50" spans="1:46" ht="42" hidden="1" customHeight="1" thickTop="1" thickBot="1" x14ac:dyDescent="0.4">
      <c r="A50" s="19" t="s">
        <v>127</v>
      </c>
      <c r="B50" s="19">
        <v>258291</v>
      </c>
      <c r="C50" s="19">
        <v>419.93</v>
      </c>
      <c r="D50" s="19">
        <v>2309.37</v>
      </c>
      <c r="E50" s="19">
        <v>43.69</v>
      </c>
      <c r="F50" s="20" t="s">
        <v>116</v>
      </c>
      <c r="G50" s="21" t="s">
        <v>137</v>
      </c>
      <c r="H50" s="22"/>
      <c r="I50" s="22"/>
      <c r="J50" s="22"/>
      <c r="K50" s="22"/>
      <c r="L50" s="22"/>
      <c r="M50" s="22" t="s">
        <v>37</v>
      </c>
      <c r="N50" s="40"/>
      <c r="O50" s="46"/>
      <c r="P50" s="46"/>
      <c r="Q50" s="46"/>
      <c r="R50" s="41" t="s">
        <v>128</v>
      </c>
      <c r="S50" s="41" t="s">
        <v>129</v>
      </c>
      <c r="T50" s="46"/>
      <c r="U50" s="46" t="s">
        <v>37</v>
      </c>
      <c r="V50" s="47">
        <v>14250</v>
      </c>
      <c r="W50" s="54">
        <v>13.33</v>
      </c>
      <c r="X50" s="66">
        <v>1906.77</v>
      </c>
      <c r="Y50" s="56">
        <f t="shared" si="0"/>
        <v>1639.8222000000001</v>
      </c>
      <c r="Z50" s="58">
        <f t="shared" si="1"/>
        <v>123.01741935483871</v>
      </c>
      <c r="AA50" s="58"/>
      <c r="AB50" s="232"/>
      <c r="AC50" s="31">
        <f>Y50/10</f>
        <v>163.98222000000001</v>
      </c>
      <c r="AD50" s="31"/>
      <c r="AE50" s="59"/>
      <c r="AF50" s="59"/>
      <c r="AG50" s="42"/>
      <c r="AH50" s="88"/>
      <c r="AI50" s="43"/>
      <c r="AJ50" s="88"/>
      <c r="AK50" s="88"/>
      <c r="AL50" s="88"/>
      <c r="AM50" s="37">
        <v>0.14000000000000001</v>
      </c>
      <c r="AN50" s="38">
        <f t="shared" si="2"/>
        <v>266.94780000000003</v>
      </c>
      <c r="AP50" s="39"/>
      <c r="AQ50" s="39">
        <v>47.79</v>
      </c>
      <c r="AR50" s="39"/>
      <c r="AS50" s="39"/>
    </row>
    <row r="51" spans="1:46" ht="51.75" customHeight="1" thickTop="1" thickBot="1" x14ac:dyDescent="0.4">
      <c r="A51" s="19" t="s">
        <v>130</v>
      </c>
      <c r="B51" s="19">
        <v>126409</v>
      </c>
      <c r="C51" s="19">
        <v>400.03</v>
      </c>
      <c r="D51" s="19">
        <v>736.33</v>
      </c>
      <c r="E51" s="19">
        <v>100.08</v>
      </c>
      <c r="F51" s="19" t="s">
        <v>131</v>
      </c>
      <c r="G51" s="21" t="s">
        <v>137</v>
      </c>
      <c r="H51" s="22"/>
      <c r="I51" s="22"/>
      <c r="J51" s="22"/>
      <c r="K51" s="24" t="s">
        <v>39</v>
      </c>
      <c r="L51" s="24" t="s">
        <v>39</v>
      </c>
      <c r="M51" s="67"/>
      <c r="N51" s="24" t="s">
        <v>39</v>
      </c>
      <c r="O51" s="68"/>
      <c r="P51" s="68"/>
      <c r="Q51" s="68"/>
      <c r="R51" s="68"/>
      <c r="S51" s="68"/>
      <c r="T51" s="68"/>
      <c r="U51" s="68"/>
      <c r="V51" s="54">
        <v>2.5</v>
      </c>
      <c r="W51" s="54">
        <v>10</v>
      </c>
      <c r="X51" s="66">
        <v>564.54</v>
      </c>
      <c r="Y51" s="56">
        <f t="shared" si="0"/>
        <v>485.50439999999998</v>
      </c>
      <c r="Z51" s="58">
        <f t="shared" si="1"/>
        <v>48.550439999999995</v>
      </c>
      <c r="AA51" s="30">
        <f>Y51/10</f>
        <v>48.550439999999995</v>
      </c>
      <c r="AB51" s="233" t="s">
        <v>148</v>
      </c>
      <c r="AC51" s="59"/>
      <c r="AD51" s="59"/>
      <c r="AE51" s="59"/>
      <c r="AF51" s="32">
        <f>Z51/AP51</f>
        <v>1.2793264822134385</v>
      </c>
      <c r="AG51" s="60"/>
      <c r="AH51" s="78">
        <f>AA51/AP51</f>
        <v>1.2793264822134385</v>
      </c>
      <c r="AI51" s="79">
        <f>AA51/AQ51</f>
        <v>1.2793264822134385</v>
      </c>
      <c r="AJ51" s="76"/>
      <c r="AK51" s="84"/>
      <c r="AL51" s="84"/>
      <c r="AM51" s="37">
        <v>0.14000000000000001</v>
      </c>
      <c r="AN51" s="38">
        <f t="shared" si="2"/>
        <v>79.035600000000002</v>
      </c>
      <c r="AP51" s="39">
        <v>37.950000000000003</v>
      </c>
      <c r="AQ51" s="39">
        <v>37.950000000000003</v>
      </c>
      <c r="AR51" s="39"/>
    </row>
    <row r="52" spans="1:46" ht="9" customHeight="1" thickTop="1" x14ac:dyDescent="0.35">
      <c r="G52" s="69"/>
      <c r="H52" s="69"/>
      <c r="I52" s="69"/>
      <c r="J52" s="69"/>
      <c r="K52" s="69"/>
      <c r="L52" s="69"/>
      <c r="O52" s="64"/>
      <c r="P52" s="64"/>
      <c r="Q52" s="64"/>
      <c r="R52" s="64"/>
      <c r="S52" s="64"/>
      <c r="T52" s="64"/>
    </row>
    <row r="53" spans="1:46" ht="15" x14ac:dyDescent="0.35">
      <c r="A53" s="70" t="s">
        <v>132</v>
      </c>
      <c r="B53" s="70"/>
      <c r="C53" s="70"/>
      <c r="D53" s="70"/>
      <c r="E53" s="70"/>
      <c r="G53" s="69"/>
      <c r="H53" s="69"/>
      <c r="I53" s="69"/>
      <c r="J53" s="69"/>
      <c r="K53" s="69"/>
      <c r="L53" s="69"/>
      <c r="O53" s="64"/>
      <c r="P53" s="64"/>
      <c r="Q53" s="64"/>
      <c r="R53" s="64"/>
      <c r="S53" s="64"/>
      <c r="T53" s="64"/>
    </row>
    <row r="54" spans="1:46" ht="15" x14ac:dyDescent="0.35">
      <c r="A54" s="70" t="s">
        <v>133</v>
      </c>
      <c r="B54" s="70"/>
      <c r="C54" s="70"/>
      <c r="D54" s="70"/>
      <c r="E54" s="70"/>
      <c r="G54" s="69"/>
      <c r="H54" s="69"/>
      <c r="I54" s="69"/>
      <c r="J54" s="69"/>
      <c r="K54" s="69"/>
      <c r="L54" s="69"/>
      <c r="O54" s="64"/>
      <c r="P54" s="64"/>
      <c r="Q54" s="64"/>
      <c r="R54" s="64"/>
      <c r="S54" s="64"/>
      <c r="T54" s="64"/>
    </row>
    <row r="55" spans="1:46" ht="15" x14ac:dyDescent="0.35">
      <c r="A55" s="70" t="s">
        <v>134</v>
      </c>
      <c r="B55" s="70"/>
      <c r="C55" s="70"/>
      <c r="D55" s="70"/>
      <c r="E55" s="70"/>
      <c r="G55" s="69"/>
      <c r="H55" s="69"/>
      <c r="I55" s="69"/>
      <c r="J55" s="69"/>
      <c r="K55" s="69"/>
      <c r="L55" s="69"/>
      <c r="O55" s="64"/>
      <c r="P55" s="64"/>
      <c r="Q55" s="64"/>
      <c r="R55" s="64"/>
      <c r="S55" s="64"/>
      <c r="T55" s="64"/>
    </row>
    <row r="56" spans="1:46" x14ac:dyDescent="0.35">
      <c r="G56" s="69"/>
      <c r="H56" s="69"/>
      <c r="I56" s="69"/>
      <c r="J56" s="69"/>
      <c r="K56" s="69"/>
      <c r="L56" s="69"/>
      <c r="O56" s="64"/>
      <c r="P56" s="64"/>
      <c r="Q56" s="64"/>
      <c r="R56" s="64"/>
      <c r="S56" s="64"/>
      <c r="T56" s="64"/>
    </row>
    <row r="57" spans="1:46" ht="63.75" customHeight="1" x14ac:dyDescent="0.35">
      <c r="A57" s="247" t="s">
        <v>135</v>
      </c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</row>
    <row r="58" spans="1:46" ht="15.75" customHeight="1" x14ac:dyDescent="0.35">
      <c r="A58" s="248" t="s">
        <v>136</v>
      </c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</row>
    <row r="59" spans="1:46" x14ac:dyDescent="0.35">
      <c r="A59" s="248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</row>
    <row r="60" spans="1:46" x14ac:dyDescent="0.35">
      <c r="A60" s="248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</row>
    <row r="61" spans="1:46" x14ac:dyDescent="0.35">
      <c r="A61" s="248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</row>
    <row r="62" spans="1:46" x14ac:dyDescent="0.35">
      <c r="A62" s="248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</row>
    <row r="63" spans="1:46" x14ac:dyDescent="0.35">
      <c r="A63" s="248"/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</row>
    <row r="64" spans="1:46" x14ac:dyDescent="0.35">
      <c r="A64" s="248"/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</row>
    <row r="65" spans="7:12" x14ac:dyDescent="0.35">
      <c r="G65" s="69"/>
      <c r="H65" s="69"/>
      <c r="I65" s="69"/>
      <c r="J65" s="69"/>
      <c r="K65" s="69"/>
      <c r="L65" s="69"/>
    </row>
    <row r="66" spans="7:12" x14ac:dyDescent="0.35">
      <c r="G66" s="69"/>
      <c r="H66" s="69"/>
      <c r="I66" s="69"/>
      <c r="J66" s="69"/>
      <c r="K66" s="69"/>
      <c r="L66" s="69"/>
    </row>
  </sheetData>
  <autoFilter ref="A3:AT51" xr:uid="{00000000-0009-0000-0000-000000000000}"/>
  <mergeCells count="3">
    <mergeCell ref="H2:U2"/>
    <mergeCell ref="A57:X57"/>
    <mergeCell ref="A58:X64"/>
  </mergeCells>
  <pageMargins left="0.25" right="0.25" top="0.75" bottom="0.75" header="0.3" footer="0.3"/>
  <pageSetup paperSize="8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41754-D11F-4D65-B3EB-5048C7EC45A3}">
  <sheetPr filterMode="1">
    <pageSetUpPr fitToPage="1"/>
  </sheetPr>
  <dimension ref="A1:AU66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23" sqref="AL23"/>
    </sheetView>
  </sheetViews>
  <sheetFormatPr defaultRowHeight="14.5" x14ac:dyDescent="0.35"/>
  <cols>
    <col min="1" max="1" width="21.90625" customWidth="1"/>
    <col min="2" max="2" width="8.26953125" customWidth="1"/>
    <col min="3" max="3" width="0.1796875" hidden="1" customWidth="1"/>
    <col min="4" max="4" width="10" hidden="1" customWidth="1"/>
    <col min="5" max="5" width="9.453125" hidden="1" customWidth="1"/>
    <col min="6" max="6" width="12.1796875" customWidth="1"/>
    <col min="7" max="7" width="8.7265625" customWidth="1"/>
    <col min="8" max="8" width="7.7265625" hidden="1" customWidth="1"/>
    <col min="9" max="9" width="12.26953125" hidden="1" customWidth="1"/>
    <col min="10" max="10" width="15.26953125" hidden="1" customWidth="1"/>
    <col min="11" max="11" width="20.81640625" hidden="1" customWidth="1"/>
    <col min="12" max="12" width="14.26953125" hidden="1" customWidth="1"/>
    <col min="13" max="13" width="9.7265625" hidden="1" customWidth="1"/>
    <col min="14" max="14" width="12.1796875" hidden="1" customWidth="1"/>
    <col min="15" max="15" width="12.54296875" hidden="1" customWidth="1"/>
    <col min="16" max="16" width="11.36328125" hidden="1" customWidth="1"/>
    <col min="17" max="17" width="11.36328125" customWidth="1"/>
    <col min="18" max="18" width="13.08984375" customWidth="1"/>
    <col min="19" max="19" width="0.1796875" hidden="1" customWidth="1"/>
    <col min="20" max="20" width="12.7265625" hidden="1" customWidth="1"/>
    <col min="21" max="21" width="10.54296875" customWidth="1"/>
    <col min="22" max="22" width="5" hidden="1" customWidth="1"/>
    <col min="23" max="23" width="0.453125" hidden="1" customWidth="1"/>
    <col min="24" max="24" width="11.81640625" customWidth="1"/>
    <col min="25" max="25" width="11.453125" customWidth="1"/>
    <col min="26" max="27" width="0.1796875" hidden="1" customWidth="1"/>
    <col min="28" max="28" width="10.453125" customWidth="1"/>
    <col min="29" max="29" width="13.36328125" customWidth="1"/>
    <col min="30" max="30" width="12" hidden="1" customWidth="1"/>
    <col min="31" max="31" width="12.81640625" customWidth="1"/>
    <col min="32" max="32" width="8.81640625" hidden="1" customWidth="1"/>
    <col min="33" max="33" width="13.1796875" hidden="1" customWidth="1"/>
    <col min="34" max="34" width="11.453125" hidden="1" customWidth="1"/>
    <col min="35" max="35" width="11.81640625" hidden="1" customWidth="1"/>
    <col min="36" max="36" width="12" hidden="1" customWidth="1"/>
    <col min="37" max="37" width="13.7265625" customWidth="1"/>
    <col min="38" max="38" width="13.54296875" customWidth="1"/>
    <col min="39" max="40" width="6.81640625" customWidth="1"/>
    <col min="41" max="41" width="1.81640625" customWidth="1"/>
    <col min="42" max="44" width="11.453125" hidden="1" customWidth="1"/>
    <col min="45" max="45" width="10.54296875" customWidth="1"/>
    <col min="46" max="46" width="10.7265625" customWidth="1"/>
  </cols>
  <sheetData>
    <row r="1" spans="1:47" ht="5.25" customHeight="1" x14ac:dyDescent="0.35"/>
    <row r="2" spans="1:47" ht="24" customHeight="1" thickBot="1" x14ac:dyDescent="0.4">
      <c r="H2" s="244" t="s">
        <v>0</v>
      </c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6"/>
    </row>
    <row r="3" spans="1:47" ht="67" customHeight="1" thickTop="1" thickBot="1" x14ac:dyDescent="0.4">
      <c r="A3" s="1" t="s">
        <v>1</v>
      </c>
      <c r="B3" s="1" t="s">
        <v>139</v>
      </c>
      <c r="C3" s="1" t="s">
        <v>140</v>
      </c>
      <c r="D3" s="1" t="s">
        <v>142</v>
      </c>
      <c r="E3" s="2" t="s">
        <v>141</v>
      </c>
      <c r="F3" s="1" t="s">
        <v>2</v>
      </c>
      <c r="G3" s="2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5" t="s">
        <v>9</v>
      </c>
      <c r="N3" s="5" t="s">
        <v>10</v>
      </c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  <c r="U3" s="3" t="s">
        <v>17</v>
      </c>
      <c r="V3" s="1" t="s">
        <v>18</v>
      </c>
      <c r="W3" s="1" t="s">
        <v>19</v>
      </c>
      <c r="X3" s="7" t="s">
        <v>413</v>
      </c>
      <c r="Y3" s="8" t="s">
        <v>414</v>
      </c>
      <c r="Z3" s="9" t="s">
        <v>20</v>
      </c>
      <c r="AA3" s="10" t="s">
        <v>21</v>
      </c>
      <c r="AB3" s="73" t="s">
        <v>143</v>
      </c>
      <c r="AC3" s="11" t="s">
        <v>416</v>
      </c>
      <c r="AD3" s="11" t="s">
        <v>23</v>
      </c>
      <c r="AE3" s="11" t="s">
        <v>418</v>
      </c>
      <c r="AF3" s="12" t="s">
        <v>25</v>
      </c>
      <c r="AG3" s="13" t="s">
        <v>26</v>
      </c>
      <c r="AH3" s="14" t="s">
        <v>149</v>
      </c>
      <c r="AI3" s="14" t="s">
        <v>150</v>
      </c>
      <c r="AJ3" s="74" t="s">
        <v>151</v>
      </c>
      <c r="AK3" s="108" t="s">
        <v>27</v>
      </c>
      <c r="AL3" s="108" t="s">
        <v>28</v>
      </c>
      <c r="AM3" s="15" t="s">
        <v>29</v>
      </c>
      <c r="AN3" s="16"/>
      <c r="AO3" s="16"/>
      <c r="AP3" s="17" t="s">
        <v>30</v>
      </c>
      <c r="AQ3" s="17" t="s">
        <v>31</v>
      </c>
      <c r="AR3" s="75" t="s">
        <v>146</v>
      </c>
      <c r="AS3" s="109" t="s">
        <v>32</v>
      </c>
      <c r="AT3" s="109" t="s">
        <v>33</v>
      </c>
      <c r="AU3" s="18"/>
    </row>
    <row r="4" spans="1:47" ht="40.5" hidden="1" customHeight="1" thickTop="1" thickBot="1" x14ac:dyDescent="0.4">
      <c r="A4" s="19" t="s">
        <v>34</v>
      </c>
      <c r="B4" s="19">
        <v>130521</v>
      </c>
      <c r="C4" s="19">
        <v>185.89</v>
      </c>
      <c r="D4" s="19">
        <v>525.95000000000005</v>
      </c>
      <c r="E4" s="19">
        <v>152.76</v>
      </c>
      <c r="F4" s="20" t="s">
        <v>35</v>
      </c>
      <c r="G4" s="21" t="s">
        <v>36</v>
      </c>
      <c r="H4" s="22" t="s">
        <v>37</v>
      </c>
      <c r="I4" s="23" t="s">
        <v>38</v>
      </c>
      <c r="J4" s="24" t="s">
        <v>39</v>
      </c>
      <c r="K4" s="22"/>
      <c r="L4" s="23" t="s">
        <v>40</v>
      </c>
      <c r="M4" s="22" t="s">
        <v>37</v>
      </c>
      <c r="N4" s="23" t="s">
        <v>40</v>
      </c>
      <c r="O4" s="25"/>
      <c r="P4" s="25"/>
      <c r="Q4" s="25"/>
      <c r="R4" s="25"/>
      <c r="S4" s="25"/>
      <c r="T4" s="25"/>
      <c r="U4" s="25"/>
      <c r="V4" s="26">
        <v>3500</v>
      </c>
      <c r="W4" s="27">
        <v>7.14</v>
      </c>
      <c r="X4" s="94">
        <v>348.47</v>
      </c>
      <c r="Y4" s="29">
        <f t="shared" ref="Y4:Y51" si="0">X4-AN4</f>
        <v>348.47</v>
      </c>
      <c r="Z4" s="30">
        <f t="shared" ref="Z4:Z51" si="1">Y4/W4</f>
        <v>48.805322128851543</v>
      </c>
      <c r="AA4" s="30">
        <f>Y4/10</f>
        <v>34.847000000000001</v>
      </c>
      <c r="AB4" s="96" t="s">
        <v>144</v>
      </c>
      <c r="AC4" s="31"/>
      <c r="AD4" s="31"/>
      <c r="AE4" s="31"/>
      <c r="AF4" s="32" t="e">
        <f>Z4/AP4</f>
        <v>#DIV/0!</v>
      </c>
      <c r="AG4" s="33"/>
      <c r="AH4" s="76"/>
      <c r="AI4" s="76"/>
      <c r="AJ4" s="77">
        <f>AA4/AR4</f>
        <v>1.4598659405111019</v>
      </c>
      <c r="AK4" s="87"/>
      <c r="AL4" s="87"/>
      <c r="AM4" s="37">
        <v>0</v>
      </c>
      <c r="AN4" s="38">
        <f t="shared" ref="AN4:AN51" si="2">AM4*X4</f>
        <v>0</v>
      </c>
      <c r="AP4" s="39"/>
      <c r="AQ4" s="39"/>
      <c r="AR4" s="39">
        <v>23.87</v>
      </c>
    </row>
    <row r="5" spans="1:47" ht="42" hidden="1" customHeight="1" thickTop="1" thickBot="1" x14ac:dyDescent="0.4">
      <c r="A5" s="19" t="s">
        <v>41</v>
      </c>
      <c r="B5" s="19">
        <v>130526</v>
      </c>
      <c r="C5" s="19">
        <v>195.83</v>
      </c>
      <c r="D5" s="19">
        <v>736.33</v>
      </c>
      <c r="E5" s="19">
        <v>102.09</v>
      </c>
      <c r="F5" s="20" t="s">
        <v>42</v>
      </c>
      <c r="G5" s="21" t="s">
        <v>36</v>
      </c>
      <c r="H5" s="22" t="s">
        <v>37</v>
      </c>
      <c r="I5" s="23" t="s">
        <v>43</v>
      </c>
      <c r="J5" s="22"/>
      <c r="K5" s="24" t="s">
        <v>39</v>
      </c>
      <c r="L5" s="23" t="s">
        <v>40</v>
      </c>
      <c r="M5" s="22" t="s">
        <v>37</v>
      </c>
      <c r="N5" s="23" t="s">
        <v>40</v>
      </c>
      <c r="O5" s="25"/>
      <c r="P5" s="25"/>
      <c r="Q5" s="25"/>
      <c r="R5" s="25"/>
      <c r="S5" s="25"/>
      <c r="T5" s="25"/>
      <c r="U5" s="25"/>
      <c r="V5" s="26">
        <v>3500</v>
      </c>
      <c r="W5" s="27">
        <v>10</v>
      </c>
      <c r="X5" s="94">
        <v>373.27</v>
      </c>
      <c r="Y5" s="29">
        <f t="shared" si="0"/>
        <v>373.27</v>
      </c>
      <c r="Z5" s="30">
        <f t="shared" si="1"/>
        <v>37.326999999999998</v>
      </c>
      <c r="AA5" s="30">
        <f>Y5/10</f>
        <v>37.326999999999998</v>
      </c>
      <c r="AB5" s="97" t="s">
        <v>145</v>
      </c>
      <c r="AC5" s="31"/>
      <c r="AD5" s="31"/>
      <c r="AE5" s="31"/>
      <c r="AF5" s="32" t="e">
        <f>Z5/AP5</f>
        <v>#DIV/0!</v>
      </c>
      <c r="AG5" s="33"/>
      <c r="AH5" s="76"/>
      <c r="AI5" s="76"/>
      <c r="AJ5" s="77">
        <f>AA5/AR5</f>
        <v>1.5637620444072056</v>
      </c>
      <c r="AK5" s="87"/>
      <c r="AL5" s="87"/>
      <c r="AM5" s="37">
        <v>0</v>
      </c>
      <c r="AN5" s="38">
        <f t="shared" si="2"/>
        <v>0</v>
      </c>
      <c r="AP5" s="39"/>
      <c r="AQ5" s="39"/>
      <c r="AR5" s="39">
        <v>23.87</v>
      </c>
    </row>
    <row r="6" spans="1:47" ht="42.75" hidden="1" customHeight="1" thickTop="1" thickBot="1" x14ac:dyDescent="0.4">
      <c r="A6" s="19" t="s">
        <v>44</v>
      </c>
      <c r="B6" s="19">
        <v>107605</v>
      </c>
      <c r="C6" s="19">
        <v>210.84</v>
      </c>
      <c r="D6" s="19">
        <v>1004.04</v>
      </c>
      <c r="E6" s="19">
        <v>65.64</v>
      </c>
      <c r="F6" s="20" t="s">
        <v>45</v>
      </c>
      <c r="G6" s="21" t="s">
        <v>36</v>
      </c>
      <c r="H6" s="22"/>
      <c r="I6" s="22"/>
      <c r="J6" s="22"/>
      <c r="K6" s="22"/>
      <c r="L6" s="22"/>
      <c r="M6" s="22" t="s">
        <v>37</v>
      </c>
      <c r="N6" s="40"/>
      <c r="O6" s="41" t="s">
        <v>46</v>
      </c>
      <c r="P6" s="24"/>
      <c r="Q6" s="24"/>
      <c r="R6" s="24"/>
      <c r="S6" s="24"/>
      <c r="T6" s="24"/>
      <c r="U6" s="24"/>
      <c r="V6" s="26">
        <v>8625</v>
      </c>
      <c r="W6" s="27">
        <v>5.8</v>
      </c>
      <c r="X6" s="94">
        <v>635.91</v>
      </c>
      <c r="Y6" s="29">
        <f t="shared" si="0"/>
        <v>635.91</v>
      </c>
      <c r="Z6" s="30">
        <f t="shared" si="1"/>
        <v>109.6396551724138</v>
      </c>
      <c r="AA6" s="30"/>
      <c r="AB6" s="98"/>
      <c r="AC6" s="31">
        <f>Y6/10</f>
        <v>63.590999999999994</v>
      </c>
      <c r="AD6" s="31"/>
      <c r="AE6" s="31"/>
      <c r="AF6" s="31"/>
      <c r="AG6" s="42"/>
      <c r="AH6" s="88"/>
      <c r="AI6" s="88"/>
      <c r="AJ6" s="88"/>
      <c r="AK6" s="88"/>
      <c r="AL6" s="88"/>
      <c r="AM6" s="37">
        <v>0</v>
      </c>
      <c r="AN6" s="38">
        <f t="shared" si="2"/>
        <v>0</v>
      </c>
      <c r="AP6" s="39"/>
      <c r="AQ6" s="39"/>
      <c r="AR6" s="39"/>
      <c r="AS6" s="39"/>
    </row>
    <row r="7" spans="1:47" ht="42.75" hidden="1" customHeight="1" thickTop="1" thickBot="1" x14ac:dyDescent="0.4">
      <c r="A7" s="19" t="s">
        <v>47</v>
      </c>
      <c r="B7" s="19"/>
      <c r="C7" s="19"/>
      <c r="D7" s="19"/>
      <c r="E7" s="19"/>
      <c r="F7" s="20" t="s">
        <v>45</v>
      </c>
      <c r="G7" s="21" t="s">
        <v>36</v>
      </c>
      <c r="H7" s="22"/>
      <c r="I7" s="22"/>
      <c r="J7" s="22"/>
      <c r="K7" s="22"/>
      <c r="L7" s="22"/>
      <c r="M7" s="22" t="s">
        <v>37</v>
      </c>
      <c r="N7" s="40"/>
      <c r="O7" s="41" t="s">
        <v>46</v>
      </c>
      <c r="P7" s="24"/>
      <c r="Q7" s="24"/>
      <c r="R7" s="24"/>
      <c r="S7" s="24"/>
      <c r="T7" s="24"/>
      <c r="U7" s="24"/>
      <c r="V7" s="26">
        <v>8625</v>
      </c>
      <c r="W7" s="27">
        <v>1.1599999999999999</v>
      </c>
      <c r="X7" s="28"/>
      <c r="Y7" s="29">
        <f t="shared" si="0"/>
        <v>0</v>
      </c>
      <c r="Z7" s="30">
        <f t="shared" si="1"/>
        <v>0</v>
      </c>
      <c r="AA7" s="30"/>
      <c r="AB7" s="30"/>
      <c r="AC7" s="31">
        <f>Y7/2</f>
        <v>0</v>
      </c>
      <c r="AD7" s="31"/>
      <c r="AE7" s="31"/>
      <c r="AF7" s="31"/>
      <c r="AG7" s="42"/>
      <c r="AH7" s="43"/>
      <c r="AI7" s="43"/>
      <c r="AJ7" s="43"/>
      <c r="AK7" s="43"/>
      <c r="AL7" s="43"/>
      <c r="AM7" s="37">
        <v>0</v>
      </c>
      <c r="AN7" s="38">
        <f t="shared" si="2"/>
        <v>0</v>
      </c>
      <c r="AS7" s="39"/>
    </row>
    <row r="8" spans="1:47" ht="43.5" hidden="1" customHeight="1" thickTop="1" thickBot="1" x14ac:dyDescent="0.4">
      <c r="A8" s="19" t="s">
        <v>48</v>
      </c>
      <c r="B8" s="19">
        <v>108382</v>
      </c>
      <c r="C8" s="19">
        <v>284.02</v>
      </c>
      <c r="D8" s="19">
        <v>1506.09</v>
      </c>
      <c r="E8" s="19">
        <v>75.55</v>
      </c>
      <c r="F8" s="20" t="s">
        <v>45</v>
      </c>
      <c r="G8" s="21" t="s">
        <v>36</v>
      </c>
      <c r="H8" s="22"/>
      <c r="I8" s="22"/>
      <c r="J8" s="22"/>
      <c r="K8" s="22"/>
      <c r="L8" s="22"/>
      <c r="M8" s="22" t="s">
        <v>37</v>
      </c>
      <c r="N8" s="40"/>
      <c r="O8" s="24"/>
      <c r="P8" s="41" t="s">
        <v>46</v>
      </c>
      <c r="Q8" s="24"/>
      <c r="R8" s="24"/>
      <c r="S8" s="41" t="s">
        <v>49</v>
      </c>
      <c r="T8" s="41" t="s">
        <v>50</v>
      </c>
      <c r="U8" s="24"/>
      <c r="V8" s="26">
        <v>8625</v>
      </c>
      <c r="W8" s="27">
        <v>8.6999999999999993</v>
      </c>
      <c r="X8" s="94">
        <v>897.01</v>
      </c>
      <c r="Y8" s="29">
        <f t="shared" si="0"/>
        <v>897.01</v>
      </c>
      <c r="Z8" s="30">
        <f t="shared" si="1"/>
        <v>103.10459770114943</v>
      </c>
      <c r="AA8" s="30"/>
      <c r="AB8" s="98"/>
      <c r="AC8" s="31">
        <f>Y8/10</f>
        <v>89.700999999999993</v>
      </c>
      <c r="AD8" s="31">
        <f>Y8/5</f>
        <v>179.40199999999999</v>
      </c>
      <c r="AE8" s="31"/>
      <c r="AF8" s="31"/>
      <c r="AG8" s="42"/>
      <c r="AH8" s="88"/>
      <c r="AI8" s="88"/>
      <c r="AJ8" s="88"/>
      <c r="AK8" s="88"/>
      <c r="AL8" s="88"/>
      <c r="AM8" s="37">
        <v>0</v>
      </c>
      <c r="AN8" s="38">
        <f t="shared" si="2"/>
        <v>0</v>
      </c>
      <c r="AP8" s="39"/>
      <c r="AQ8" s="39"/>
      <c r="AR8" s="39"/>
      <c r="AS8" s="39"/>
    </row>
    <row r="9" spans="1:47" ht="41.5" customHeight="1" thickTop="1" thickBot="1" x14ac:dyDescent="0.4">
      <c r="A9" s="19" t="s">
        <v>51</v>
      </c>
      <c r="B9" s="19">
        <v>107612</v>
      </c>
      <c r="C9" s="19">
        <v>520.75</v>
      </c>
      <c r="D9" s="19">
        <v>2008.14</v>
      </c>
      <c r="E9" s="19">
        <v>81.290000000000006</v>
      </c>
      <c r="F9" s="20" t="s">
        <v>45</v>
      </c>
      <c r="G9" s="21" t="s">
        <v>36</v>
      </c>
      <c r="H9" s="22"/>
      <c r="I9" s="22"/>
      <c r="J9" s="22"/>
      <c r="K9" s="22"/>
      <c r="L9" s="22"/>
      <c r="M9" s="22" t="s">
        <v>37</v>
      </c>
      <c r="N9" s="40"/>
      <c r="O9" s="24"/>
      <c r="P9" s="24"/>
      <c r="Q9" s="41" t="s">
        <v>46</v>
      </c>
      <c r="R9" s="41" t="s">
        <v>52</v>
      </c>
      <c r="S9" s="24"/>
      <c r="T9" s="24"/>
      <c r="U9" s="24"/>
      <c r="V9" s="26">
        <v>8625</v>
      </c>
      <c r="W9" s="44">
        <v>11.59</v>
      </c>
      <c r="X9" s="94">
        <v>1202.6600000000001</v>
      </c>
      <c r="Y9" s="29">
        <f t="shared" si="0"/>
        <v>1202.6600000000001</v>
      </c>
      <c r="Z9" s="30">
        <f t="shared" si="1"/>
        <v>103.76704055220019</v>
      </c>
      <c r="AA9" s="30"/>
      <c r="AB9" s="98"/>
      <c r="AC9" s="106">
        <f>Y9/10</f>
        <v>120.26600000000001</v>
      </c>
      <c r="AD9" s="31"/>
      <c r="AE9" s="31"/>
      <c r="AF9" s="31"/>
      <c r="AG9" s="42"/>
      <c r="AH9" s="88"/>
      <c r="AI9" s="88"/>
      <c r="AJ9" s="88"/>
      <c r="AK9" s="286">
        <f>AC9/AS9</f>
        <v>0.99996674149829556</v>
      </c>
      <c r="AL9" s="88"/>
      <c r="AM9" s="37">
        <v>0</v>
      </c>
      <c r="AN9" s="38">
        <f t="shared" si="2"/>
        <v>0</v>
      </c>
      <c r="AP9" s="39"/>
      <c r="AQ9" s="39"/>
      <c r="AR9" s="39"/>
      <c r="AS9" s="39">
        <v>120.27</v>
      </c>
    </row>
    <row r="10" spans="1:47" ht="41" hidden="1" customHeight="1" thickTop="1" thickBot="1" x14ac:dyDescent="0.4">
      <c r="A10" s="19" t="s">
        <v>53</v>
      </c>
      <c r="B10" s="19"/>
      <c r="C10" s="19"/>
      <c r="D10" s="19"/>
      <c r="E10" s="19"/>
      <c r="F10" s="20" t="s">
        <v>45</v>
      </c>
      <c r="G10" s="21" t="s">
        <v>36</v>
      </c>
      <c r="H10" s="22"/>
      <c r="I10" s="22"/>
      <c r="J10" s="22"/>
      <c r="K10" s="22"/>
      <c r="L10" s="22"/>
      <c r="M10" s="22" t="s">
        <v>37</v>
      </c>
      <c r="N10" s="40"/>
      <c r="O10" s="24"/>
      <c r="P10" s="24"/>
      <c r="Q10" s="41" t="s">
        <v>46</v>
      </c>
      <c r="R10" s="41" t="s">
        <v>52</v>
      </c>
      <c r="S10" s="24"/>
      <c r="T10" s="24"/>
      <c r="U10" s="24"/>
      <c r="V10" s="26">
        <v>8625</v>
      </c>
      <c r="W10" s="44">
        <v>2.3199999999999998</v>
      </c>
      <c r="X10" s="28"/>
      <c r="Y10" s="29">
        <f t="shared" si="0"/>
        <v>0</v>
      </c>
      <c r="Z10" s="30">
        <f t="shared" si="1"/>
        <v>0</v>
      </c>
      <c r="AA10" s="30"/>
      <c r="AB10" s="30"/>
      <c r="AC10" s="31">
        <f>Y10/2</f>
        <v>0</v>
      </c>
      <c r="AD10" s="31"/>
      <c r="AE10" s="31"/>
      <c r="AF10" s="31"/>
      <c r="AG10" s="42"/>
      <c r="AH10" s="43"/>
      <c r="AI10" s="43"/>
      <c r="AJ10" s="43"/>
      <c r="AK10" s="45">
        <f>AC10/AS10</f>
        <v>0</v>
      </c>
      <c r="AL10" s="43"/>
      <c r="AM10" s="37">
        <v>0</v>
      </c>
      <c r="AN10" s="38">
        <f t="shared" si="2"/>
        <v>0</v>
      </c>
      <c r="AS10" s="39">
        <v>106.94</v>
      </c>
    </row>
    <row r="11" spans="1:47" ht="39" hidden="1" customHeight="1" thickTop="1" thickBot="1" x14ac:dyDescent="0.4">
      <c r="A11" s="19" t="s">
        <v>54</v>
      </c>
      <c r="B11" s="19">
        <v>848783</v>
      </c>
      <c r="C11" s="19">
        <v>66.09</v>
      </c>
      <c r="D11" s="19">
        <v>368.16</v>
      </c>
      <c r="E11" s="19">
        <v>46.2</v>
      </c>
      <c r="F11" s="20" t="s">
        <v>55</v>
      </c>
      <c r="G11" s="21" t="s">
        <v>56</v>
      </c>
      <c r="H11" s="22" t="s">
        <v>37</v>
      </c>
      <c r="I11" s="23" t="s">
        <v>57</v>
      </c>
      <c r="J11" s="24" t="s">
        <v>39</v>
      </c>
      <c r="K11" s="22"/>
      <c r="L11" s="22"/>
      <c r="M11" s="22" t="s">
        <v>37</v>
      </c>
      <c r="N11" s="23" t="s">
        <v>40</v>
      </c>
      <c r="O11" s="46"/>
      <c r="P11" s="46"/>
      <c r="Q11" s="46"/>
      <c r="R11" s="46"/>
      <c r="S11" s="46"/>
      <c r="T11" s="46"/>
      <c r="U11" s="46" t="s">
        <v>37</v>
      </c>
      <c r="V11" s="47">
        <v>4000</v>
      </c>
      <c r="W11" s="44">
        <v>5</v>
      </c>
      <c r="X11" s="28">
        <v>348.27</v>
      </c>
      <c r="Y11" s="29">
        <f t="shared" si="0"/>
        <v>348.27</v>
      </c>
      <c r="Z11" s="30">
        <f t="shared" si="1"/>
        <v>69.653999999999996</v>
      </c>
      <c r="AA11" s="30">
        <f>Y11/10</f>
        <v>34.826999999999998</v>
      </c>
      <c r="AB11" s="99" t="s">
        <v>144</v>
      </c>
      <c r="AC11" s="31"/>
      <c r="AD11" s="31"/>
      <c r="AE11" s="31"/>
      <c r="AF11" s="32" t="e">
        <f>Z11/AP11</f>
        <v>#DIV/0!</v>
      </c>
      <c r="AG11" s="33"/>
      <c r="AH11" s="76"/>
      <c r="AI11" s="76"/>
      <c r="AJ11" s="77">
        <f>AA11/AR11</f>
        <v>1.459028068705488</v>
      </c>
      <c r="AK11" s="87"/>
      <c r="AL11" s="87"/>
      <c r="AM11" s="37">
        <v>0</v>
      </c>
      <c r="AN11" s="38">
        <f t="shared" si="2"/>
        <v>0</v>
      </c>
      <c r="AP11" s="39"/>
      <c r="AQ11" s="39"/>
      <c r="AR11" s="39">
        <v>23.87</v>
      </c>
    </row>
    <row r="12" spans="1:47" ht="38.25" hidden="1" customHeight="1" thickTop="1" thickBot="1" x14ac:dyDescent="0.4">
      <c r="A12" s="19" t="s">
        <v>58</v>
      </c>
      <c r="B12" s="19">
        <v>125286</v>
      </c>
      <c r="C12" s="19"/>
      <c r="D12" s="19"/>
      <c r="E12" s="19">
        <v>0</v>
      </c>
      <c r="F12" s="20" t="s">
        <v>55</v>
      </c>
      <c r="G12" s="21" t="s">
        <v>56</v>
      </c>
      <c r="H12" s="22" t="s">
        <v>37</v>
      </c>
      <c r="I12" s="23" t="s">
        <v>57</v>
      </c>
      <c r="J12" s="24" t="s">
        <v>39</v>
      </c>
      <c r="K12" s="22"/>
      <c r="L12" s="22"/>
      <c r="M12" s="22" t="s">
        <v>37</v>
      </c>
      <c r="N12" s="23" t="s">
        <v>40</v>
      </c>
      <c r="O12" s="46"/>
      <c r="P12" s="46"/>
      <c r="Q12" s="46"/>
      <c r="R12" s="46"/>
      <c r="S12" s="46"/>
      <c r="T12" s="46"/>
      <c r="U12" s="46" t="s">
        <v>37</v>
      </c>
      <c r="V12" s="47">
        <v>4000</v>
      </c>
      <c r="W12" s="44">
        <v>25</v>
      </c>
      <c r="X12" s="28">
        <v>1315.6</v>
      </c>
      <c r="Y12" s="29">
        <f t="shared" si="0"/>
        <v>1315.6</v>
      </c>
      <c r="Z12" s="30">
        <f t="shared" si="1"/>
        <v>52.623999999999995</v>
      </c>
      <c r="AA12" s="30">
        <f>Y12/50</f>
        <v>26.311999999999998</v>
      </c>
      <c r="AB12" s="30"/>
      <c r="AC12" s="31"/>
      <c r="AD12" s="31"/>
      <c r="AE12" s="31"/>
      <c r="AF12" s="32" t="e">
        <f>Z12/AP12</f>
        <v>#DIV/0!</v>
      </c>
      <c r="AG12" s="33"/>
      <c r="AH12" s="34" t="e">
        <f t="shared" ref="AH12:AH14" si="3">AA12/AP12</f>
        <v>#DIV/0!</v>
      </c>
      <c r="AI12" s="35" t="e">
        <f t="shared" ref="AI12:AI14" si="4">AA12/AQ12</f>
        <v>#DIV/0!</v>
      </c>
      <c r="AJ12" s="35"/>
      <c r="AK12" s="36"/>
      <c r="AL12" s="36"/>
      <c r="AM12" s="37">
        <v>0</v>
      </c>
      <c r="AN12" s="38">
        <f t="shared" si="2"/>
        <v>0</v>
      </c>
      <c r="AP12" s="39"/>
      <c r="AQ12" s="39"/>
      <c r="AR12" s="39"/>
    </row>
    <row r="13" spans="1:47" ht="44.25" hidden="1" customHeight="1" thickTop="1" thickBot="1" x14ac:dyDescent="0.4">
      <c r="A13" s="19" t="s">
        <v>59</v>
      </c>
      <c r="B13" s="19">
        <v>847085</v>
      </c>
      <c r="C13" s="19">
        <v>87.97</v>
      </c>
      <c r="D13" s="19">
        <v>736.33</v>
      </c>
      <c r="E13" s="19">
        <v>0</v>
      </c>
      <c r="F13" s="20" t="s">
        <v>55</v>
      </c>
      <c r="G13" s="21" t="s">
        <v>56</v>
      </c>
      <c r="H13" s="22" t="s">
        <v>37</v>
      </c>
      <c r="I13" s="23" t="s">
        <v>57</v>
      </c>
      <c r="J13" s="22"/>
      <c r="K13" s="24" t="s">
        <v>39</v>
      </c>
      <c r="L13" s="24" t="s">
        <v>39</v>
      </c>
      <c r="M13" s="22" t="s">
        <v>37</v>
      </c>
      <c r="N13" s="23" t="s">
        <v>40</v>
      </c>
      <c r="O13" s="46"/>
      <c r="P13" s="46"/>
      <c r="Q13" s="46"/>
      <c r="R13" s="46"/>
      <c r="S13" s="46"/>
      <c r="T13" s="46"/>
      <c r="U13" s="46" t="s">
        <v>37</v>
      </c>
      <c r="V13" s="47">
        <v>4000</v>
      </c>
      <c r="W13" s="44">
        <v>10</v>
      </c>
      <c r="X13" s="28">
        <v>648.36</v>
      </c>
      <c r="Y13" s="29">
        <f t="shared" si="0"/>
        <v>648.36</v>
      </c>
      <c r="Z13" s="30">
        <f t="shared" si="1"/>
        <v>64.835999999999999</v>
      </c>
      <c r="AA13" s="30">
        <f>Y13/10</f>
        <v>64.835999999999999</v>
      </c>
      <c r="AB13" s="98"/>
      <c r="AC13" s="31"/>
      <c r="AD13" s="31"/>
      <c r="AE13" s="31"/>
      <c r="AF13" s="32">
        <f>Z13/AP13</f>
        <v>2.0141658900279591</v>
      </c>
      <c r="AG13" s="33"/>
      <c r="AH13" s="78">
        <f t="shared" si="3"/>
        <v>2.0141658900279591</v>
      </c>
      <c r="AI13" s="79">
        <f t="shared" si="4"/>
        <v>1.6184722915626559</v>
      </c>
      <c r="AJ13" s="76"/>
      <c r="AK13" s="87"/>
      <c r="AL13" s="87"/>
      <c r="AM13" s="37">
        <v>0</v>
      </c>
      <c r="AN13" s="38">
        <f t="shared" si="2"/>
        <v>0</v>
      </c>
      <c r="AP13" s="39">
        <v>32.19</v>
      </c>
      <c r="AQ13" s="39">
        <v>40.06</v>
      </c>
      <c r="AR13" s="39"/>
    </row>
    <row r="14" spans="1:47" ht="41.25" hidden="1" customHeight="1" thickTop="1" thickBot="1" x14ac:dyDescent="0.4">
      <c r="A14" s="19" t="s">
        <v>60</v>
      </c>
      <c r="B14" s="19">
        <v>125287</v>
      </c>
      <c r="C14" s="19"/>
      <c r="D14" s="19"/>
      <c r="E14" s="19"/>
      <c r="F14" s="20" t="s">
        <v>55</v>
      </c>
      <c r="G14" s="21" t="s">
        <v>56</v>
      </c>
      <c r="H14" s="22" t="s">
        <v>37</v>
      </c>
      <c r="I14" s="23" t="s">
        <v>57</v>
      </c>
      <c r="J14" s="22"/>
      <c r="K14" s="24" t="s">
        <v>39</v>
      </c>
      <c r="L14" s="24" t="s">
        <v>39</v>
      </c>
      <c r="M14" s="22" t="s">
        <v>37</v>
      </c>
      <c r="N14" s="23" t="s">
        <v>40</v>
      </c>
      <c r="O14" s="46"/>
      <c r="P14" s="46"/>
      <c r="Q14" s="46"/>
      <c r="R14" s="46"/>
      <c r="S14" s="46"/>
      <c r="T14" s="46"/>
      <c r="U14" s="46" t="s">
        <v>37</v>
      </c>
      <c r="V14" s="47">
        <v>4000</v>
      </c>
      <c r="W14" s="44">
        <v>50</v>
      </c>
      <c r="X14" s="28">
        <v>1897.5</v>
      </c>
      <c r="Y14" s="29">
        <f t="shared" si="0"/>
        <v>1897.5</v>
      </c>
      <c r="Z14" s="30">
        <f t="shared" si="1"/>
        <v>37.950000000000003</v>
      </c>
      <c r="AA14" s="30">
        <f>Y14/50</f>
        <v>37.950000000000003</v>
      </c>
      <c r="AB14" s="30"/>
      <c r="AC14" s="31"/>
      <c r="AD14" s="31"/>
      <c r="AE14" s="31"/>
      <c r="AF14" s="32" t="e">
        <f>Z14/AP14</f>
        <v>#DIV/0!</v>
      </c>
      <c r="AG14" s="33"/>
      <c r="AH14" s="34" t="e">
        <f t="shared" si="3"/>
        <v>#DIV/0!</v>
      </c>
      <c r="AI14" s="35" t="e">
        <f t="shared" si="4"/>
        <v>#DIV/0!</v>
      </c>
      <c r="AJ14" s="35"/>
      <c r="AK14" s="36"/>
      <c r="AL14" s="36"/>
      <c r="AM14" s="37">
        <v>0</v>
      </c>
      <c r="AN14" s="38">
        <f t="shared" si="2"/>
        <v>0</v>
      </c>
      <c r="AP14" s="39"/>
      <c r="AQ14" s="39"/>
      <c r="AR14" s="39"/>
    </row>
    <row r="15" spans="1:47" ht="44.25" hidden="1" customHeight="1" thickTop="1" thickBot="1" x14ac:dyDescent="0.4">
      <c r="A15" s="19" t="s">
        <v>59</v>
      </c>
      <c r="B15" s="19">
        <v>115401</v>
      </c>
      <c r="C15" s="19">
        <v>87.97</v>
      </c>
      <c r="D15" s="19">
        <v>736.33</v>
      </c>
      <c r="E15" s="19">
        <v>0</v>
      </c>
      <c r="F15" s="20" t="s">
        <v>55</v>
      </c>
      <c r="G15" s="21" t="s">
        <v>56</v>
      </c>
      <c r="H15" s="22" t="s">
        <v>37</v>
      </c>
      <c r="I15" s="23" t="s">
        <v>57</v>
      </c>
      <c r="J15" s="22"/>
      <c r="K15" s="22"/>
      <c r="L15" s="22"/>
      <c r="M15" s="22" t="s">
        <v>37</v>
      </c>
      <c r="N15" s="40"/>
      <c r="O15" s="41" t="s">
        <v>61</v>
      </c>
      <c r="P15" s="46"/>
      <c r="Q15" s="46"/>
      <c r="R15" s="46"/>
      <c r="S15" s="46"/>
      <c r="T15" s="46"/>
      <c r="U15" s="46" t="s">
        <v>37</v>
      </c>
      <c r="V15" s="47">
        <v>11250</v>
      </c>
      <c r="W15" s="44">
        <v>3.56</v>
      </c>
      <c r="X15" s="28">
        <v>648.36</v>
      </c>
      <c r="Y15" s="29">
        <f t="shared" si="0"/>
        <v>648.36</v>
      </c>
      <c r="Z15" s="30">
        <f t="shared" si="1"/>
        <v>182.12359550561797</v>
      </c>
      <c r="AA15" s="30"/>
      <c r="AB15" s="98"/>
      <c r="AC15" s="31"/>
      <c r="AD15" s="31"/>
      <c r="AE15" s="31">
        <f>Y15/5</f>
        <v>129.672</v>
      </c>
      <c r="AF15" s="32"/>
      <c r="AG15" s="42"/>
      <c r="AH15" s="88"/>
      <c r="AI15" s="88"/>
      <c r="AJ15" s="88"/>
      <c r="AK15" s="88"/>
      <c r="AL15" s="88"/>
      <c r="AM15" s="37">
        <v>0</v>
      </c>
      <c r="AN15" s="38">
        <f t="shared" si="2"/>
        <v>0</v>
      </c>
      <c r="AP15" s="39"/>
      <c r="AQ15" s="39"/>
      <c r="AR15" s="39"/>
      <c r="AS15" s="39"/>
    </row>
    <row r="16" spans="1:47" ht="41.25" hidden="1" customHeight="1" thickTop="1" thickBot="1" x14ac:dyDescent="0.4">
      <c r="A16" s="19" t="s">
        <v>60</v>
      </c>
      <c r="B16" s="19">
        <v>125287</v>
      </c>
      <c r="C16" s="19"/>
      <c r="D16" s="19"/>
      <c r="E16" s="19"/>
      <c r="F16" s="20" t="s">
        <v>55</v>
      </c>
      <c r="G16" s="21" t="s">
        <v>56</v>
      </c>
      <c r="H16" s="22" t="s">
        <v>37</v>
      </c>
      <c r="I16" s="23" t="s">
        <v>57</v>
      </c>
      <c r="J16" s="22"/>
      <c r="K16" s="22"/>
      <c r="L16" s="22"/>
      <c r="M16" s="22" t="s">
        <v>37</v>
      </c>
      <c r="N16" s="40"/>
      <c r="O16" s="41" t="s">
        <v>61</v>
      </c>
      <c r="P16" s="46"/>
      <c r="Q16" s="46"/>
      <c r="R16" s="46"/>
      <c r="S16" s="46"/>
      <c r="T16" s="46"/>
      <c r="U16" s="46" t="s">
        <v>37</v>
      </c>
      <c r="V16" s="47">
        <v>11250</v>
      </c>
      <c r="W16" s="44">
        <v>17.78</v>
      </c>
      <c r="X16" s="28">
        <v>1897.5</v>
      </c>
      <c r="Y16" s="29">
        <f t="shared" si="0"/>
        <v>1897.5</v>
      </c>
      <c r="Z16" s="30">
        <f t="shared" si="1"/>
        <v>106.72103487064116</v>
      </c>
      <c r="AA16" s="30"/>
      <c r="AB16" s="30"/>
      <c r="AC16" s="31"/>
      <c r="AD16" s="31"/>
      <c r="AE16" s="31">
        <f>Y16/25</f>
        <v>75.900000000000006</v>
      </c>
      <c r="AF16" s="32"/>
      <c r="AG16" s="42"/>
      <c r="AH16" s="43"/>
      <c r="AI16" s="43"/>
      <c r="AJ16" s="43"/>
      <c r="AK16" s="43"/>
      <c r="AL16" s="43"/>
      <c r="AM16" s="37">
        <v>0</v>
      </c>
      <c r="AN16" s="38">
        <f t="shared" si="2"/>
        <v>0</v>
      </c>
      <c r="AP16" s="39"/>
      <c r="AQ16" s="39"/>
      <c r="AR16" s="39"/>
      <c r="AS16" s="39"/>
    </row>
    <row r="17" spans="1:46" ht="50.25" hidden="1" customHeight="1" thickTop="1" thickBot="1" x14ac:dyDescent="0.4">
      <c r="A17" s="19" t="s">
        <v>62</v>
      </c>
      <c r="B17" s="19">
        <v>848209</v>
      </c>
      <c r="C17" s="19">
        <v>77.540000000000006</v>
      </c>
      <c r="D17" s="19">
        <v>923.75</v>
      </c>
      <c r="E17" s="19">
        <v>0</v>
      </c>
      <c r="F17" s="20" t="s">
        <v>55</v>
      </c>
      <c r="G17" s="21" t="s">
        <v>56</v>
      </c>
      <c r="H17" s="22" t="s">
        <v>37</v>
      </c>
      <c r="I17" s="23" t="s">
        <v>57</v>
      </c>
      <c r="J17" s="22"/>
      <c r="K17" s="22"/>
      <c r="L17" s="22"/>
      <c r="M17" s="22" t="s">
        <v>37</v>
      </c>
      <c r="N17" s="40"/>
      <c r="O17" s="48" t="s">
        <v>63</v>
      </c>
      <c r="P17" s="41" t="s">
        <v>61</v>
      </c>
      <c r="Q17" s="46"/>
      <c r="R17" s="46"/>
      <c r="S17" s="46"/>
      <c r="T17" s="46"/>
      <c r="U17" s="46" t="s">
        <v>37</v>
      </c>
      <c r="V17" s="47">
        <v>11250</v>
      </c>
      <c r="W17" s="44">
        <v>5.33</v>
      </c>
      <c r="X17" s="28">
        <v>846.27</v>
      </c>
      <c r="Y17" s="29">
        <f t="shared" si="0"/>
        <v>846.27</v>
      </c>
      <c r="Z17" s="30">
        <f t="shared" si="1"/>
        <v>158.7748592870544</v>
      </c>
      <c r="AA17" s="30"/>
      <c r="AB17" s="98"/>
      <c r="AC17" s="31">
        <f>Y17/10</f>
        <v>84.626999999999995</v>
      </c>
      <c r="AD17" s="31"/>
      <c r="AE17" s="31">
        <f>Y17/5</f>
        <v>169.25399999999999</v>
      </c>
      <c r="AF17" s="31"/>
      <c r="AG17" s="42"/>
      <c r="AH17" s="88"/>
      <c r="AI17" s="88"/>
      <c r="AJ17" s="88"/>
      <c r="AK17" s="88"/>
      <c r="AL17" s="88"/>
      <c r="AM17" s="37">
        <v>0</v>
      </c>
      <c r="AN17" s="38">
        <f t="shared" si="2"/>
        <v>0</v>
      </c>
      <c r="AP17" s="39"/>
      <c r="AQ17" s="39"/>
      <c r="AR17" s="39"/>
      <c r="AS17" s="39"/>
    </row>
    <row r="18" spans="1:46" ht="9" hidden="1" customHeight="1" thickTop="1" thickBot="1" x14ac:dyDescent="0.4">
      <c r="A18" s="19" t="s">
        <v>64</v>
      </c>
      <c r="B18" s="19">
        <v>125288</v>
      </c>
      <c r="C18" s="19"/>
      <c r="D18" s="19"/>
      <c r="E18" s="19"/>
      <c r="F18" s="20" t="s">
        <v>55</v>
      </c>
      <c r="G18" s="21" t="s">
        <v>56</v>
      </c>
      <c r="H18" s="22" t="s">
        <v>37</v>
      </c>
      <c r="I18" s="23" t="s">
        <v>57</v>
      </c>
      <c r="J18" s="22"/>
      <c r="K18" s="22"/>
      <c r="L18" s="22"/>
      <c r="M18" s="22" t="s">
        <v>37</v>
      </c>
      <c r="N18" s="40"/>
      <c r="O18" s="48" t="s">
        <v>63</v>
      </c>
      <c r="P18" s="41" t="s">
        <v>61</v>
      </c>
      <c r="Q18" s="46"/>
      <c r="R18" s="46"/>
      <c r="S18" s="46"/>
      <c r="T18" s="46"/>
      <c r="U18" s="46" t="s">
        <v>37</v>
      </c>
      <c r="V18" s="47">
        <v>11250</v>
      </c>
      <c r="W18" s="44">
        <v>26.6</v>
      </c>
      <c r="X18" s="28">
        <v>2722.5</v>
      </c>
      <c r="Y18" s="29">
        <f t="shared" si="0"/>
        <v>2722.5</v>
      </c>
      <c r="Z18" s="30">
        <f t="shared" si="1"/>
        <v>102.34962406015038</v>
      </c>
      <c r="AA18" s="30"/>
      <c r="AB18" s="30"/>
      <c r="AC18" s="31">
        <f>Y18/50</f>
        <v>54.45</v>
      </c>
      <c r="AD18" s="31"/>
      <c r="AE18" s="31">
        <f>Y18/25</f>
        <v>108.9</v>
      </c>
      <c r="AF18" s="31"/>
      <c r="AG18" s="42"/>
      <c r="AH18" s="43"/>
      <c r="AI18" s="43"/>
      <c r="AJ18" s="43"/>
      <c r="AK18" s="43"/>
      <c r="AL18" s="43"/>
      <c r="AM18" s="37">
        <v>0</v>
      </c>
      <c r="AN18" s="38">
        <f t="shared" si="2"/>
        <v>0</v>
      </c>
      <c r="AS18" s="39"/>
    </row>
    <row r="19" spans="1:46" ht="45" customHeight="1" thickTop="1" thickBot="1" x14ac:dyDescent="0.4">
      <c r="A19" s="19" t="s">
        <v>65</v>
      </c>
      <c r="B19" s="19">
        <v>849302</v>
      </c>
      <c r="C19" s="19">
        <v>89.83</v>
      </c>
      <c r="D19" s="19">
        <v>1231.6600000000001</v>
      </c>
      <c r="E19" s="19">
        <v>0</v>
      </c>
      <c r="F19" s="20" t="s">
        <v>55</v>
      </c>
      <c r="G19" s="21" t="s">
        <v>56</v>
      </c>
      <c r="H19" s="22" t="s">
        <v>37</v>
      </c>
      <c r="I19" s="23" t="s">
        <v>57</v>
      </c>
      <c r="J19" s="22"/>
      <c r="K19" s="22"/>
      <c r="L19" s="22"/>
      <c r="M19" s="22" t="s">
        <v>37</v>
      </c>
      <c r="N19" s="40"/>
      <c r="O19" s="48" t="s">
        <v>66</v>
      </c>
      <c r="P19" s="48" t="s">
        <v>67</v>
      </c>
      <c r="Q19" s="41" t="s">
        <v>61</v>
      </c>
      <c r="R19" s="46"/>
      <c r="S19" s="46"/>
      <c r="T19" s="41" t="s">
        <v>68</v>
      </c>
      <c r="U19" s="46" t="s">
        <v>37</v>
      </c>
      <c r="V19" s="47">
        <v>11250</v>
      </c>
      <c r="W19" s="44">
        <v>7.11</v>
      </c>
      <c r="X19" s="28">
        <v>1141.83</v>
      </c>
      <c r="Y19" s="29">
        <f t="shared" si="0"/>
        <v>1141.83</v>
      </c>
      <c r="Z19" s="30">
        <f t="shared" si="1"/>
        <v>160.59493670886073</v>
      </c>
      <c r="AA19" s="30"/>
      <c r="AB19" s="110" t="s">
        <v>417</v>
      </c>
      <c r="AC19" s="31">
        <f>Y19/10</f>
        <v>114.18299999999999</v>
      </c>
      <c r="AD19" s="31"/>
      <c r="AE19" s="106">
        <f>Y19/5</f>
        <v>228.36599999999999</v>
      </c>
      <c r="AF19" s="31"/>
      <c r="AG19" s="49">
        <f>Y19/2.5</f>
        <v>456.73199999999997</v>
      </c>
      <c r="AH19" s="50"/>
      <c r="AI19" s="50"/>
      <c r="AJ19" s="50"/>
      <c r="AK19" s="51"/>
      <c r="AL19" s="91">
        <f>AE19/AT19</f>
        <v>1.5782031789910158</v>
      </c>
      <c r="AM19" s="37">
        <v>0</v>
      </c>
      <c r="AN19" s="38">
        <f t="shared" si="2"/>
        <v>0</v>
      </c>
      <c r="AS19" s="39"/>
      <c r="AT19" s="39">
        <v>144.69999999999999</v>
      </c>
    </row>
    <row r="20" spans="1:46" ht="44" customHeight="1" thickTop="1" thickBot="1" x14ac:dyDescent="0.4">
      <c r="A20" s="19" t="s">
        <v>69</v>
      </c>
      <c r="B20" s="19">
        <v>125289</v>
      </c>
      <c r="C20" s="19"/>
      <c r="D20" s="19"/>
      <c r="E20" s="19"/>
      <c r="F20" s="20" t="s">
        <v>55</v>
      </c>
      <c r="G20" s="21" t="s">
        <v>56</v>
      </c>
      <c r="H20" s="22" t="s">
        <v>37</v>
      </c>
      <c r="I20" s="23" t="s">
        <v>57</v>
      </c>
      <c r="J20" s="22"/>
      <c r="K20" s="22"/>
      <c r="L20" s="22"/>
      <c r="M20" s="22" t="s">
        <v>37</v>
      </c>
      <c r="N20" s="40"/>
      <c r="O20" s="48" t="s">
        <v>66</v>
      </c>
      <c r="P20" s="48" t="s">
        <v>67</v>
      </c>
      <c r="Q20" s="41" t="s">
        <v>61</v>
      </c>
      <c r="R20" s="46"/>
      <c r="S20" s="46"/>
      <c r="T20" s="41" t="s">
        <v>68</v>
      </c>
      <c r="U20" s="46" t="s">
        <v>37</v>
      </c>
      <c r="V20" s="47">
        <v>11250</v>
      </c>
      <c r="W20" s="44">
        <v>35.6</v>
      </c>
      <c r="X20" s="28">
        <v>3685</v>
      </c>
      <c r="Y20" s="29">
        <f t="shared" si="0"/>
        <v>3685</v>
      </c>
      <c r="Z20" s="30">
        <f t="shared" si="1"/>
        <v>103.51123595505618</v>
      </c>
      <c r="AA20" s="30"/>
      <c r="AB20" s="30"/>
      <c r="AC20" s="31">
        <f>Y20/50</f>
        <v>73.7</v>
      </c>
      <c r="AD20" s="31"/>
      <c r="AE20" s="106">
        <f>Y20/25</f>
        <v>147.4</v>
      </c>
      <c r="AF20" s="31"/>
      <c r="AG20" s="49">
        <f>Y20/12.5</f>
        <v>294.8</v>
      </c>
      <c r="AH20" s="50"/>
      <c r="AI20" s="50"/>
      <c r="AJ20" s="50"/>
      <c r="AK20" s="51"/>
      <c r="AL20" s="52">
        <f>AE20/AT20</f>
        <v>1.0186592950932967</v>
      </c>
      <c r="AM20" s="37">
        <v>0</v>
      </c>
      <c r="AN20" s="38">
        <f t="shared" si="2"/>
        <v>0</v>
      </c>
      <c r="AS20" s="39"/>
      <c r="AT20" s="39">
        <v>144.69999999999999</v>
      </c>
    </row>
    <row r="21" spans="1:46" ht="54.5" hidden="1" customHeight="1" thickTop="1" thickBot="1" x14ac:dyDescent="0.4">
      <c r="A21" s="19" t="s">
        <v>70</v>
      </c>
      <c r="B21" s="19">
        <v>848965</v>
      </c>
      <c r="C21" s="19">
        <v>301.73</v>
      </c>
      <c r="D21" s="19">
        <v>1539.57</v>
      </c>
      <c r="E21" s="19">
        <v>0</v>
      </c>
      <c r="F21" s="20" t="s">
        <v>55</v>
      </c>
      <c r="G21" s="21" t="s">
        <v>56</v>
      </c>
      <c r="H21" s="22" t="s">
        <v>37</v>
      </c>
      <c r="I21" s="23" t="s">
        <v>57</v>
      </c>
      <c r="J21" s="22"/>
      <c r="K21" s="22"/>
      <c r="L21" s="22"/>
      <c r="M21" s="22" t="s">
        <v>37</v>
      </c>
      <c r="N21" s="40"/>
      <c r="O21" s="46"/>
      <c r="P21" s="48" t="s">
        <v>71</v>
      </c>
      <c r="Q21" s="48" t="s">
        <v>72</v>
      </c>
      <c r="R21" s="41" t="s">
        <v>61</v>
      </c>
      <c r="S21" s="46"/>
      <c r="T21" s="46"/>
      <c r="U21" s="46" t="s">
        <v>37</v>
      </c>
      <c r="V21" s="47">
        <v>11250</v>
      </c>
      <c r="W21" s="44">
        <v>8.89</v>
      </c>
      <c r="X21" s="28">
        <v>1237.83</v>
      </c>
      <c r="Y21" s="29">
        <f t="shared" si="0"/>
        <v>1237.83</v>
      </c>
      <c r="Z21" s="30">
        <f t="shared" si="1"/>
        <v>139.23847019122607</v>
      </c>
      <c r="AA21" s="30"/>
      <c r="AB21" s="98"/>
      <c r="AC21" s="31">
        <f>Y21/10</f>
        <v>123.78299999999999</v>
      </c>
      <c r="AD21" s="31"/>
      <c r="AE21" s="31">
        <f>Y21/5</f>
        <v>247.56599999999997</v>
      </c>
      <c r="AF21" s="31"/>
      <c r="AG21" s="42"/>
      <c r="AH21" s="88"/>
      <c r="AI21" s="88"/>
      <c r="AJ21" s="88"/>
      <c r="AK21" s="90"/>
      <c r="AL21" s="88"/>
      <c r="AM21" s="37">
        <v>0</v>
      </c>
      <c r="AN21" s="38">
        <f t="shared" si="2"/>
        <v>0</v>
      </c>
      <c r="AP21" s="39"/>
      <c r="AQ21" s="39"/>
      <c r="AR21" s="39"/>
      <c r="AS21" s="39"/>
    </row>
    <row r="22" spans="1:46" ht="49" hidden="1" customHeight="1" thickTop="1" thickBot="1" x14ac:dyDescent="0.4">
      <c r="A22" s="19" t="s">
        <v>73</v>
      </c>
      <c r="B22" s="19">
        <v>125290</v>
      </c>
      <c r="C22" s="19"/>
      <c r="D22" s="19"/>
      <c r="E22" s="19"/>
      <c r="F22" s="20" t="s">
        <v>55</v>
      </c>
      <c r="G22" s="21" t="s">
        <v>56</v>
      </c>
      <c r="H22" s="22" t="s">
        <v>37</v>
      </c>
      <c r="I22" s="23" t="s">
        <v>57</v>
      </c>
      <c r="J22" s="22"/>
      <c r="K22" s="22"/>
      <c r="L22" s="22"/>
      <c r="M22" s="22" t="s">
        <v>37</v>
      </c>
      <c r="N22" s="40"/>
      <c r="O22" s="46"/>
      <c r="P22" s="48" t="s">
        <v>71</v>
      </c>
      <c r="Q22" s="48" t="s">
        <v>72</v>
      </c>
      <c r="R22" s="41" t="s">
        <v>61</v>
      </c>
      <c r="S22" s="46"/>
      <c r="T22" s="46"/>
      <c r="U22" s="46" t="s">
        <v>37</v>
      </c>
      <c r="V22" s="47">
        <v>11250</v>
      </c>
      <c r="W22" s="44">
        <v>44.4</v>
      </c>
      <c r="X22" s="28">
        <v>4455</v>
      </c>
      <c r="Y22" s="29">
        <f t="shared" si="0"/>
        <v>4455</v>
      </c>
      <c r="Z22" s="30">
        <f t="shared" si="1"/>
        <v>100.33783783783784</v>
      </c>
      <c r="AA22" s="30"/>
      <c r="AB22" s="30"/>
      <c r="AC22" s="31">
        <f>Y22/50</f>
        <v>89.1</v>
      </c>
      <c r="AD22" s="31"/>
      <c r="AE22" s="31">
        <f>Y22/25</f>
        <v>178.2</v>
      </c>
      <c r="AF22" s="31"/>
      <c r="AG22" s="42"/>
      <c r="AH22" s="43"/>
      <c r="AI22" s="43"/>
      <c r="AJ22" s="43"/>
      <c r="AK22" s="53"/>
      <c r="AL22" s="43"/>
      <c r="AM22" s="37">
        <v>0</v>
      </c>
      <c r="AN22" s="38">
        <f t="shared" si="2"/>
        <v>0</v>
      </c>
      <c r="AS22" s="39"/>
    </row>
    <row r="23" spans="1:46" ht="51" customHeight="1" thickTop="1" thickBot="1" x14ac:dyDescent="0.4">
      <c r="A23" s="19" t="s">
        <v>74</v>
      </c>
      <c r="B23" s="19">
        <v>850147</v>
      </c>
      <c r="C23" s="19">
        <v>361</v>
      </c>
      <c r="D23" s="19">
        <v>1847.49</v>
      </c>
      <c r="E23" s="19">
        <v>99.98</v>
      </c>
      <c r="F23" s="20" t="s">
        <v>75</v>
      </c>
      <c r="G23" s="21" t="s">
        <v>56</v>
      </c>
      <c r="H23" s="22" t="s">
        <v>37</v>
      </c>
      <c r="I23" s="23" t="s">
        <v>57</v>
      </c>
      <c r="J23" s="22"/>
      <c r="K23" s="22"/>
      <c r="L23" s="22"/>
      <c r="M23" s="22" t="s">
        <v>37</v>
      </c>
      <c r="N23" s="40"/>
      <c r="O23" s="46"/>
      <c r="P23" s="46"/>
      <c r="Q23" s="48" t="s">
        <v>76</v>
      </c>
      <c r="R23" s="46"/>
      <c r="S23" s="41" t="s">
        <v>61</v>
      </c>
      <c r="T23" s="24"/>
      <c r="U23" s="46" t="s">
        <v>37</v>
      </c>
      <c r="V23" s="47">
        <v>11250</v>
      </c>
      <c r="W23" s="54">
        <v>10.67</v>
      </c>
      <c r="X23" s="55">
        <v>1586.49</v>
      </c>
      <c r="Y23" s="56">
        <f t="shared" si="0"/>
        <v>1586.49</v>
      </c>
      <c r="Z23" s="30">
        <f t="shared" si="1"/>
        <v>148.68697282099345</v>
      </c>
      <c r="AA23" s="30"/>
      <c r="AB23" s="110" t="s">
        <v>155</v>
      </c>
      <c r="AC23" s="106">
        <f>Y23/10</f>
        <v>158.649</v>
      </c>
      <c r="AD23" s="31"/>
      <c r="AE23" s="31">
        <f>Y23/5</f>
        <v>317.298</v>
      </c>
      <c r="AF23" s="31"/>
      <c r="AG23" s="42"/>
      <c r="AH23" s="88"/>
      <c r="AI23" s="88"/>
      <c r="AJ23" s="88"/>
      <c r="AK23" s="89">
        <f>AC23/AS23</f>
        <v>1.3191070092292343</v>
      </c>
      <c r="AL23" s="88"/>
      <c r="AM23" s="37">
        <v>0</v>
      </c>
      <c r="AN23" s="38">
        <f t="shared" si="2"/>
        <v>0</v>
      </c>
      <c r="AP23" s="39"/>
      <c r="AQ23" s="39"/>
      <c r="AR23" s="39"/>
      <c r="AS23" s="39">
        <v>120.27</v>
      </c>
    </row>
    <row r="24" spans="1:46" ht="62.25" hidden="1" customHeight="1" thickTop="1" thickBot="1" x14ac:dyDescent="0.4">
      <c r="A24" s="19" t="s">
        <v>77</v>
      </c>
      <c r="B24" s="19">
        <v>107951</v>
      </c>
      <c r="C24" s="19">
        <v>328.11</v>
      </c>
      <c r="D24" s="19">
        <v>2309.37</v>
      </c>
      <c r="E24" s="19">
        <v>0</v>
      </c>
      <c r="F24" s="20" t="s">
        <v>75</v>
      </c>
      <c r="G24" s="21" t="s">
        <v>56</v>
      </c>
      <c r="H24" s="22" t="s">
        <v>37</v>
      </c>
      <c r="I24" s="23" t="s">
        <v>57</v>
      </c>
      <c r="J24" s="22"/>
      <c r="K24" s="22"/>
      <c r="L24" s="22"/>
      <c r="M24" s="22" t="s">
        <v>37</v>
      </c>
      <c r="N24" s="40"/>
      <c r="O24" s="46"/>
      <c r="P24" s="46"/>
      <c r="Q24" s="46"/>
      <c r="R24" s="48" t="s">
        <v>78</v>
      </c>
      <c r="S24" s="46"/>
      <c r="T24" s="41" t="s">
        <v>79</v>
      </c>
      <c r="U24" s="46" t="s">
        <v>37</v>
      </c>
      <c r="V24" s="47">
        <v>11250</v>
      </c>
      <c r="W24" s="57">
        <v>13.33</v>
      </c>
      <c r="X24" s="55">
        <v>1981.24</v>
      </c>
      <c r="Y24" s="56">
        <f t="shared" si="0"/>
        <v>1981.24</v>
      </c>
      <c r="Z24" s="58">
        <f t="shared" si="1"/>
        <v>148.63015753938484</v>
      </c>
      <c r="AA24" s="58"/>
      <c r="AB24" s="100"/>
      <c r="AC24" s="31">
        <f>Y24/10</f>
        <v>198.124</v>
      </c>
      <c r="AD24" s="31"/>
      <c r="AE24" s="31">
        <f>Y24/5</f>
        <v>396.24799999999999</v>
      </c>
      <c r="AF24" s="59"/>
      <c r="AG24" s="42"/>
      <c r="AH24" s="88"/>
      <c r="AI24" s="88"/>
      <c r="AJ24" s="88"/>
      <c r="AK24" s="88"/>
      <c r="AL24" s="88"/>
      <c r="AM24" s="37">
        <v>0</v>
      </c>
      <c r="AN24" s="38">
        <f t="shared" si="2"/>
        <v>0</v>
      </c>
      <c r="AP24" s="39"/>
      <c r="AQ24" s="39"/>
      <c r="AR24" s="39"/>
      <c r="AS24" s="39"/>
    </row>
    <row r="25" spans="1:46" ht="39" hidden="1" customHeight="1" thickTop="1" thickBot="1" x14ac:dyDescent="0.4">
      <c r="A25" s="19" t="s">
        <v>80</v>
      </c>
      <c r="B25" s="19">
        <v>219050</v>
      </c>
      <c r="C25" s="19">
        <v>98.8</v>
      </c>
      <c r="D25" s="19">
        <v>368.16</v>
      </c>
      <c r="E25" s="19">
        <v>10.039999999999999</v>
      </c>
      <c r="F25" s="20" t="s">
        <v>55</v>
      </c>
      <c r="G25" s="21" t="s">
        <v>138</v>
      </c>
      <c r="H25" s="22" t="s">
        <v>37</v>
      </c>
      <c r="I25" s="23" t="s">
        <v>57</v>
      </c>
      <c r="J25" s="24" t="s">
        <v>39</v>
      </c>
      <c r="K25" s="22"/>
      <c r="L25" s="22"/>
      <c r="M25" s="22" t="s">
        <v>37</v>
      </c>
      <c r="N25" s="24"/>
      <c r="O25" s="46"/>
      <c r="P25" s="46"/>
      <c r="Q25" s="46"/>
      <c r="R25" s="46"/>
      <c r="S25" s="46"/>
      <c r="T25" s="46"/>
      <c r="U25" s="46" t="s">
        <v>37</v>
      </c>
      <c r="V25" s="47">
        <v>4000</v>
      </c>
      <c r="W25" s="44">
        <v>5</v>
      </c>
      <c r="X25" s="95">
        <v>270.5</v>
      </c>
      <c r="Y25" s="56">
        <f t="shared" si="0"/>
        <v>243.45</v>
      </c>
      <c r="Z25" s="58">
        <f t="shared" si="1"/>
        <v>48.69</v>
      </c>
      <c r="AA25" s="30">
        <f>Y25/10</f>
        <v>24.344999999999999</v>
      </c>
      <c r="AB25" s="99" t="s">
        <v>144</v>
      </c>
      <c r="AC25" s="59"/>
      <c r="AD25" s="59"/>
      <c r="AE25" s="59"/>
      <c r="AF25" s="32" t="e">
        <f>Z25/AP25</f>
        <v>#DIV/0!</v>
      </c>
      <c r="AG25" s="60"/>
      <c r="AH25" s="76"/>
      <c r="AI25" s="80"/>
      <c r="AJ25" s="227">
        <f>AA25/AR25</f>
        <v>1.0198994553833263</v>
      </c>
      <c r="AK25" s="84"/>
      <c r="AL25" s="84"/>
      <c r="AM25" s="37">
        <v>0.1</v>
      </c>
      <c r="AN25" s="38">
        <f t="shared" si="2"/>
        <v>27.05</v>
      </c>
      <c r="AP25" s="39"/>
      <c r="AQ25" s="39"/>
      <c r="AR25" s="39">
        <v>23.87</v>
      </c>
    </row>
    <row r="26" spans="1:46" ht="39.75" hidden="1" customHeight="1" thickTop="1" thickBot="1" x14ac:dyDescent="0.4">
      <c r="A26" s="19" t="s">
        <v>81</v>
      </c>
      <c r="B26" s="19">
        <v>233119</v>
      </c>
      <c r="C26" s="19"/>
      <c r="D26" s="19"/>
      <c r="E26" s="19"/>
      <c r="F26" s="20" t="s">
        <v>55</v>
      </c>
      <c r="G26" s="21" t="s">
        <v>138</v>
      </c>
      <c r="H26" s="22" t="s">
        <v>37</v>
      </c>
      <c r="I26" s="23" t="s">
        <v>57</v>
      </c>
      <c r="J26" s="24" t="s">
        <v>39</v>
      </c>
      <c r="K26" s="22"/>
      <c r="L26" s="22"/>
      <c r="M26" s="22" t="s">
        <v>37</v>
      </c>
      <c r="N26" s="24"/>
      <c r="O26" s="46"/>
      <c r="P26" s="46"/>
      <c r="Q26" s="46"/>
      <c r="R26" s="46"/>
      <c r="S26" s="46"/>
      <c r="T26" s="46"/>
      <c r="U26" s="46" t="s">
        <v>37</v>
      </c>
      <c r="V26" s="47">
        <v>4000</v>
      </c>
      <c r="W26" s="44">
        <v>25</v>
      </c>
      <c r="X26" s="71" t="s">
        <v>419</v>
      </c>
      <c r="Y26" s="56" t="e">
        <f t="shared" si="0"/>
        <v>#VALUE!</v>
      </c>
      <c r="Z26" s="58" t="e">
        <f t="shared" si="1"/>
        <v>#VALUE!</v>
      </c>
      <c r="AA26" s="30" t="e">
        <f>Y26/50</f>
        <v>#VALUE!</v>
      </c>
      <c r="AB26" s="30"/>
      <c r="AC26" s="59"/>
      <c r="AD26" s="59"/>
      <c r="AE26" s="59"/>
      <c r="AF26" s="32" t="e">
        <f>Z26/AP26</f>
        <v>#VALUE!</v>
      </c>
      <c r="AG26" s="60"/>
      <c r="AH26" s="34" t="e">
        <f t="shared" ref="AH26:AH28" si="5">AA26/AP26</f>
        <v>#VALUE!</v>
      </c>
      <c r="AI26" s="35" t="e">
        <f t="shared" ref="AI26:AI28" si="6">AA26/AQ26</f>
        <v>#VALUE!</v>
      </c>
      <c r="AJ26" s="35"/>
      <c r="AK26" s="61"/>
      <c r="AL26" s="61"/>
      <c r="AM26" s="37">
        <v>0.1</v>
      </c>
      <c r="AN26" s="38" t="e">
        <f t="shared" si="2"/>
        <v>#VALUE!</v>
      </c>
      <c r="AP26" s="39"/>
      <c r="AQ26" s="39"/>
      <c r="AR26" s="39"/>
    </row>
    <row r="27" spans="1:46" ht="39" hidden="1" customHeight="1" thickTop="1" thickBot="1" x14ac:dyDescent="0.4">
      <c r="A27" s="19" t="s">
        <v>82</v>
      </c>
      <c r="B27" s="19">
        <v>219052</v>
      </c>
      <c r="C27" s="19">
        <v>161.03</v>
      </c>
      <c r="D27" s="19">
        <v>736.33</v>
      </c>
      <c r="E27" s="19">
        <v>-103.97</v>
      </c>
      <c r="F27" s="20" t="s">
        <v>55</v>
      </c>
      <c r="G27" s="21" t="s">
        <v>138</v>
      </c>
      <c r="H27" s="22" t="s">
        <v>37</v>
      </c>
      <c r="I27" s="23" t="s">
        <v>57</v>
      </c>
      <c r="J27" s="22"/>
      <c r="K27" s="24" t="s">
        <v>39</v>
      </c>
      <c r="L27" s="24" t="s">
        <v>39</v>
      </c>
      <c r="M27" s="22" t="s">
        <v>37</v>
      </c>
      <c r="N27" s="24"/>
      <c r="O27" s="46"/>
      <c r="P27" s="46"/>
      <c r="Q27" s="46"/>
      <c r="R27" s="46"/>
      <c r="S27" s="46"/>
      <c r="T27" s="46"/>
      <c r="U27" s="46" t="s">
        <v>37</v>
      </c>
      <c r="V27" s="47">
        <v>4000</v>
      </c>
      <c r="W27" s="44">
        <v>10</v>
      </c>
      <c r="X27" s="95">
        <v>562.24</v>
      </c>
      <c r="Y27" s="56">
        <f t="shared" si="0"/>
        <v>477.904</v>
      </c>
      <c r="Z27" s="58">
        <f t="shared" si="1"/>
        <v>47.790399999999998</v>
      </c>
      <c r="AA27" s="72">
        <f>Y27/10</f>
        <v>47.790399999999998</v>
      </c>
      <c r="AB27" s="98"/>
      <c r="AC27" s="59"/>
      <c r="AD27" s="59"/>
      <c r="AE27" s="59"/>
      <c r="AF27" s="32">
        <f>Z27/AP27</f>
        <v>1.4846349798073937</v>
      </c>
      <c r="AG27" s="60"/>
      <c r="AH27" s="82">
        <f t="shared" si="5"/>
        <v>1.4846349798073937</v>
      </c>
      <c r="AI27" s="83">
        <f t="shared" si="6"/>
        <v>1.1929705441837244</v>
      </c>
      <c r="AJ27" s="76"/>
      <c r="AK27" s="84"/>
      <c r="AL27" s="84"/>
      <c r="AM27" s="37">
        <v>0.15</v>
      </c>
      <c r="AN27" s="38">
        <f t="shared" si="2"/>
        <v>84.335999999999999</v>
      </c>
      <c r="AP27" s="39">
        <v>32.19</v>
      </c>
      <c r="AQ27" s="39">
        <v>40.06</v>
      </c>
      <c r="AR27" s="39"/>
    </row>
    <row r="28" spans="1:46" ht="38.25" hidden="1" customHeight="1" thickTop="1" thickBot="1" x14ac:dyDescent="0.4">
      <c r="A28" s="19" t="s">
        <v>83</v>
      </c>
      <c r="B28" s="19">
        <v>233123</v>
      </c>
      <c r="C28" s="19"/>
      <c r="D28" s="19"/>
      <c r="E28" s="19"/>
      <c r="F28" s="20" t="s">
        <v>55</v>
      </c>
      <c r="G28" s="21" t="s">
        <v>138</v>
      </c>
      <c r="H28" s="22" t="s">
        <v>37</v>
      </c>
      <c r="I28" s="23" t="s">
        <v>57</v>
      </c>
      <c r="J28" s="22"/>
      <c r="K28" s="24" t="s">
        <v>39</v>
      </c>
      <c r="L28" s="24" t="s">
        <v>39</v>
      </c>
      <c r="M28" s="22" t="s">
        <v>37</v>
      </c>
      <c r="N28" s="24"/>
      <c r="O28" s="46"/>
      <c r="P28" s="46"/>
      <c r="Q28" s="46"/>
      <c r="R28" s="46"/>
      <c r="S28" s="46"/>
      <c r="T28" s="46"/>
      <c r="U28" s="46" t="s">
        <v>37</v>
      </c>
      <c r="V28" s="47">
        <v>4000</v>
      </c>
      <c r="W28" s="44">
        <v>50</v>
      </c>
      <c r="X28" s="71" t="s">
        <v>419</v>
      </c>
      <c r="Y28" s="56" t="e">
        <f t="shared" si="0"/>
        <v>#VALUE!</v>
      </c>
      <c r="Z28" s="58" t="e">
        <f t="shared" si="1"/>
        <v>#VALUE!</v>
      </c>
      <c r="AA28" s="30" t="e">
        <f>Y28/50</f>
        <v>#VALUE!</v>
      </c>
      <c r="AB28" s="30"/>
      <c r="AC28" s="59"/>
      <c r="AD28" s="59"/>
      <c r="AE28" s="59"/>
      <c r="AF28" s="32" t="e">
        <f>Z28/AP28</f>
        <v>#VALUE!</v>
      </c>
      <c r="AG28" s="60"/>
      <c r="AH28" s="34" t="e">
        <f t="shared" si="5"/>
        <v>#VALUE!</v>
      </c>
      <c r="AI28" s="35" t="e">
        <f t="shared" si="6"/>
        <v>#VALUE!</v>
      </c>
      <c r="AJ28" s="35"/>
      <c r="AK28" s="61"/>
      <c r="AL28" s="61"/>
      <c r="AM28" s="37">
        <v>0.15</v>
      </c>
      <c r="AN28" s="38" t="e">
        <f t="shared" si="2"/>
        <v>#VALUE!</v>
      </c>
      <c r="AP28" s="39"/>
      <c r="AQ28" s="39"/>
      <c r="AR28" s="39"/>
    </row>
    <row r="29" spans="1:46" ht="42" hidden="1" customHeight="1" thickTop="1" thickBot="1" x14ac:dyDescent="0.4">
      <c r="A29" s="19" t="s">
        <v>82</v>
      </c>
      <c r="B29" s="19">
        <v>219052</v>
      </c>
      <c r="C29" s="19">
        <v>151.66</v>
      </c>
      <c r="D29" s="19">
        <v>736.33</v>
      </c>
      <c r="E29" s="19">
        <v>-103.97</v>
      </c>
      <c r="F29" s="20" t="s">
        <v>55</v>
      </c>
      <c r="G29" s="21" t="s">
        <v>138</v>
      </c>
      <c r="H29" s="22" t="s">
        <v>37</v>
      </c>
      <c r="I29" s="23" t="s">
        <v>57</v>
      </c>
      <c r="J29" s="22"/>
      <c r="K29" s="22"/>
      <c r="L29" s="22"/>
      <c r="M29" s="22" t="s">
        <v>37</v>
      </c>
      <c r="N29" s="40"/>
      <c r="O29" s="41" t="s">
        <v>61</v>
      </c>
      <c r="P29" s="46"/>
      <c r="Q29" s="46"/>
      <c r="R29" s="46"/>
      <c r="S29" s="46"/>
      <c r="T29" s="46"/>
      <c r="U29" s="46" t="s">
        <v>37</v>
      </c>
      <c r="V29" s="47">
        <v>11250</v>
      </c>
      <c r="W29" s="44">
        <v>3.56</v>
      </c>
      <c r="X29" s="95">
        <v>562.24</v>
      </c>
      <c r="Y29" s="56">
        <f t="shared" si="0"/>
        <v>477.904</v>
      </c>
      <c r="Z29" s="58">
        <f t="shared" si="1"/>
        <v>134.24269662921347</v>
      </c>
      <c r="AA29" s="58"/>
      <c r="AB29" s="100"/>
      <c r="AC29" s="59"/>
      <c r="AD29" s="59"/>
      <c r="AE29" s="31">
        <f>Y29/5</f>
        <v>95.580799999999996</v>
      </c>
      <c r="AF29" s="32"/>
      <c r="AG29" s="42"/>
      <c r="AH29" s="88"/>
      <c r="AI29" s="88"/>
      <c r="AJ29" s="88"/>
      <c r="AK29" s="88"/>
      <c r="AL29" s="88"/>
      <c r="AM29" s="37">
        <v>0.15</v>
      </c>
      <c r="AN29" s="38">
        <f t="shared" si="2"/>
        <v>84.335999999999999</v>
      </c>
      <c r="AP29" s="39"/>
      <c r="AQ29" s="39"/>
      <c r="AR29" s="39"/>
      <c r="AS29" s="39"/>
    </row>
    <row r="30" spans="1:46" ht="45.75" hidden="1" customHeight="1" thickTop="1" thickBot="1" x14ac:dyDescent="0.4">
      <c r="A30" s="19" t="s">
        <v>83</v>
      </c>
      <c r="B30" s="19">
        <v>233123</v>
      </c>
      <c r="C30" s="19"/>
      <c r="D30" s="19"/>
      <c r="E30" s="19"/>
      <c r="F30" s="20" t="s">
        <v>55</v>
      </c>
      <c r="G30" s="21" t="s">
        <v>138</v>
      </c>
      <c r="H30" s="22" t="s">
        <v>37</v>
      </c>
      <c r="I30" s="23" t="s">
        <v>57</v>
      </c>
      <c r="J30" s="22"/>
      <c r="K30" s="22"/>
      <c r="L30" s="22"/>
      <c r="M30" s="22" t="s">
        <v>37</v>
      </c>
      <c r="N30" s="40"/>
      <c r="O30" s="41" t="s">
        <v>61</v>
      </c>
      <c r="P30" s="46"/>
      <c r="Q30" s="46"/>
      <c r="R30" s="46"/>
      <c r="S30" s="46"/>
      <c r="T30" s="46"/>
      <c r="U30" s="46" t="s">
        <v>37</v>
      </c>
      <c r="V30" s="47">
        <v>11250</v>
      </c>
      <c r="W30" s="44">
        <v>17.78</v>
      </c>
      <c r="X30" s="71" t="s">
        <v>419</v>
      </c>
      <c r="Y30" s="56" t="e">
        <f t="shared" si="0"/>
        <v>#VALUE!</v>
      </c>
      <c r="Z30" s="58" t="e">
        <f t="shared" si="1"/>
        <v>#VALUE!</v>
      </c>
      <c r="AA30" s="58"/>
      <c r="AB30" s="58"/>
      <c r="AC30" s="59"/>
      <c r="AD30" s="59"/>
      <c r="AE30" s="31" t="e">
        <f>Y30/25</f>
        <v>#VALUE!</v>
      </c>
      <c r="AF30" s="32"/>
      <c r="AG30" s="42"/>
      <c r="AH30" s="43"/>
      <c r="AI30" s="43"/>
      <c r="AJ30" s="43"/>
      <c r="AK30" s="43"/>
      <c r="AL30" s="43"/>
      <c r="AM30" s="37">
        <v>0.15</v>
      </c>
      <c r="AN30" s="38" t="e">
        <f t="shared" si="2"/>
        <v>#VALUE!</v>
      </c>
      <c r="AP30" s="39"/>
      <c r="AQ30" s="39"/>
      <c r="AR30" s="39"/>
      <c r="AS30" s="39"/>
    </row>
    <row r="31" spans="1:46" ht="53.25" hidden="1" customHeight="1" thickTop="1" thickBot="1" x14ac:dyDescent="0.4">
      <c r="A31" s="19" t="s">
        <v>84</v>
      </c>
      <c r="B31" s="19">
        <v>219054</v>
      </c>
      <c r="C31" s="19">
        <v>181.94</v>
      </c>
      <c r="D31" s="19">
        <v>923.75</v>
      </c>
      <c r="E31" s="19">
        <v>-123.61</v>
      </c>
      <c r="F31" s="20" t="s">
        <v>55</v>
      </c>
      <c r="G31" s="21" t="s">
        <v>138</v>
      </c>
      <c r="H31" s="22" t="s">
        <v>37</v>
      </c>
      <c r="I31" s="23" t="s">
        <v>57</v>
      </c>
      <c r="J31" s="22"/>
      <c r="K31" s="22"/>
      <c r="L31" s="22"/>
      <c r="M31" s="22" t="s">
        <v>37</v>
      </c>
      <c r="N31" s="40"/>
      <c r="O31" s="48" t="s">
        <v>63</v>
      </c>
      <c r="P31" s="41" t="s">
        <v>61</v>
      </c>
      <c r="Q31" s="46"/>
      <c r="R31" s="46"/>
      <c r="S31" s="46"/>
      <c r="T31" s="46"/>
      <c r="U31" s="46" t="s">
        <v>37</v>
      </c>
      <c r="V31" s="47">
        <v>11250</v>
      </c>
      <c r="W31" s="44">
        <v>5.33</v>
      </c>
      <c r="X31" s="95">
        <v>717.67</v>
      </c>
      <c r="Y31" s="56">
        <f t="shared" si="0"/>
        <v>610.01949999999999</v>
      </c>
      <c r="Z31" s="58">
        <f t="shared" si="1"/>
        <v>114.45018761726078</v>
      </c>
      <c r="AA31" s="58"/>
      <c r="AB31" s="100"/>
      <c r="AC31" s="72">
        <f>Y31/10</f>
        <v>61.001950000000001</v>
      </c>
      <c r="AD31" s="31"/>
      <c r="AE31" s="31">
        <f>Y31/5</f>
        <v>122.0039</v>
      </c>
      <c r="AF31" s="59"/>
      <c r="AG31" s="42"/>
      <c r="AH31" s="88"/>
      <c r="AI31" s="88"/>
      <c r="AJ31" s="88"/>
      <c r="AK31" s="88"/>
      <c r="AL31" s="88"/>
      <c r="AM31" s="37">
        <v>0.15</v>
      </c>
      <c r="AN31" s="38">
        <f t="shared" si="2"/>
        <v>107.65049999999999</v>
      </c>
      <c r="AP31" s="39"/>
      <c r="AQ31" s="39"/>
      <c r="AR31" s="39"/>
      <c r="AS31" s="39"/>
    </row>
    <row r="32" spans="1:46" ht="57" hidden="1" customHeight="1" thickTop="1" thickBot="1" x14ac:dyDescent="0.4">
      <c r="A32" s="19" t="s">
        <v>85</v>
      </c>
      <c r="B32" s="19">
        <v>238548</v>
      </c>
      <c r="C32" s="19"/>
      <c r="D32" s="19"/>
      <c r="E32" s="19"/>
      <c r="F32" s="20" t="s">
        <v>55</v>
      </c>
      <c r="G32" s="21" t="s">
        <v>138</v>
      </c>
      <c r="H32" s="22" t="s">
        <v>37</v>
      </c>
      <c r="I32" s="23" t="s">
        <v>57</v>
      </c>
      <c r="J32" s="22"/>
      <c r="K32" s="22"/>
      <c r="L32" s="22"/>
      <c r="M32" s="22" t="s">
        <v>37</v>
      </c>
      <c r="N32" s="40"/>
      <c r="O32" s="48" t="s">
        <v>63</v>
      </c>
      <c r="P32" s="41" t="s">
        <v>61</v>
      </c>
      <c r="Q32" s="46"/>
      <c r="R32" s="46"/>
      <c r="S32" s="46"/>
      <c r="T32" s="46"/>
      <c r="U32" s="46" t="s">
        <v>37</v>
      </c>
      <c r="V32" s="47">
        <v>11250</v>
      </c>
      <c r="W32" s="44">
        <v>26.6</v>
      </c>
      <c r="X32" s="71" t="s">
        <v>419</v>
      </c>
      <c r="Y32" s="56" t="e">
        <f t="shared" si="0"/>
        <v>#VALUE!</v>
      </c>
      <c r="Z32" s="58" t="e">
        <f t="shared" si="1"/>
        <v>#VALUE!</v>
      </c>
      <c r="AA32" s="58"/>
      <c r="AB32" s="58"/>
      <c r="AC32" s="31" t="e">
        <f>Y32/50</f>
        <v>#VALUE!</v>
      </c>
      <c r="AD32" s="31"/>
      <c r="AE32" s="31" t="e">
        <f>Y32/25</f>
        <v>#VALUE!</v>
      </c>
      <c r="AF32" s="59"/>
      <c r="AG32" s="42"/>
      <c r="AH32" s="43"/>
      <c r="AI32" s="43"/>
      <c r="AJ32" s="43"/>
      <c r="AK32" s="43"/>
      <c r="AL32" s="43"/>
      <c r="AM32" s="37">
        <v>0.15</v>
      </c>
      <c r="AN32" s="38" t="e">
        <f t="shared" si="2"/>
        <v>#VALUE!</v>
      </c>
      <c r="AS32" s="39"/>
    </row>
    <row r="33" spans="1:46" ht="44.5" customHeight="1" thickTop="1" thickBot="1" x14ac:dyDescent="0.4">
      <c r="A33" s="19" t="s">
        <v>86</v>
      </c>
      <c r="B33" s="19">
        <v>219056</v>
      </c>
      <c r="C33" s="19">
        <v>222.64</v>
      </c>
      <c r="D33" s="19">
        <v>1231.6600000000001</v>
      </c>
      <c r="E33" s="19">
        <v>-187.32</v>
      </c>
      <c r="F33" s="20" t="s">
        <v>55</v>
      </c>
      <c r="G33" s="21" t="s">
        <v>138</v>
      </c>
      <c r="H33" s="22" t="s">
        <v>37</v>
      </c>
      <c r="I33" s="23" t="s">
        <v>57</v>
      </c>
      <c r="J33" s="22"/>
      <c r="K33" s="22"/>
      <c r="L33" s="22"/>
      <c r="M33" s="22" t="s">
        <v>37</v>
      </c>
      <c r="N33" s="40"/>
      <c r="O33" s="48" t="s">
        <v>66</v>
      </c>
      <c r="P33" s="48" t="s">
        <v>67</v>
      </c>
      <c r="Q33" s="41" t="s">
        <v>61</v>
      </c>
      <c r="R33" s="46"/>
      <c r="S33" s="46"/>
      <c r="T33" s="41" t="s">
        <v>68</v>
      </c>
      <c r="U33" s="46" t="s">
        <v>37</v>
      </c>
      <c r="V33" s="47">
        <v>11250</v>
      </c>
      <c r="W33" s="44">
        <v>7.11</v>
      </c>
      <c r="X33" s="95">
        <v>973</v>
      </c>
      <c r="Y33" s="56">
        <f t="shared" si="0"/>
        <v>827.05</v>
      </c>
      <c r="Z33" s="58">
        <f t="shared" si="1"/>
        <v>116.32208157524612</v>
      </c>
      <c r="AA33" s="58"/>
      <c r="AB33" s="110" t="s">
        <v>417</v>
      </c>
      <c r="AC33" s="31">
        <f>Y33/10</f>
        <v>82.704999999999998</v>
      </c>
      <c r="AD33" s="31"/>
      <c r="AE33" s="241">
        <f>Y33/5</f>
        <v>165.41</v>
      </c>
      <c r="AF33" s="59"/>
      <c r="AG33" s="49">
        <f>Y33/2.5</f>
        <v>330.82</v>
      </c>
      <c r="AH33" s="87"/>
      <c r="AI33" s="87"/>
      <c r="AJ33" s="87"/>
      <c r="AK33" s="90"/>
      <c r="AL33" s="52">
        <f t="shared" ref="AL33:AL34" si="7">AE33/AT33</f>
        <v>1.1431237042156186</v>
      </c>
      <c r="AM33" s="37">
        <v>0.15</v>
      </c>
      <c r="AN33" s="38">
        <f t="shared" si="2"/>
        <v>145.94999999999999</v>
      </c>
      <c r="AP33" s="39"/>
      <c r="AQ33" s="39"/>
      <c r="AR33" s="39"/>
      <c r="AS33" s="39"/>
      <c r="AT33" s="39">
        <v>144.69999999999999</v>
      </c>
    </row>
    <row r="34" spans="1:46" ht="52.5" hidden="1" customHeight="1" thickTop="1" thickBot="1" x14ac:dyDescent="0.4">
      <c r="A34" s="19" t="s">
        <v>87</v>
      </c>
      <c r="B34" s="19">
        <v>238749</v>
      </c>
      <c r="C34" s="19"/>
      <c r="D34" s="19"/>
      <c r="E34" s="19"/>
      <c r="F34" s="20" t="s">
        <v>55</v>
      </c>
      <c r="G34" s="21" t="s">
        <v>138</v>
      </c>
      <c r="H34" s="22" t="s">
        <v>37</v>
      </c>
      <c r="I34" s="23" t="s">
        <v>57</v>
      </c>
      <c r="J34" s="22"/>
      <c r="K34" s="22"/>
      <c r="L34" s="22"/>
      <c r="M34" s="22" t="s">
        <v>37</v>
      </c>
      <c r="N34" s="40"/>
      <c r="O34" s="48" t="s">
        <v>66</v>
      </c>
      <c r="P34" s="48" t="s">
        <v>67</v>
      </c>
      <c r="Q34" s="41" t="s">
        <v>61</v>
      </c>
      <c r="R34" s="46"/>
      <c r="S34" s="46"/>
      <c r="T34" s="41" t="s">
        <v>68</v>
      </c>
      <c r="U34" s="46" t="s">
        <v>37</v>
      </c>
      <c r="V34" s="47">
        <v>11250</v>
      </c>
      <c r="W34" s="44">
        <v>35.6</v>
      </c>
      <c r="X34" s="71" t="s">
        <v>419</v>
      </c>
      <c r="Y34" s="56" t="e">
        <f t="shared" si="0"/>
        <v>#VALUE!</v>
      </c>
      <c r="Z34" s="58" t="e">
        <f t="shared" si="1"/>
        <v>#VALUE!</v>
      </c>
      <c r="AA34" s="58"/>
      <c r="AB34" s="58"/>
      <c r="AC34" s="31" t="e">
        <f>Y34/50</f>
        <v>#VALUE!</v>
      </c>
      <c r="AD34" s="31"/>
      <c r="AE34" s="31" t="e">
        <f>Y34/25</f>
        <v>#VALUE!</v>
      </c>
      <c r="AF34" s="59"/>
      <c r="AG34" s="49" t="e">
        <f>Y34/12.5</f>
        <v>#VALUE!</v>
      </c>
      <c r="AH34" s="50"/>
      <c r="AI34" s="50"/>
      <c r="AJ34" s="50"/>
      <c r="AK34" s="53"/>
      <c r="AL34" s="52" t="e">
        <f t="shared" si="7"/>
        <v>#VALUE!</v>
      </c>
      <c r="AM34" s="37">
        <v>0.15</v>
      </c>
      <c r="AN34" s="38" t="e">
        <f t="shared" si="2"/>
        <v>#VALUE!</v>
      </c>
      <c r="AS34" s="39"/>
      <c r="AT34" s="39">
        <v>113.08</v>
      </c>
    </row>
    <row r="35" spans="1:46" ht="51" hidden="1" customHeight="1" thickTop="1" thickBot="1" x14ac:dyDescent="0.4">
      <c r="A35" s="19" t="s">
        <v>88</v>
      </c>
      <c r="B35" s="19">
        <v>219058</v>
      </c>
      <c r="C35" s="19">
        <v>275.22000000000003</v>
      </c>
      <c r="D35" s="19">
        <v>1539.57</v>
      </c>
      <c r="E35" s="19">
        <v>-179.75</v>
      </c>
      <c r="F35" s="20" t="s">
        <v>55</v>
      </c>
      <c r="G35" s="21" t="s">
        <v>138</v>
      </c>
      <c r="H35" s="22" t="s">
        <v>37</v>
      </c>
      <c r="I35" s="23" t="s">
        <v>57</v>
      </c>
      <c r="J35" s="22"/>
      <c r="K35" s="22"/>
      <c r="L35" s="22"/>
      <c r="M35" s="22" t="s">
        <v>37</v>
      </c>
      <c r="N35" s="40"/>
      <c r="O35" s="46"/>
      <c r="P35" s="48" t="s">
        <v>71</v>
      </c>
      <c r="Q35" s="48" t="s">
        <v>72</v>
      </c>
      <c r="R35" s="41" t="s">
        <v>61</v>
      </c>
      <c r="S35" s="46"/>
      <c r="T35" s="46"/>
      <c r="U35" s="46" t="s">
        <v>37</v>
      </c>
      <c r="V35" s="47">
        <v>11250</v>
      </c>
      <c r="W35" s="44">
        <v>8.89</v>
      </c>
      <c r="X35" s="95">
        <v>1231.78</v>
      </c>
      <c r="Y35" s="56">
        <f t="shared" si="0"/>
        <v>1047.0129999999999</v>
      </c>
      <c r="Z35" s="58">
        <f t="shared" si="1"/>
        <v>117.77424071991</v>
      </c>
      <c r="AA35" s="58"/>
      <c r="AB35" s="100"/>
      <c r="AC35" s="31">
        <f>Y35/10</f>
        <v>104.70129999999999</v>
      </c>
      <c r="AD35" s="31"/>
      <c r="AE35" s="31">
        <f>Y35/5</f>
        <v>209.40259999999998</v>
      </c>
      <c r="AF35" s="59"/>
      <c r="AG35" s="42"/>
      <c r="AH35" s="88"/>
      <c r="AI35" s="88"/>
      <c r="AJ35" s="88"/>
      <c r="AK35" s="90"/>
      <c r="AL35" s="88"/>
      <c r="AM35" s="37">
        <v>0.15</v>
      </c>
      <c r="AN35" s="38">
        <f t="shared" si="2"/>
        <v>184.767</v>
      </c>
      <c r="AP35" s="39"/>
      <c r="AQ35" s="39"/>
      <c r="AR35" s="39"/>
      <c r="AS35" s="39"/>
      <c r="AT35" s="39"/>
    </row>
    <row r="36" spans="1:46" ht="53" hidden="1" customHeight="1" thickTop="1" thickBot="1" x14ac:dyDescent="0.4">
      <c r="A36" s="19" t="s">
        <v>89</v>
      </c>
      <c r="B36" s="19">
        <v>233118</v>
      </c>
      <c r="C36" s="19"/>
      <c r="D36" s="19"/>
      <c r="E36" s="19"/>
      <c r="F36" s="20" t="s">
        <v>55</v>
      </c>
      <c r="G36" s="21" t="s">
        <v>138</v>
      </c>
      <c r="H36" s="22" t="s">
        <v>37</v>
      </c>
      <c r="I36" s="23" t="s">
        <v>57</v>
      </c>
      <c r="J36" s="22"/>
      <c r="K36" s="22"/>
      <c r="L36" s="22"/>
      <c r="M36" s="22" t="s">
        <v>37</v>
      </c>
      <c r="N36" s="40"/>
      <c r="O36" s="46"/>
      <c r="P36" s="48" t="s">
        <v>71</v>
      </c>
      <c r="Q36" s="48" t="s">
        <v>72</v>
      </c>
      <c r="R36" s="41" t="s">
        <v>61</v>
      </c>
      <c r="S36" s="46"/>
      <c r="T36" s="46"/>
      <c r="U36" s="46" t="s">
        <v>37</v>
      </c>
      <c r="V36" s="47">
        <v>11250</v>
      </c>
      <c r="W36" s="44">
        <v>44.4</v>
      </c>
      <c r="X36" s="71" t="s">
        <v>419</v>
      </c>
      <c r="Y36" s="56" t="e">
        <f t="shared" si="0"/>
        <v>#VALUE!</v>
      </c>
      <c r="Z36" s="58" t="e">
        <f t="shared" si="1"/>
        <v>#VALUE!</v>
      </c>
      <c r="AA36" s="58"/>
      <c r="AB36" s="58"/>
      <c r="AC36" s="31" t="e">
        <f>Y36/50</f>
        <v>#VALUE!</v>
      </c>
      <c r="AD36" s="31"/>
      <c r="AE36" s="31" t="e">
        <f>Y36/25</f>
        <v>#VALUE!</v>
      </c>
      <c r="AF36" s="59"/>
      <c r="AG36" s="42"/>
      <c r="AH36" s="43"/>
      <c r="AI36" s="43"/>
      <c r="AJ36" s="43"/>
      <c r="AK36" s="53"/>
      <c r="AL36" s="43"/>
      <c r="AM36" s="37">
        <v>0.15</v>
      </c>
      <c r="AN36" s="38" t="e">
        <f t="shared" si="2"/>
        <v>#VALUE!</v>
      </c>
      <c r="AS36" s="39"/>
      <c r="AT36" s="39"/>
    </row>
    <row r="37" spans="1:46" ht="52" customHeight="1" thickTop="1" thickBot="1" x14ac:dyDescent="0.4">
      <c r="A37" s="19" t="s">
        <v>90</v>
      </c>
      <c r="B37" s="19">
        <v>238568</v>
      </c>
      <c r="C37" s="19"/>
      <c r="D37" s="19"/>
      <c r="E37" s="19"/>
      <c r="F37" s="20" t="s">
        <v>75</v>
      </c>
      <c r="G37" s="21" t="s">
        <v>138</v>
      </c>
      <c r="H37" s="22" t="s">
        <v>37</v>
      </c>
      <c r="I37" s="23" t="s">
        <v>57</v>
      </c>
      <c r="J37" s="22"/>
      <c r="K37" s="22"/>
      <c r="L37" s="22"/>
      <c r="M37" s="22" t="s">
        <v>37</v>
      </c>
      <c r="N37" s="40"/>
      <c r="O37" s="46"/>
      <c r="P37" s="46"/>
      <c r="Q37" s="48" t="s">
        <v>76</v>
      </c>
      <c r="R37" s="46"/>
      <c r="S37" s="41" t="s">
        <v>61</v>
      </c>
      <c r="T37" s="24"/>
      <c r="U37" s="46" t="s">
        <v>37</v>
      </c>
      <c r="V37" s="47">
        <v>11250</v>
      </c>
      <c r="W37" s="54">
        <v>10.67</v>
      </c>
      <c r="X37" s="55">
        <v>1493.67</v>
      </c>
      <c r="Y37" s="56">
        <f t="shared" si="0"/>
        <v>1344.3030000000001</v>
      </c>
      <c r="Z37" s="58">
        <f t="shared" si="1"/>
        <v>125.98903467666355</v>
      </c>
      <c r="AA37" s="58"/>
      <c r="AB37" s="58"/>
      <c r="AC37" s="106">
        <f>Y37/10</f>
        <v>134.43030000000002</v>
      </c>
      <c r="AD37" s="31"/>
      <c r="AE37" s="31">
        <f>Y37/5</f>
        <v>268.86060000000003</v>
      </c>
      <c r="AF37" s="59"/>
      <c r="AG37" s="42"/>
      <c r="AH37" s="43"/>
      <c r="AI37" s="43"/>
      <c r="AJ37" s="43"/>
      <c r="AK37" s="45">
        <f>AC37/AS37</f>
        <v>1.1177375904215516</v>
      </c>
      <c r="AL37" s="43"/>
      <c r="AM37" s="37">
        <v>0.1</v>
      </c>
      <c r="AN37" s="38">
        <f t="shared" si="2"/>
        <v>149.36700000000002</v>
      </c>
      <c r="AO37" s="62" t="e">
        <f>(AC37-AC49)/AS37</f>
        <v>#VALUE!</v>
      </c>
      <c r="AS37" s="39">
        <v>120.27</v>
      </c>
      <c r="AT37" s="39"/>
    </row>
    <row r="38" spans="1:46" ht="63" hidden="1" customHeight="1" thickTop="1" thickBot="1" x14ac:dyDescent="0.4">
      <c r="A38" s="19" t="s">
        <v>91</v>
      </c>
      <c r="B38" s="19">
        <v>238571</v>
      </c>
      <c r="C38" s="19"/>
      <c r="D38" s="19"/>
      <c r="E38" s="19"/>
      <c r="F38" s="20" t="s">
        <v>75</v>
      </c>
      <c r="G38" s="21" t="s">
        <v>138</v>
      </c>
      <c r="H38" s="22" t="s">
        <v>37</v>
      </c>
      <c r="I38" s="23" t="s">
        <v>57</v>
      </c>
      <c r="J38" s="22"/>
      <c r="K38" s="22"/>
      <c r="L38" s="22"/>
      <c r="M38" s="22" t="s">
        <v>37</v>
      </c>
      <c r="N38" s="40"/>
      <c r="O38" s="46"/>
      <c r="P38" s="46"/>
      <c r="Q38" s="46"/>
      <c r="R38" s="48" t="s">
        <v>78</v>
      </c>
      <c r="S38" s="46"/>
      <c r="T38" s="41" t="s">
        <v>79</v>
      </c>
      <c r="U38" s="46" t="s">
        <v>37</v>
      </c>
      <c r="V38" s="47">
        <v>11250</v>
      </c>
      <c r="W38" s="54">
        <v>13.33</v>
      </c>
      <c r="X38" s="55">
        <v>1886.49</v>
      </c>
      <c r="Y38" s="56">
        <f t="shared" si="0"/>
        <v>1697.8409999999999</v>
      </c>
      <c r="Z38" s="58">
        <f t="shared" si="1"/>
        <v>127.36991747936983</v>
      </c>
      <c r="AA38" s="58"/>
      <c r="AB38" s="58"/>
      <c r="AC38" s="31">
        <f>Y38/10</f>
        <v>169.7841</v>
      </c>
      <c r="AD38" s="31"/>
      <c r="AE38" s="31">
        <f>Y38/5</f>
        <v>339.56819999999999</v>
      </c>
      <c r="AF38" s="59"/>
      <c r="AG38" s="42"/>
      <c r="AH38" s="43"/>
      <c r="AI38" s="43"/>
      <c r="AJ38" s="43"/>
      <c r="AK38" s="43"/>
      <c r="AL38" s="43"/>
      <c r="AM38" s="37">
        <v>0.1</v>
      </c>
      <c r="AN38" s="63">
        <f t="shared" si="2"/>
        <v>188.649</v>
      </c>
      <c r="AO38" s="64"/>
      <c r="AP38" s="64"/>
      <c r="AQ38" s="64"/>
      <c r="AR38" s="64"/>
      <c r="AS38" s="65"/>
    </row>
    <row r="39" spans="1:46" ht="38.25" hidden="1" customHeight="1" thickTop="1" thickBot="1" x14ac:dyDescent="0.4">
      <c r="A39" s="19" t="s">
        <v>92</v>
      </c>
      <c r="B39" s="19">
        <v>258276</v>
      </c>
      <c r="C39" s="19">
        <v>120.23</v>
      </c>
      <c r="D39" s="19">
        <v>368.16</v>
      </c>
      <c r="E39" s="19">
        <v>101.8</v>
      </c>
      <c r="F39" s="20" t="s">
        <v>93</v>
      </c>
      <c r="G39" s="21" t="s">
        <v>137</v>
      </c>
      <c r="H39" s="22" t="s">
        <v>37</v>
      </c>
      <c r="I39" s="23" t="s">
        <v>94</v>
      </c>
      <c r="J39" s="24" t="s">
        <v>46</v>
      </c>
      <c r="K39" s="24" t="s">
        <v>95</v>
      </c>
      <c r="L39" s="22"/>
      <c r="M39" s="22" t="s">
        <v>37</v>
      </c>
      <c r="N39" s="23" t="s">
        <v>40</v>
      </c>
      <c r="O39" s="46"/>
      <c r="P39" s="46"/>
      <c r="Q39" s="46"/>
      <c r="R39" s="46"/>
      <c r="S39" s="46"/>
      <c r="T39" s="46"/>
      <c r="U39" s="46" t="s">
        <v>37</v>
      </c>
      <c r="V39" s="47">
        <v>5700</v>
      </c>
      <c r="W39" s="54">
        <v>5</v>
      </c>
      <c r="X39" s="95">
        <v>434.05</v>
      </c>
      <c r="Y39" s="56">
        <f t="shared" si="0"/>
        <v>373.28300000000002</v>
      </c>
      <c r="Z39" s="58">
        <f t="shared" si="1"/>
        <v>74.656599999999997</v>
      </c>
      <c r="AA39" s="72">
        <f>Y39/10</f>
        <v>37.328299999999999</v>
      </c>
      <c r="AB39" s="101" t="s">
        <v>147</v>
      </c>
      <c r="AC39" s="59"/>
      <c r="AD39" s="59"/>
      <c r="AE39" s="59"/>
      <c r="AF39" s="32" t="e">
        <f>Z39/AP39</f>
        <v>#DIV/0!</v>
      </c>
      <c r="AG39" s="60"/>
      <c r="AH39" s="80"/>
      <c r="AI39" s="84"/>
      <c r="AJ39" s="77">
        <f t="shared" ref="AJ39" si="8">AA39/AR39</f>
        <v>1.5638165060745706</v>
      </c>
      <c r="AK39" s="84"/>
      <c r="AL39" s="84"/>
      <c r="AM39" s="37">
        <v>0.14000000000000001</v>
      </c>
      <c r="AN39" s="63">
        <f t="shared" si="2"/>
        <v>60.76700000000001</v>
      </c>
      <c r="AO39" s="64"/>
      <c r="AP39" s="39"/>
      <c r="AQ39" s="39"/>
      <c r="AR39" s="39">
        <v>23.87</v>
      </c>
      <c r="AS39" s="64"/>
    </row>
    <row r="40" spans="1:46" ht="39" hidden="1" customHeight="1" thickTop="1" thickBot="1" x14ac:dyDescent="0.4">
      <c r="A40" s="19" t="s">
        <v>96</v>
      </c>
      <c r="B40" s="19">
        <v>258283</v>
      </c>
      <c r="C40" s="19">
        <v>141.61000000000001</v>
      </c>
      <c r="D40" s="19">
        <v>490.89</v>
      </c>
      <c r="E40" s="19">
        <v>89.53</v>
      </c>
      <c r="F40" s="20" t="s">
        <v>93</v>
      </c>
      <c r="G40" s="21" t="s">
        <v>137</v>
      </c>
      <c r="H40" s="22" t="s">
        <v>37</v>
      </c>
      <c r="I40" s="23" t="s">
        <v>97</v>
      </c>
      <c r="J40" s="22"/>
      <c r="K40" s="24" t="s">
        <v>98</v>
      </c>
      <c r="L40" s="24" t="s">
        <v>99</v>
      </c>
      <c r="M40" s="22" t="s">
        <v>37</v>
      </c>
      <c r="N40" s="23" t="s">
        <v>40</v>
      </c>
      <c r="O40" s="46"/>
      <c r="P40" s="41" t="s">
        <v>100</v>
      </c>
      <c r="Q40" s="46"/>
      <c r="R40" s="46"/>
      <c r="S40" s="46"/>
      <c r="T40" s="46"/>
      <c r="U40" s="46" t="s">
        <v>37</v>
      </c>
      <c r="V40" s="47">
        <v>5700</v>
      </c>
      <c r="W40" s="54">
        <v>6.67</v>
      </c>
      <c r="X40" s="95">
        <v>512.89</v>
      </c>
      <c r="Y40" s="56">
        <f t="shared" si="0"/>
        <v>441.08539999999999</v>
      </c>
      <c r="Z40" s="58">
        <f t="shared" si="1"/>
        <v>66.12974512743628</v>
      </c>
      <c r="AA40" s="72">
        <f>Y40/10</f>
        <v>44.108539999999998</v>
      </c>
      <c r="AB40" s="102" t="s">
        <v>152</v>
      </c>
      <c r="AC40" s="59"/>
      <c r="AD40" s="59"/>
      <c r="AE40" s="59"/>
      <c r="AF40" s="32">
        <f>Z40/AP40</f>
        <v>2.0543567917811831</v>
      </c>
      <c r="AG40" s="60"/>
      <c r="AH40" s="85">
        <f t="shared" ref="AH40" si="9">AA40/AP40</f>
        <v>1.3702559801180492</v>
      </c>
      <c r="AI40" s="79"/>
      <c r="AJ40" s="76"/>
      <c r="AK40" s="84"/>
      <c r="AL40" s="84"/>
      <c r="AM40" s="37">
        <v>0.14000000000000001</v>
      </c>
      <c r="AN40" s="38">
        <f t="shared" si="2"/>
        <v>71.804600000000008</v>
      </c>
      <c r="AP40" s="39">
        <v>32.19</v>
      </c>
      <c r="AQ40" s="39">
        <v>40.06</v>
      </c>
      <c r="AR40" s="39"/>
    </row>
    <row r="41" spans="1:46" ht="39" hidden="1" customHeight="1" thickTop="1" thickBot="1" x14ac:dyDescent="0.4">
      <c r="A41" s="19" t="s">
        <v>96</v>
      </c>
      <c r="B41" s="19">
        <v>258283</v>
      </c>
      <c r="C41" s="19">
        <v>141.61000000000001</v>
      </c>
      <c r="D41" s="19">
        <v>490.89</v>
      </c>
      <c r="E41" s="19">
        <v>89.53</v>
      </c>
      <c r="F41" s="20" t="s">
        <v>93</v>
      </c>
      <c r="G41" s="21" t="s">
        <v>137</v>
      </c>
      <c r="H41" s="22" t="s">
        <v>37</v>
      </c>
      <c r="I41" s="23" t="s">
        <v>97</v>
      </c>
      <c r="J41" s="22"/>
      <c r="K41" s="24" t="s">
        <v>98</v>
      </c>
      <c r="L41" s="24" t="s">
        <v>99</v>
      </c>
      <c r="M41" s="22" t="s">
        <v>37</v>
      </c>
      <c r="N41" s="23" t="s">
        <v>40</v>
      </c>
      <c r="O41" s="46"/>
      <c r="P41" s="41" t="s">
        <v>100</v>
      </c>
      <c r="Q41" s="46"/>
      <c r="R41" s="46"/>
      <c r="S41" s="46"/>
      <c r="T41" s="46"/>
      <c r="U41" s="46" t="s">
        <v>37</v>
      </c>
      <c r="V41" s="47">
        <v>14250</v>
      </c>
      <c r="W41" s="54">
        <v>2.67</v>
      </c>
      <c r="X41" s="95">
        <v>512.89</v>
      </c>
      <c r="Y41" s="56">
        <f t="shared" si="0"/>
        <v>441.08539999999999</v>
      </c>
      <c r="Z41" s="58">
        <f t="shared" si="1"/>
        <v>165.20052434456929</v>
      </c>
      <c r="AA41" s="30">
        <f>Y41/10</f>
        <v>44.108539999999998</v>
      </c>
      <c r="AB41" s="100"/>
      <c r="AC41" s="59"/>
      <c r="AD41" s="59"/>
      <c r="AE41" s="72">
        <f>Y41/5</f>
        <v>88.217079999999996</v>
      </c>
      <c r="AF41" s="59"/>
      <c r="AG41" s="42"/>
      <c r="AH41" s="88"/>
      <c r="AI41" s="88"/>
      <c r="AJ41" s="88"/>
      <c r="AK41" s="88"/>
      <c r="AL41" s="88"/>
      <c r="AM41" s="37">
        <v>0.14000000000000001</v>
      </c>
      <c r="AN41" s="38">
        <f t="shared" si="2"/>
        <v>71.804600000000008</v>
      </c>
      <c r="AP41" s="39"/>
      <c r="AQ41" s="39"/>
      <c r="AR41" s="39"/>
      <c r="AS41" s="39"/>
    </row>
    <row r="42" spans="1:46" ht="39" hidden="1" customHeight="1" thickTop="1" thickBot="1" x14ac:dyDescent="0.4">
      <c r="A42" s="19" t="s">
        <v>101</v>
      </c>
      <c r="B42" s="19">
        <v>258278</v>
      </c>
      <c r="C42" s="19">
        <v>173.67</v>
      </c>
      <c r="D42" s="19">
        <v>736.33</v>
      </c>
      <c r="E42" s="19">
        <v>14.24</v>
      </c>
      <c r="F42" s="20" t="s">
        <v>93</v>
      </c>
      <c r="G42" s="21" t="s">
        <v>137</v>
      </c>
      <c r="H42" s="22" t="s">
        <v>37</v>
      </c>
      <c r="I42" s="23" t="s">
        <v>102</v>
      </c>
      <c r="J42" s="22"/>
      <c r="K42" s="24" t="s">
        <v>103</v>
      </c>
      <c r="L42" s="24" t="s">
        <v>104</v>
      </c>
      <c r="M42" s="22" t="s">
        <v>37</v>
      </c>
      <c r="N42" s="23" t="s">
        <v>40</v>
      </c>
      <c r="O42" s="46"/>
      <c r="P42" s="46"/>
      <c r="Q42" s="46"/>
      <c r="R42" s="46"/>
      <c r="S42" s="46"/>
      <c r="T42" s="46"/>
      <c r="U42" s="46" t="s">
        <v>37</v>
      </c>
      <c r="V42" s="47">
        <v>5700</v>
      </c>
      <c r="W42" s="54">
        <v>10</v>
      </c>
      <c r="X42" s="95">
        <v>688.17</v>
      </c>
      <c r="Y42" s="56">
        <f t="shared" si="0"/>
        <v>591.82619999999997</v>
      </c>
      <c r="Z42" s="58">
        <f t="shared" si="1"/>
        <v>59.18262</v>
      </c>
      <c r="AA42" s="30">
        <f>Y42/10</f>
        <v>59.18262</v>
      </c>
      <c r="AB42" s="102" t="s">
        <v>153</v>
      </c>
      <c r="AC42" s="59"/>
      <c r="AD42" s="59"/>
      <c r="AE42" s="59"/>
      <c r="AF42" s="32" t="e">
        <f>Z42/AP42</f>
        <v>#DIV/0!</v>
      </c>
      <c r="AG42" s="60"/>
      <c r="AH42" s="86"/>
      <c r="AI42" s="79">
        <f>AA42/AQ42</f>
        <v>1.4773494757863204</v>
      </c>
      <c r="AJ42" s="76"/>
      <c r="AK42" s="84"/>
      <c r="AL42" s="84"/>
      <c r="AM42" s="37">
        <v>0.14000000000000001</v>
      </c>
      <c r="AN42" s="38">
        <f t="shared" si="2"/>
        <v>96.343800000000002</v>
      </c>
      <c r="AP42" s="39"/>
      <c r="AQ42" s="39">
        <v>40.06</v>
      </c>
      <c r="AR42" s="39"/>
    </row>
    <row r="43" spans="1:46" ht="43.5" hidden="1" customHeight="1" thickTop="1" thickBot="1" x14ac:dyDescent="0.4">
      <c r="A43" s="19" t="s">
        <v>101</v>
      </c>
      <c r="B43" s="19">
        <v>258278</v>
      </c>
      <c r="C43" s="19">
        <v>173.67</v>
      </c>
      <c r="D43" s="19">
        <v>736.33</v>
      </c>
      <c r="E43" s="19">
        <v>14.24</v>
      </c>
      <c r="F43" s="20" t="s">
        <v>93</v>
      </c>
      <c r="G43" s="21" t="s">
        <v>137</v>
      </c>
      <c r="H43" s="22" t="s">
        <v>37</v>
      </c>
      <c r="I43" s="23" t="s">
        <v>102</v>
      </c>
      <c r="J43" s="22"/>
      <c r="K43" s="22"/>
      <c r="L43" s="22"/>
      <c r="M43" s="22" t="s">
        <v>37</v>
      </c>
      <c r="N43" s="40"/>
      <c r="O43" s="46"/>
      <c r="P43" s="41" t="s">
        <v>105</v>
      </c>
      <c r="Q43" s="41" t="s">
        <v>106</v>
      </c>
      <c r="R43" s="46"/>
      <c r="S43" s="41" t="s">
        <v>107</v>
      </c>
      <c r="T43" s="41" t="s">
        <v>108</v>
      </c>
      <c r="U43" s="46" t="s">
        <v>37</v>
      </c>
      <c r="V43" s="47">
        <v>14250</v>
      </c>
      <c r="W43" s="54">
        <v>4</v>
      </c>
      <c r="X43" s="95">
        <v>688.17</v>
      </c>
      <c r="Y43" s="56">
        <f t="shared" si="0"/>
        <v>591.82619999999997</v>
      </c>
      <c r="Z43" s="58">
        <f t="shared" si="1"/>
        <v>147.95654999999999</v>
      </c>
      <c r="AA43" s="30">
        <f>Y43/10</f>
        <v>59.18262</v>
      </c>
      <c r="AB43" s="100"/>
      <c r="AC43" s="59"/>
      <c r="AD43" s="59"/>
      <c r="AE43" s="31">
        <f>Y43/5</f>
        <v>118.36524</v>
      </c>
      <c r="AF43" s="59"/>
      <c r="AG43" s="242">
        <f>Y43/2.5</f>
        <v>236.73048</v>
      </c>
      <c r="AH43" s="92"/>
      <c r="AI43" s="92"/>
      <c r="AJ43" s="92"/>
      <c r="AK43" s="93"/>
      <c r="AL43" s="92"/>
      <c r="AM43" s="37">
        <v>0.14000000000000001</v>
      </c>
      <c r="AN43" s="38">
        <f t="shared" si="2"/>
        <v>96.343800000000002</v>
      </c>
      <c r="AP43" s="39"/>
      <c r="AQ43" s="39"/>
      <c r="AR43" s="39"/>
      <c r="AS43" s="39"/>
      <c r="AT43" s="39"/>
    </row>
    <row r="44" spans="1:46" ht="42.5" customHeight="1" thickTop="1" thickBot="1" x14ac:dyDescent="0.4">
      <c r="A44" s="19" t="s">
        <v>109</v>
      </c>
      <c r="B44" s="19">
        <v>258274</v>
      </c>
      <c r="C44" s="19">
        <v>242.19</v>
      </c>
      <c r="D44" s="19">
        <v>923.75</v>
      </c>
      <c r="E44" s="19">
        <v>237.91</v>
      </c>
      <c r="F44" s="20" t="s">
        <v>93</v>
      </c>
      <c r="G44" s="21" t="s">
        <v>137</v>
      </c>
      <c r="H44" s="22" t="s">
        <v>37</v>
      </c>
      <c r="I44" s="23"/>
      <c r="J44" s="22"/>
      <c r="K44" s="22"/>
      <c r="L44" s="22"/>
      <c r="M44" s="22" t="s">
        <v>37</v>
      </c>
      <c r="N44" s="40"/>
      <c r="O44" s="46"/>
      <c r="P44" s="46"/>
      <c r="Q44" s="41" t="s">
        <v>110</v>
      </c>
      <c r="R44" s="41" t="s">
        <v>111</v>
      </c>
      <c r="S44" s="46"/>
      <c r="T44" s="24"/>
      <c r="U44" s="46" t="s">
        <v>37</v>
      </c>
      <c r="V44" s="47">
        <v>14250</v>
      </c>
      <c r="W44" s="54">
        <v>5.33</v>
      </c>
      <c r="X44" s="55">
        <v>841.28</v>
      </c>
      <c r="Y44" s="56">
        <f t="shared" si="0"/>
        <v>723.50080000000003</v>
      </c>
      <c r="Z44" s="58">
        <f t="shared" si="1"/>
        <v>135.7412382739212</v>
      </c>
      <c r="AA44" s="58"/>
      <c r="AB44" s="100"/>
      <c r="AC44" s="59"/>
      <c r="AD44" s="59"/>
      <c r="AE44" s="105">
        <f>Y44/5</f>
        <v>144.70016000000001</v>
      </c>
      <c r="AF44" s="59"/>
      <c r="AG44" s="42"/>
      <c r="AH44" s="88"/>
      <c r="AI44" s="88"/>
      <c r="AJ44" s="88"/>
      <c r="AK44" s="90"/>
      <c r="AL44" s="285">
        <f>AE44/AT44</f>
        <v>1.0000011057360056</v>
      </c>
      <c r="AM44" s="37">
        <v>0.14000000000000001</v>
      </c>
      <c r="AN44" s="38">
        <f t="shared" si="2"/>
        <v>117.7792</v>
      </c>
      <c r="AP44" s="39"/>
      <c r="AQ44" s="39"/>
      <c r="AR44" s="39"/>
      <c r="AS44" s="39"/>
      <c r="AT44" s="39">
        <v>144.69999999999999</v>
      </c>
    </row>
    <row r="45" spans="1:46" ht="45.75" hidden="1" customHeight="1" thickTop="1" thickBot="1" x14ac:dyDescent="0.4">
      <c r="A45" s="19" t="s">
        <v>112</v>
      </c>
      <c r="B45" s="19">
        <v>258279</v>
      </c>
      <c r="C45" s="19">
        <v>277.27999999999997</v>
      </c>
      <c r="D45" s="19">
        <v>1154.68</v>
      </c>
      <c r="E45" s="19">
        <v>217.51</v>
      </c>
      <c r="F45" s="20" t="s">
        <v>93</v>
      </c>
      <c r="G45" s="21" t="s">
        <v>137</v>
      </c>
      <c r="H45" s="22" t="s">
        <v>37</v>
      </c>
      <c r="I45" s="23"/>
      <c r="J45" s="22"/>
      <c r="K45" s="22"/>
      <c r="L45" s="22"/>
      <c r="M45" s="22" t="s">
        <v>37</v>
      </c>
      <c r="N45" s="40"/>
      <c r="O45" s="46"/>
      <c r="P45" s="46"/>
      <c r="Q45" s="46"/>
      <c r="R45" s="41" t="s">
        <v>113</v>
      </c>
      <c r="S45" s="41" t="s">
        <v>114</v>
      </c>
      <c r="T45" s="46"/>
      <c r="U45" s="46" t="s">
        <v>37</v>
      </c>
      <c r="V45" s="47">
        <v>14250</v>
      </c>
      <c r="W45" s="54">
        <v>6.67</v>
      </c>
      <c r="X45" s="55">
        <v>1097.8599999999999</v>
      </c>
      <c r="Y45" s="56">
        <f t="shared" si="0"/>
        <v>944.15959999999995</v>
      </c>
      <c r="Z45" s="58">
        <f t="shared" si="1"/>
        <v>141.55316341829084</v>
      </c>
      <c r="AA45" s="58"/>
      <c r="AB45" s="100"/>
      <c r="AC45" s="59"/>
      <c r="AD45" s="59"/>
      <c r="AE45" s="31">
        <f>Y45/5</f>
        <v>188.83192</v>
      </c>
      <c r="AF45" s="59"/>
      <c r="AG45" s="42"/>
      <c r="AH45" s="88"/>
      <c r="AI45" s="88"/>
      <c r="AJ45" s="88"/>
      <c r="AK45" s="88"/>
      <c r="AL45" s="88"/>
      <c r="AM45" s="37">
        <v>0.14000000000000001</v>
      </c>
      <c r="AN45" s="38">
        <f t="shared" si="2"/>
        <v>153.7004</v>
      </c>
      <c r="AP45" s="39"/>
      <c r="AQ45" s="39"/>
      <c r="AR45" s="39"/>
      <c r="AS45" s="39"/>
    </row>
    <row r="46" spans="1:46" ht="43.5" hidden="1" customHeight="1" thickTop="1" thickBot="1" x14ac:dyDescent="0.4">
      <c r="A46" s="19" t="s">
        <v>115</v>
      </c>
      <c r="B46" s="19">
        <v>258287</v>
      </c>
      <c r="C46" s="19">
        <v>299.13</v>
      </c>
      <c r="D46" s="19">
        <v>1385.62</v>
      </c>
      <c r="E46" s="19">
        <v>136.06</v>
      </c>
      <c r="F46" s="20" t="s">
        <v>116</v>
      </c>
      <c r="G46" s="21" t="s">
        <v>137</v>
      </c>
      <c r="H46" s="22"/>
      <c r="I46" s="22"/>
      <c r="J46" s="22"/>
      <c r="K46" s="22"/>
      <c r="L46" s="22"/>
      <c r="M46" s="22" t="s">
        <v>37</v>
      </c>
      <c r="N46" s="40"/>
      <c r="O46" s="46"/>
      <c r="P46" s="41" t="s">
        <v>117</v>
      </c>
      <c r="Q46" s="41" t="s">
        <v>118</v>
      </c>
      <c r="R46" s="46"/>
      <c r="S46" s="41" t="s">
        <v>119</v>
      </c>
      <c r="T46" s="41" t="s">
        <v>120</v>
      </c>
      <c r="U46" s="46" t="s">
        <v>37</v>
      </c>
      <c r="V46" s="47">
        <v>14250</v>
      </c>
      <c r="W46" s="27">
        <v>8</v>
      </c>
      <c r="X46" s="66">
        <v>1112.67</v>
      </c>
      <c r="Y46" s="56">
        <f t="shared" si="0"/>
        <v>956.89620000000002</v>
      </c>
      <c r="Z46" s="58">
        <f t="shared" si="1"/>
        <v>119.612025</v>
      </c>
      <c r="AA46" s="58"/>
      <c r="AB46" s="100"/>
      <c r="AC46" s="31">
        <f>Y46/10</f>
        <v>95.689620000000005</v>
      </c>
      <c r="AD46" s="30">
        <f>Y46/5</f>
        <v>191.37924000000001</v>
      </c>
      <c r="AE46" s="59"/>
      <c r="AF46" s="59"/>
      <c r="AG46" s="42"/>
      <c r="AH46" s="88"/>
      <c r="AI46" s="88"/>
      <c r="AJ46" s="88"/>
      <c r="AK46" s="90"/>
      <c r="AL46" s="88"/>
      <c r="AM46" s="37">
        <v>0.14000000000000001</v>
      </c>
      <c r="AN46" s="38">
        <f t="shared" si="2"/>
        <v>155.77380000000002</v>
      </c>
      <c r="AP46" s="39"/>
      <c r="AQ46" s="39"/>
      <c r="AR46" s="39"/>
      <c r="AS46" s="39"/>
      <c r="AT46" s="39"/>
    </row>
    <row r="47" spans="1:46" ht="43.5" hidden="1" customHeight="1" thickTop="1" thickBot="1" x14ac:dyDescent="0.4">
      <c r="A47" s="19" t="s">
        <v>121</v>
      </c>
      <c r="B47" s="19">
        <v>213479</v>
      </c>
      <c r="C47" s="19">
        <v>108.41</v>
      </c>
      <c r="D47" s="19">
        <v>277.13</v>
      </c>
      <c r="E47" s="19">
        <v>139.79</v>
      </c>
      <c r="F47" s="20" t="s">
        <v>116</v>
      </c>
      <c r="G47" s="21" t="s">
        <v>137</v>
      </c>
      <c r="H47" s="22"/>
      <c r="I47" s="22"/>
      <c r="J47" s="22"/>
      <c r="K47" s="22"/>
      <c r="L47" s="22"/>
      <c r="M47" s="22" t="s">
        <v>37</v>
      </c>
      <c r="N47" s="40"/>
      <c r="O47" s="46"/>
      <c r="P47" s="41" t="s">
        <v>117</v>
      </c>
      <c r="Q47" s="41" t="s">
        <v>118</v>
      </c>
      <c r="R47" s="46"/>
      <c r="S47" s="41" t="s">
        <v>119</v>
      </c>
      <c r="T47" s="41" t="s">
        <v>120</v>
      </c>
      <c r="U47" s="46" t="s">
        <v>37</v>
      </c>
      <c r="V47" s="47">
        <v>14250</v>
      </c>
      <c r="W47" s="27">
        <v>1.6</v>
      </c>
      <c r="X47" s="243" t="s">
        <v>419</v>
      </c>
      <c r="Y47" s="56" t="e">
        <f t="shared" si="0"/>
        <v>#VALUE!</v>
      </c>
      <c r="Z47" s="58" t="e">
        <f t="shared" si="1"/>
        <v>#VALUE!</v>
      </c>
      <c r="AA47" s="58"/>
      <c r="AB47" s="100"/>
      <c r="AC47" s="31" t="e">
        <f>Y47/2</f>
        <v>#VALUE!</v>
      </c>
      <c r="AD47" s="31" t="e">
        <f>Y47</f>
        <v>#VALUE!</v>
      </c>
      <c r="AE47" s="59"/>
      <c r="AF47" s="59"/>
      <c r="AG47" s="42"/>
      <c r="AH47" s="88"/>
      <c r="AI47" s="88"/>
      <c r="AJ47" s="88"/>
      <c r="AK47" s="90"/>
      <c r="AL47" s="88"/>
      <c r="AM47" s="37">
        <v>0.14000000000000001</v>
      </c>
      <c r="AN47" s="38" t="e">
        <f t="shared" si="2"/>
        <v>#VALUE!</v>
      </c>
      <c r="AP47" s="39"/>
      <c r="AQ47" s="39"/>
      <c r="AR47" s="39"/>
      <c r="AS47" s="39"/>
      <c r="AT47" s="39"/>
    </row>
    <row r="48" spans="1:46" ht="41.5" customHeight="1" thickTop="1" thickBot="1" x14ac:dyDescent="0.4">
      <c r="A48" s="19" t="s">
        <v>122</v>
      </c>
      <c r="B48" s="19">
        <v>258289</v>
      </c>
      <c r="C48" s="19">
        <v>359.53</v>
      </c>
      <c r="D48" s="19">
        <v>1847.49</v>
      </c>
      <c r="E48" s="19">
        <v>89.88</v>
      </c>
      <c r="F48" s="20" t="s">
        <v>116</v>
      </c>
      <c r="G48" s="21" t="s">
        <v>137</v>
      </c>
      <c r="H48" s="22"/>
      <c r="I48" s="22"/>
      <c r="J48" s="22"/>
      <c r="K48" s="22"/>
      <c r="L48" s="22"/>
      <c r="M48" s="22" t="s">
        <v>37</v>
      </c>
      <c r="N48" s="40"/>
      <c r="O48" s="46"/>
      <c r="P48" s="46"/>
      <c r="Q48" s="41" t="s">
        <v>123</v>
      </c>
      <c r="R48" s="41" t="s">
        <v>124</v>
      </c>
      <c r="S48" s="46"/>
      <c r="T48" s="46"/>
      <c r="U48" s="46" t="s">
        <v>37</v>
      </c>
      <c r="V48" s="47">
        <v>14250</v>
      </c>
      <c r="W48" s="27">
        <v>10.67</v>
      </c>
      <c r="X48" s="66">
        <v>1509.72</v>
      </c>
      <c r="Y48" s="56">
        <f t="shared" si="0"/>
        <v>1298.3592000000001</v>
      </c>
      <c r="Z48" s="58">
        <f t="shared" si="1"/>
        <v>121.68314901593253</v>
      </c>
      <c r="AA48" s="58"/>
      <c r="AB48" s="100"/>
      <c r="AC48" s="106">
        <f>Y48/10</f>
        <v>129.83592000000002</v>
      </c>
      <c r="AD48" s="31"/>
      <c r="AE48" s="59"/>
      <c r="AF48" s="59"/>
      <c r="AG48" s="42"/>
      <c r="AH48" s="88"/>
      <c r="AI48" s="88"/>
      <c r="AJ48" s="88"/>
      <c r="AK48" s="45">
        <f t="shared" ref="AK48" si="10">AC48/AS48</f>
        <v>1.0795370416562735</v>
      </c>
      <c r="AL48" s="88"/>
      <c r="AM48" s="37">
        <v>0.14000000000000001</v>
      </c>
      <c r="AN48" s="38">
        <f t="shared" si="2"/>
        <v>211.36080000000001</v>
      </c>
      <c r="AP48" s="39"/>
      <c r="AQ48" s="39"/>
      <c r="AR48" s="39"/>
      <c r="AS48" s="39">
        <v>120.27</v>
      </c>
      <c r="AT48" s="39"/>
    </row>
    <row r="49" spans="1:46" ht="43.5" hidden="1" customHeight="1" thickTop="1" thickBot="1" x14ac:dyDescent="0.4">
      <c r="A49" s="19" t="s">
        <v>125</v>
      </c>
      <c r="B49" s="19">
        <v>213481</v>
      </c>
      <c r="C49" s="19">
        <v>110.34</v>
      </c>
      <c r="D49" s="19">
        <v>369.49</v>
      </c>
      <c r="E49" s="19">
        <v>55.26</v>
      </c>
      <c r="F49" s="20" t="s">
        <v>116</v>
      </c>
      <c r="G49" s="21" t="s">
        <v>137</v>
      </c>
      <c r="H49" s="22"/>
      <c r="I49" s="22"/>
      <c r="J49" s="22"/>
      <c r="K49" s="22"/>
      <c r="L49" s="22"/>
      <c r="M49" s="22" t="s">
        <v>37</v>
      </c>
      <c r="N49" s="40"/>
      <c r="O49" s="46"/>
      <c r="P49" s="46"/>
      <c r="Q49" s="41" t="s">
        <v>123</v>
      </c>
      <c r="R49" s="41" t="s">
        <v>126</v>
      </c>
      <c r="S49" s="46"/>
      <c r="T49" s="46"/>
      <c r="U49" s="46" t="s">
        <v>37</v>
      </c>
      <c r="V49" s="47">
        <v>14250</v>
      </c>
      <c r="W49" s="27">
        <v>2.13</v>
      </c>
      <c r="X49" s="243" t="s">
        <v>419</v>
      </c>
      <c r="Y49" s="56" t="e">
        <f t="shared" si="0"/>
        <v>#VALUE!</v>
      </c>
      <c r="Z49" s="58" t="e">
        <f t="shared" si="1"/>
        <v>#VALUE!</v>
      </c>
      <c r="AA49" s="58"/>
      <c r="AB49" s="100"/>
      <c r="AC49" s="105" t="e">
        <f>Y49/2</f>
        <v>#VALUE!</v>
      </c>
      <c r="AD49" s="31"/>
      <c r="AE49" s="59"/>
      <c r="AF49" s="59"/>
      <c r="AG49" s="42"/>
      <c r="AH49" s="88"/>
      <c r="AI49" s="88"/>
      <c r="AJ49" s="88"/>
      <c r="AK49" s="103" t="e">
        <f>AC49/AS49</f>
        <v>#VALUE!</v>
      </c>
      <c r="AL49" s="88"/>
      <c r="AM49" s="37">
        <v>0.14000000000000001</v>
      </c>
      <c r="AN49" s="38" t="e">
        <f t="shared" si="2"/>
        <v>#VALUE!</v>
      </c>
      <c r="AP49" s="39"/>
      <c r="AQ49" s="39"/>
      <c r="AR49" s="39"/>
      <c r="AS49" s="39">
        <v>138.34</v>
      </c>
      <c r="AT49" s="39"/>
    </row>
    <row r="50" spans="1:46" ht="39.75" hidden="1" customHeight="1" thickTop="1" thickBot="1" x14ac:dyDescent="0.4">
      <c r="A50" s="19" t="s">
        <v>127</v>
      </c>
      <c r="B50" s="19">
        <v>258291</v>
      </c>
      <c r="C50" s="19">
        <v>419.93</v>
      </c>
      <c r="D50" s="19">
        <v>2309.37</v>
      </c>
      <c r="E50" s="19">
        <v>43.69</v>
      </c>
      <c r="F50" s="20" t="s">
        <v>116</v>
      </c>
      <c r="G50" s="21" t="s">
        <v>137</v>
      </c>
      <c r="H50" s="22"/>
      <c r="I50" s="22"/>
      <c r="J50" s="22"/>
      <c r="K50" s="22"/>
      <c r="L50" s="22"/>
      <c r="M50" s="22" t="s">
        <v>37</v>
      </c>
      <c r="N50" s="40"/>
      <c r="O50" s="46"/>
      <c r="P50" s="46"/>
      <c r="Q50" s="46"/>
      <c r="R50" s="41" t="s">
        <v>128</v>
      </c>
      <c r="S50" s="41" t="s">
        <v>129</v>
      </c>
      <c r="T50" s="46"/>
      <c r="U50" s="46" t="s">
        <v>37</v>
      </c>
      <c r="V50" s="47">
        <v>14250</v>
      </c>
      <c r="W50" s="54">
        <v>13.33</v>
      </c>
      <c r="X50" s="66">
        <v>1906.77</v>
      </c>
      <c r="Y50" s="56">
        <f t="shared" si="0"/>
        <v>1639.8222000000001</v>
      </c>
      <c r="Z50" s="58">
        <f t="shared" si="1"/>
        <v>123.01741935483871</v>
      </c>
      <c r="AA50" s="58"/>
      <c r="AB50" s="100"/>
      <c r="AC50" s="31">
        <f>Y50/10</f>
        <v>163.98222000000001</v>
      </c>
      <c r="AD50" s="31"/>
      <c r="AE50" s="59"/>
      <c r="AF50" s="59"/>
      <c r="AG50" s="42"/>
      <c r="AH50" s="88"/>
      <c r="AI50" s="88"/>
      <c r="AJ50" s="88"/>
      <c r="AK50" s="88"/>
      <c r="AL50" s="88"/>
      <c r="AM50" s="37">
        <v>0.14000000000000001</v>
      </c>
      <c r="AN50" s="38">
        <f t="shared" si="2"/>
        <v>266.94780000000003</v>
      </c>
      <c r="AP50" s="39"/>
      <c r="AQ50" s="39"/>
      <c r="AR50" s="39"/>
      <c r="AS50" s="39"/>
    </row>
    <row r="51" spans="1:46" ht="51.75" hidden="1" customHeight="1" thickTop="1" thickBot="1" x14ac:dyDescent="0.4">
      <c r="A51" s="19" t="s">
        <v>130</v>
      </c>
      <c r="B51" s="19">
        <v>126409</v>
      </c>
      <c r="C51" s="19">
        <v>400.03</v>
      </c>
      <c r="D51" s="19">
        <v>736.33</v>
      </c>
      <c r="E51" s="19">
        <v>100.08</v>
      </c>
      <c r="F51" s="19" t="s">
        <v>131</v>
      </c>
      <c r="G51" s="21" t="s">
        <v>137</v>
      </c>
      <c r="H51" s="22"/>
      <c r="I51" s="22"/>
      <c r="J51" s="22"/>
      <c r="K51" s="24" t="s">
        <v>39</v>
      </c>
      <c r="L51" s="24" t="s">
        <v>39</v>
      </c>
      <c r="M51" s="67"/>
      <c r="N51" s="24" t="s">
        <v>39</v>
      </c>
      <c r="O51" s="68"/>
      <c r="P51" s="68"/>
      <c r="Q51" s="68"/>
      <c r="R51" s="68"/>
      <c r="S51" s="68"/>
      <c r="T51" s="68"/>
      <c r="U51" s="68"/>
      <c r="V51" s="54">
        <v>2.5</v>
      </c>
      <c r="W51" s="54">
        <v>10</v>
      </c>
      <c r="X51" s="66">
        <v>564.54</v>
      </c>
      <c r="Y51" s="56">
        <f t="shared" si="0"/>
        <v>485.50439999999998</v>
      </c>
      <c r="Z51" s="58">
        <f t="shared" si="1"/>
        <v>48.550439999999995</v>
      </c>
      <c r="AA51" s="30">
        <f>Y51/10</f>
        <v>48.550439999999995</v>
      </c>
      <c r="AB51" s="102" t="s">
        <v>148</v>
      </c>
      <c r="AC51" s="59"/>
      <c r="AD51" s="59"/>
      <c r="AE51" s="59"/>
      <c r="AF51" s="32">
        <f>Z51/AP51</f>
        <v>1.5082460391425907</v>
      </c>
      <c r="AG51" s="60"/>
      <c r="AH51" s="78">
        <f>AA51/AP51</f>
        <v>1.5082460391425907</v>
      </c>
      <c r="AI51" s="79">
        <f>AA51/AQ51</f>
        <v>1.211943085371942</v>
      </c>
      <c r="AJ51" s="76"/>
      <c r="AK51" s="84"/>
      <c r="AL51" s="84"/>
      <c r="AM51" s="37">
        <v>0.14000000000000001</v>
      </c>
      <c r="AN51" s="38">
        <f t="shared" si="2"/>
        <v>79.035600000000002</v>
      </c>
      <c r="AP51" s="39">
        <v>32.19</v>
      </c>
      <c r="AQ51" s="39">
        <v>40.06</v>
      </c>
      <c r="AR51" s="39"/>
    </row>
    <row r="52" spans="1:46" ht="9" customHeight="1" thickTop="1" x14ac:dyDescent="0.35">
      <c r="G52" s="69"/>
      <c r="H52" s="69"/>
      <c r="I52" s="69"/>
      <c r="J52" s="69"/>
      <c r="K52" s="69"/>
      <c r="L52" s="69"/>
      <c r="O52" s="64"/>
      <c r="P52" s="64"/>
      <c r="Q52" s="64"/>
      <c r="R52" s="64"/>
      <c r="S52" s="64"/>
      <c r="T52" s="64"/>
    </row>
    <row r="53" spans="1:46" ht="15" x14ac:dyDescent="0.35">
      <c r="A53" s="70" t="s">
        <v>132</v>
      </c>
      <c r="B53" s="70"/>
      <c r="C53" s="70"/>
      <c r="D53" s="70"/>
      <c r="E53" s="70"/>
      <c r="G53" s="69"/>
      <c r="H53" s="69"/>
      <c r="I53" s="69"/>
      <c r="J53" s="69"/>
      <c r="K53" s="69"/>
      <c r="L53" s="69"/>
      <c r="O53" s="64"/>
      <c r="P53" s="64"/>
      <c r="Q53" s="64"/>
      <c r="R53" s="64"/>
      <c r="S53" s="64"/>
      <c r="T53" s="64"/>
    </row>
    <row r="54" spans="1:46" ht="15" x14ac:dyDescent="0.35">
      <c r="A54" s="70" t="s">
        <v>133</v>
      </c>
      <c r="B54" s="70"/>
      <c r="C54" s="70"/>
      <c r="D54" s="70"/>
      <c r="E54" s="70"/>
      <c r="G54" s="69"/>
      <c r="H54" s="69"/>
      <c r="I54" s="69"/>
      <c r="J54" s="69"/>
      <c r="K54" s="69"/>
      <c r="L54" s="69"/>
      <c r="O54" s="64"/>
      <c r="P54" s="64"/>
      <c r="Q54" s="64"/>
      <c r="R54" s="64"/>
      <c r="S54" s="64"/>
      <c r="T54" s="64"/>
    </row>
    <row r="55" spans="1:46" ht="15" x14ac:dyDescent="0.35">
      <c r="A55" s="70" t="s">
        <v>134</v>
      </c>
      <c r="B55" s="70"/>
      <c r="C55" s="70"/>
      <c r="D55" s="70"/>
      <c r="E55" s="70"/>
      <c r="G55" s="69"/>
      <c r="H55" s="69"/>
      <c r="I55" s="69"/>
      <c r="J55" s="69"/>
      <c r="K55" s="69"/>
      <c r="L55" s="69"/>
      <c r="O55" s="64"/>
      <c r="P55" s="64"/>
      <c r="Q55" s="64"/>
      <c r="R55" s="64"/>
      <c r="S55" s="64"/>
      <c r="T55" s="64"/>
    </row>
    <row r="56" spans="1:46" x14ac:dyDescent="0.35">
      <c r="G56" s="69"/>
      <c r="H56" s="69"/>
      <c r="I56" s="69"/>
      <c r="J56" s="69"/>
      <c r="K56" s="69"/>
      <c r="L56" s="69"/>
      <c r="O56" s="64"/>
      <c r="P56" s="64"/>
      <c r="Q56" s="64"/>
      <c r="R56" s="64"/>
      <c r="S56" s="64"/>
      <c r="T56" s="64"/>
    </row>
    <row r="57" spans="1:46" ht="63.75" customHeight="1" x14ac:dyDescent="0.35">
      <c r="A57" s="247" t="s">
        <v>135</v>
      </c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</row>
    <row r="58" spans="1:46" ht="15.75" customHeight="1" x14ac:dyDescent="0.35">
      <c r="A58" s="248" t="s">
        <v>136</v>
      </c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</row>
    <row r="59" spans="1:46" x14ac:dyDescent="0.35">
      <c r="A59" s="248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</row>
    <row r="60" spans="1:46" x14ac:dyDescent="0.35">
      <c r="A60" s="248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</row>
    <row r="61" spans="1:46" x14ac:dyDescent="0.35">
      <c r="A61" s="248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</row>
    <row r="62" spans="1:46" x14ac:dyDescent="0.35">
      <c r="A62" s="248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</row>
    <row r="63" spans="1:46" x14ac:dyDescent="0.35">
      <c r="A63" s="248"/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</row>
    <row r="64" spans="1:46" x14ac:dyDescent="0.35">
      <c r="A64" s="248"/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</row>
    <row r="65" spans="7:12" x14ac:dyDescent="0.35">
      <c r="G65" s="69"/>
      <c r="H65" s="69"/>
      <c r="I65" s="69"/>
      <c r="J65" s="69"/>
      <c r="K65" s="69"/>
      <c r="L65" s="69"/>
    </row>
    <row r="66" spans="7:12" x14ac:dyDescent="0.35">
      <c r="G66" s="69"/>
      <c r="H66" s="69"/>
      <c r="I66" s="69"/>
      <c r="J66" s="69"/>
      <c r="K66" s="69"/>
      <c r="L66" s="69"/>
    </row>
  </sheetData>
  <autoFilter ref="A3:AT51" xr:uid="{00000000-0009-0000-0000-000000000000}">
    <filterColumn colId="16">
      <customFilters>
        <customFilter val="*ano*"/>
      </customFilters>
    </filterColumn>
  </autoFilter>
  <mergeCells count="3">
    <mergeCell ref="H2:U2"/>
    <mergeCell ref="A57:X57"/>
    <mergeCell ref="A58:X64"/>
  </mergeCells>
  <pageMargins left="0.25" right="0.25" top="0.75" bottom="0.75" header="0.3" footer="0.3"/>
  <pageSetup paperSize="8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AU185"/>
  <sheetViews>
    <sheetView zoomScale="90" zoomScaleNormal="90" workbookViewId="0">
      <pane xSplit="5" ySplit="1" topLeftCell="X2" activePane="bottomRight" state="frozen"/>
      <selection pane="topRight" activeCell="F1" sqref="F1"/>
      <selection pane="bottomLeft" activeCell="A2" sqref="A2"/>
      <selection pane="bottomRight" activeCell="X4" sqref="X4"/>
    </sheetView>
  </sheetViews>
  <sheetFormatPr defaultRowHeight="14.5" x14ac:dyDescent="0.35"/>
  <cols>
    <col min="1" max="1" width="59.453125" customWidth="1"/>
    <col min="2" max="2" width="33.54296875" customWidth="1"/>
    <col min="3" max="3" width="13.54296875" customWidth="1"/>
    <col min="4" max="4" width="9.1796875" customWidth="1"/>
    <col min="5" max="5" width="9.7265625" customWidth="1"/>
    <col min="6" max="6" width="13" customWidth="1"/>
    <col min="7" max="7" width="8.453125" customWidth="1"/>
    <col min="8" max="8" width="7.7265625" customWidth="1"/>
    <col min="9" max="9" width="12.26953125" customWidth="1"/>
    <col min="10" max="10" width="13" customWidth="1"/>
    <col min="11" max="11" width="20.81640625" customWidth="1"/>
    <col min="12" max="12" width="14.26953125" customWidth="1"/>
    <col min="13" max="13" width="9.7265625" customWidth="1"/>
    <col min="14" max="14" width="12.1796875" customWidth="1"/>
    <col min="15" max="15" width="12.54296875" customWidth="1"/>
    <col min="16" max="16" width="12.453125" customWidth="1"/>
    <col min="17" max="17" width="12.26953125" customWidth="1"/>
    <col min="18" max="18" width="13.7265625" customWidth="1"/>
    <col min="19" max="19" width="12.7265625" customWidth="1"/>
    <col min="20" max="20" width="11.453125" customWidth="1"/>
    <col min="21" max="21" width="10.54296875" customWidth="1"/>
    <col min="22" max="22" width="5" hidden="1" customWidth="1"/>
    <col min="23" max="23" width="0.453125" hidden="1" customWidth="1"/>
    <col min="24" max="24" width="11.54296875" customWidth="1"/>
    <col min="25" max="25" width="10.81640625" customWidth="1"/>
    <col min="26" max="26" width="5.453125" hidden="1" customWidth="1"/>
    <col min="27" max="27" width="10.453125" customWidth="1"/>
    <col min="28" max="28" width="9.26953125" customWidth="1"/>
    <col min="29" max="30" width="11.54296875" customWidth="1"/>
    <col min="31" max="31" width="11.81640625" customWidth="1"/>
    <col min="32" max="32" width="8.81640625" hidden="1" customWidth="1"/>
    <col min="33" max="33" width="11.7265625" customWidth="1"/>
    <col min="34" max="34" width="11.453125" customWidth="1"/>
    <col min="35" max="35" width="11.81640625" customWidth="1"/>
    <col min="36" max="36" width="12" customWidth="1"/>
    <col min="37" max="38" width="11.1796875" customWidth="1"/>
    <col min="39" max="39" width="8.7265625" customWidth="1"/>
    <col min="40" max="40" width="9.1796875" customWidth="1"/>
    <col min="41" max="41" width="5" bestFit="1" customWidth="1"/>
    <col min="42" max="44" width="11.453125" customWidth="1"/>
    <col min="45" max="45" width="10.54296875" customWidth="1"/>
    <col min="46" max="46" width="10.7265625" customWidth="1"/>
  </cols>
  <sheetData>
    <row r="1" spans="1:47" ht="7.5" customHeight="1" x14ac:dyDescent="0.35"/>
    <row r="2" spans="1:47" ht="24" customHeight="1" thickBot="1" x14ac:dyDescent="0.4">
      <c r="H2" s="244" t="s">
        <v>0</v>
      </c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6"/>
    </row>
    <row r="3" spans="1:47" ht="92.25" customHeight="1" thickTop="1" thickBot="1" x14ac:dyDescent="0.4">
      <c r="A3" s="1" t="s">
        <v>1</v>
      </c>
      <c r="B3" s="1" t="s">
        <v>139</v>
      </c>
      <c r="C3" s="1" t="s">
        <v>140</v>
      </c>
      <c r="D3" s="1" t="s">
        <v>142</v>
      </c>
      <c r="E3" s="2" t="s">
        <v>141</v>
      </c>
      <c r="F3" s="1" t="s">
        <v>2</v>
      </c>
      <c r="G3" s="2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5" t="s">
        <v>9</v>
      </c>
      <c r="N3" s="5" t="s">
        <v>10</v>
      </c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  <c r="U3" s="3" t="s">
        <v>17</v>
      </c>
      <c r="V3" s="1" t="s">
        <v>18</v>
      </c>
      <c r="W3" s="1" t="s">
        <v>19</v>
      </c>
      <c r="X3" s="7" t="s">
        <v>413</v>
      </c>
      <c r="Y3" s="8" t="s">
        <v>154</v>
      </c>
      <c r="Z3" s="9" t="s">
        <v>20</v>
      </c>
      <c r="AA3" s="10" t="s">
        <v>21</v>
      </c>
      <c r="AB3" s="73" t="s">
        <v>143</v>
      </c>
      <c r="AC3" s="11" t="s">
        <v>22</v>
      </c>
      <c r="AD3" s="11" t="s">
        <v>23</v>
      </c>
      <c r="AE3" s="11" t="s">
        <v>24</v>
      </c>
      <c r="AF3" s="12" t="s">
        <v>25</v>
      </c>
      <c r="AG3" s="13" t="s">
        <v>26</v>
      </c>
      <c r="AH3" s="14" t="s">
        <v>149</v>
      </c>
      <c r="AI3" s="14" t="s">
        <v>150</v>
      </c>
      <c r="AJ3" s="74" t="s">
        <v>151</v>
      </c>
      <c r="AK3" s="108" t="s">
        <v>27</v>
      </c>
      <c r="AL3" s="108" t="s">
        <v>28</v>
      </c>
      <c r="AM3" s="15" t="s">
        <v>29</v>
      </c>
      <c r="AN3" s="16"/>
      <c r="AO3" s="16"/>
      <c r="AP3" s="17" t="s">
        <v>30</v>
      </c>
      <c r="AQ3" s="17" t="s">
        <v>31</v>
      </c>
      <c r="AR3" s="75" t="s">
        <v>146</v>
      </c>
      <c r="AS3" s="109" t="s">
        <v>32</v>
      </c>
      <c r="AT3" s="109" t="s">
        <v>33</v>
      </c>
      <c r="AU3" s="18"/>
    </row>
    <row r="4" spans="1:47" ht="40.5" customHeight="1" thickTop="1" thickBot="1" x14ac:dyDescent="0.4">
      <c r="A4" s="19" t="s">
        <v>34</v>
      </c>
      <c r="B4" s="19">
        <v>30521</v>
      </c>
      <c r="C4" s="19">
        <v>185.89</v>
      </c>
      <c r="D4" s="19">
        <v>525.95000000000005</v>
      </c>
      <c r="E4" s="19">
        <v>152.76</v>
      </c>
      <c r="F4" s="20" t="s">
        <v>35</v>
      </c>
      <c r="G4" s="21" t="s">
        <v>36</v>
      </c>
      <c r="H4" s="22" t="s">
        <v>37</v>
      </c>
      <c r="I4" s="23" t="s">
        <v>38</v>
      </c>
      <c r="J4" s="24" t="s">
        <v>39</v>
      </c>
      <c r="K4" s="22"/>
      <c r="L4" s="23" t="s">
        <v>40</v>
      </c>
      <c r="M4" s="22" t="s">
        <v>37</v>
      </c>
      <c r="N4" s="23" t="s">
        <v>40</v>
      </c>
      <c r="O4" s="25"/>
      <c r="P4" s="25"/>
      <c r="Q4" s="25"/>
      <c r="R4" s="25"/>
      <c r="S4" s="25"/>
      <c r="T4" s="25"/>
      <c r="U4" s="25"/>
      <c r="V4" s="26">
        <v>3500</v>
      </c>
      <c r="W4" s="27">
        <v>7.14</v>
      </c>
      <c r="X4" s="94">
        <v>348.47</v>
      </c>
      <c r="Y4" s="29">
        <f t="shared" ref="Y4:Y51" si="0">X4-AN4</f>
        <v>348.47</v>
      </c>
      <c r="Z4" s="30">
        <f t="shared" ref="Z4:Z51" si="1">Y4/W4</f>
        <v>48.805322128851543</v>
      </c>
      <c r="AA4" s="30">
        <f>Y4/10</f>
        <v>34.847000000000001</v>
      </c>
      <c r="AB4" s="96" t="s">
        <v>144</v>
      </c>
      <c r="AC4" s="31"/>
      <c r="AD4" s="31"/>
      <c r="AE4" s="31"/>
      <c r="AF4" s="32">
        <f>Z4/AP4</f>
        <v>1.4793974576796465</v>
      </c>
      <c r="AG4" s="33"/>
      <c r="AH4" s="76"/>
      <c r="AI4" s="76"/>
      <c r="AJ4" s="77">
        <f>AA4/AR4</f>
        <v>1.7815439672801638</v>
      </c>
      <c r="AK4" s="87"/>
      <c r="AL4" s="87"/>
      <c r="AM4" s="37"/>
      <c r="AN4" s="38">
        <f t="shared" ref="AN4:AN28" si="2">AM4*X4</f>
        <v>0</v>
      </c>
      <c r="AP4" s="39">
        <v>32.99</v>
      </c>
      <c r="AQ4" s="39">
        <v>32.99</v>
      </c>
      <c r="AR4" s="39">
        <v>19.559999999999999</v>
      </c>
    </row>
    <row r="5" spans="1:47" ht="30.75" customHeight="1" thickTop="1" thickBot="1" x14ac:dyDescent="0.4">
      <c r="A5" s="19" t="s">
        <v>41</v>
      </c>
      <c r="B5" s="19">
        <v>30526</v>
      </c>
      <c r="C5" s="19">
        <v>195.83</v>
      </c>
      <c r="D5" s="19">
        <v>736.33</v>
      </c>
      <c r="E5" s="19">
        <v>102.09</v>
      </c>
      <c r="F5" s="20" t="s">
        <v>42</v>
      </c>
      <c r="G5" s="21" t="s">
        <v>36</v>
      </c>
      <c r="H5" s="22" t="s">
        <v>37</v>
      </c>
      <c r="I5" s="23" t="s">
        <v>43</v>
      </c>
      <c r="J5" s="22"/>
      <c r="K5" s="24" t="s">
        <v>39</v>
      </c>
      <c r="L5" s="23" t="s">
        <v>40</v>
      </c>
      <c r="M5" s="22" t="s">
        <v>37</v>
      </c>
      <c r="N5" s="23" t="s">
        <v>40</v>
      </c>
      <c r="O5" s="25"/>
      <c r="P5" s="25"/>
      <c r="Q5" s="25"/>
      <c r="R5" s="25"/>
      <c r="S5" s="25"/>
      <c r="T5" s="25"/>
      <c r="U5" s="25"/>
      <c r="V5" s="26">
        <v>3500</v>
      </c>
      <c r="W5" s="27">
        <v>10</v>
      </c>
      <c r="X5" s="94">
        <v>373.27</v>
      </c>
      <c r="Y5" s="29">
        <f t="shared" si="0"/>
        <v>373.27</v>
      </c>
      <c r="Z5" s="30">
        <f t="shared" si="1"/>
        <v>37.326999999999998</v>
      </c>
      <c r="AA5" s="30">
        <f>Y5/10</f>
        <v>37.326999999999998</v>
      </c>
      <c r="AB5" s="97" t="s">
        <v>145</v>
      </c>
      <c r="AC5" s="31"/>
      <c r="AD5" s="31"/>
      <c r="AE5" s="31"/>
      <c r="AF5" s="32">
        <f>Z5/AP5</f>
        <v>1.1314640800242497</v>
      </c>
      <c r="AG5" s="33"/>
      <c r="AH5" s="76"/>
      <c r="AI5" s="76"/>
      <c r="AJ5" s="77">
        <f>AA5/AR5</f>
        <v>1.9083333333333334</v>
      </c>
      <c r="AK5" s="87"/>
      <c r="AL5" s="87"/>
      <c r="AM5" s="37"/>
      <c r="AN5" s="38">
        <f t="shared" si="2"/>
        <v>0</v>
      </c>
      <c r="AP5" s="39">
        <v>32.99</v>
      </c>
      <c r="AQ5" s="39">
        <v>32.99</v>
      </c>
      <c r="AR5" s="39">
        <v>19.559999999999999</v>
      </c>
    </row>
    <row r="6" spans="1:47" ht="30.75" customHeight="1" thickTop="1" thickBot="1" x14ac:dyDescent="0.4">
      <c r="A6" s="19" t="s">
        <v>44</v>
      </c>
      <c r="B6" s="19">
        <v>107605</v>
      </c>
      <c r="C6" s="19">
        <v>210.84</v>
      </c>
      <c r="D6" s="19">
        <v>1004.04</v>
      </c>
      <c r="E6" s="19">
        <v>65.64</v>
      </c>
      <c r="F6" s="20" t="s">
        <v>45</v>
      </c>
      <c r="G6" s="21" t="s">
        <v>36</v>
      </c>
      <c r="H6" s="22"/>
      <c r="I6" s="22"/>
      <c r="J6" s="22"/>
      <c r="K6" s="22"/>
      <c r="L6" s="22"/>
      <c r="M6" s="22" t="s">
        <v>37</v>
      </c>
      <c r="N6" s="40"/>
      <c r="O6" s="41" t="s">
        <v>46</v>
      </c>
      <c r="P6" s="24"/>
      <c r="Q6" s="24"/>
      <c r="R6" s="24"/>
      <c r="S6" s="24"/>
      <c r="T6" s="24"/>
      <c r="U6" s="24"/>
      <c r="V6" s="26">
        <v>8625</v>
      </c>
      <c r="W6" s="27">
        <v>5.8</v>
      </c>
      <c r="X6" s="94">
        <v>635.91</v>
      </c>
      <c r="Y6" s="29">
        <f t="shared" si="0"/>
        <v>635.91</v>
      </c>
      <c r="Z6" s="30">
        <f t="shared" si="1"/>
        <v>109.6396551724138</v>
      </c>
      <c r="AA6" s="30"/>
      <c r="AB6" s="98"/>
      <c r="AC6" s="31">
        <f>Y6/10</f>
        <v>63.590999999999994</v>
      </c>
      <c r="AD6" s="31"/>
      <c r="AE6" s="31"/>
      <c r="AF6" s="31"/>
      <c r="AG6" s="42"/>
      <c r="AH6" s="88"/>
      <c r="AI6" s="88"/>
      <c r="AJ6" s="88"/>
      <c r="AK6" s="88"/>
      <c r="AL6" s="88"/>
      <c r="AM6" s="37"/>
      <c r="AN6" s="38">
        <f t="shared" si="2"/>
        <v>0</v>
      </c>
      <c r="AP6" s="39">
        <v>32.99</v>
      </c>
      <c r="AQ6" s="39">
        <v>32.99</v>
      </c>
      <c r="AR6" s="39">
        <v>19.559999999999999</v>
      </c>
      <c r="AS6" s="39"/>
    </row>
    <row r="7" spans="1:47" ht="35.25" customHeight="1" thickTop="1" thickBot="1" x14ac:dyDescent="0.4">
      <c r="A7" s="19" t="s">
        <v>47</v>
      </c>
      <c r="B7" s="19"/>
      <c r="C7" s="19"/>
      <c r="D7" s="19"/>
      <c r="E7" s="19"/>
      <c r="F7" s="20" t="s">
        <v>45</v>
      </c>
      <c r="G7" s="21" t="s">
        <v>36</v>
      </c>
      <c r="H7" s="22"/>
      <c r="I7" s="22"/>
      <c r="J7" s="22"/>
      <c r="K7" s="22"/>
      <c r="L7" s="22"/>
      <c r="M7" s="22" t="s">
        <v>37</v>
      </c>
      <c r="N7" s="40"/>
      <c r="O7" s="41" t="s">
        <v>46</v>
      </c>
      <c r="P7" s="24"/>
      <c r="Q7" s="24"/>
      <c r="R7" s="24"/>
      <c r="S7" s="24"/>
      <c r="T7" s="24"/>
      <c r="U7" s="24"/>
      <c r="V7" s="26">
        <v>8625</v>
      </c>
      <c r="W7" s="27">
        <v>1.1599999999999999</v>
      </c>
      <c r="X7" s="28"/>
      <c r="Y7" s="29">
        <f t="shared" si="0"/>
        <v>0</v>
      </c>
      <c r="Z7" s="30">
        <f t="shared" si="1"/>
        <v>0</v>
      </c>
      <c r="AA7" s="30"/>
      <c r="AB7" s="30"/>
      <c r="AC7" s="31">
        <f>Y7/2</f>
        <v>0</v>
      </c>
      <c r="AD7" s="31"/>
      <c r="AE7" s="31"/>
      <c r="AF7" s="31"/>
      <c r="AG7" s="42"/>
      <c r="AH7" s="43"/>
      <c r="AI7" s="43"/>
      <c r="AJ7" s="43"/>
      <c r="AK7" s="43"/>
      <c r="AL7" s="43"/>
      <c r="AM7" s="37"/>
      <c r="AN7" s="38">
        <f t="shared" si="2"/>
        <v>0</v>
      </c>
      <c r="AS7" s="39"/>
    </row>
    <row r="8" spans="1:47" ht="38.25" customHeight="1" thickTop="1" thickBot="1" x14ac:dyDescent="0.4">
      <c r="A8" s="19" t="s">
        <v>48</v>
      </c>
      <c r="B8" s="19">
        <v>108382</v>
      </c>
      <c r="C8" s="19">
        <v>284.02</v>
      </c>
      <c r="D8" s="19">
        <v>1506.09</v>
      </c>
      <c r="E8" s="19">
        <v>75.55</v>
      </c>
      <c r="F8" s="20" t="s">
        <v>45</v>
      </c>
      <c r="G8" s="21" t="s">
        <v>36</v>
      </c>
      <c r="H8" s="22"/>
      <c r="I8" s="22"/>
      <c r="J8" s="22"/>
      <c r="K8" s="22"/>
      <c r="L8" s="22"/>
      <c r="M8" s="22" t="s">
        <v>37</v>
      </c>
      <c r="N8" s="40"/>
      <c r="O8" s="24"/>
      <c r="P8" s="41" t="s">
        <v>46</v>
      </c>
      <c r="Q8" s="24"/>
      <c r="R8" s="24"/>
      <c r="S8" s="41" t="s">
        <v>49</v>
      </c>
      <c r="T8" s="41" t="s">
        <v>50</v>
      </c>
      <c r="U8" s="24"/>
      <c r="V8" s="26">
        <v>8625</v>
      </c>
      <c r="W8" s="27">
        <v>8.6999999999999993</v>
      </c>
      <c r="X8" s="94">
        <v>897.01</v>
      </c>
      <c r="Y8" s="29">
        <f t="shared" si="0"/>
        <v>897.01</v>
      </c>
      <c r="Z8" s="30">
        <f t="shared" si="1"/>
        <v>103.10459770114943</v>
      </c>
      <c r="AA8" s="30"/>
      <c r="AB8" s="98"/>
      <c r="AC8" s="31">
        <f>Y8/10</f>
        <v>89.700999999999993</v>
      </c>
      <c r="AD8" s="31">
        <f>Y8/5</f>
        <v>179.40199999999999</v>
      </c>
      <c r="AE8" s="31"/>
      <c r="AF8" s="31"/>
      <c r="AG8" s="42"/>
      <c r="AH8" s="88"/>
      <c r="AI8" s="88"/>
      <c r="AJ8" s="88"/>
      <c r="AK8" s="88"/>
      <c r="AL8" s="88"/>
      <c r="AM8" s="37"/>
      <c r="AN8" s="38">
        <f t="shared" si="2"/>
        <v>0</v>
      </c>
      <c r="AP8" s="39">
        <v>32.99</v>
      </c>
      <c r="AQ8" s="39">
        <v>32.99</v>
      </c>
      <c r="AR8" s="39">
        <v>19.559999999999999</v>
      </c>
      <c r="AS8" s="39"/>
    </row>
    <row r="9" spans="1:47" ht="37.5" customHeight="1" thickTop="1" thickBot="1" x14ac:dyDescent="0.4">
      <c r="A9" s="19" t="s">
        <v>51</v>
      </c>
      <c r="B9" s="19">
        <v>107612</v>
      </c>
      <c r="C9" s="19">
        <v>520.75</v>
      </c>
      <c r="D9" s="19">
        <v>2008.14</v>
      </c>
      <c r="E9" s="19">
        <v>81.290000000000006</v>
      </c>
      <c r="F9" s="20" t="s">
        <v>45</v>
      </c>
      <c r="G9" s="21" t="s">
        <v>36</v>
      </c>
      <c r="H9" s="22"/>
      <c r="I9" s="22"/>
      <c r="J9" s="22"/>
      <c r="K9" s="22"/>
      <c r="L9" s="22"/>
      <c r="M9" s="22" t="s">
        <v>37</v>
      </c>
      <c r="N9" s="40"/>
      <c r="O9" s="24"/>
      <c r="P9" s="24"/>
      <c r="Q9" s="41" t="s">
        <v>46</v>
      </c>
      <c r="R9" s="41" t="s">
        <v>52</v>
      </c>
      <c r="S9" s="24"/>
      <c r="T9" s="24"/>
      <c r="U9" s="24"/>
      <c r="V9" s="26">
        <v>8625</v>
      </c>
      <c r="W9" s="44">
        <v>11.59</v>
      </c>
      <c r="X9" s="94">
        <v>1202.6600000000001</v>
      </c>
      <c r="Y9" s="29">
        <f t="shared" si="0"/>
        <v>1202.6600000000001</v>
      </c>
      <c r="Z9" s="30">
        <f t="shared" si="1"/>
        <v>103.76704055220019</v>
      </c>
      <c r="AA9" s="30"/>
      <c r="AB9" s="98"/>
      <c r="AC9" s="106">
        <f>Y9/10</f>
        <v>120.26600000000001</v>
      </c>
      <c r="AD9" s="31"/>
      <c r="AE9" s="31"/>
      <c r="AF9" s="31"/>
      <c r="AG9" s="42"/>
      <c r="AH9" s="88"/>
      <c r="AI9" s="88"/>
      <c r="AJ9" s="88"/>
      <c r="AK9" s="89">
        <f>AC9/AS9</f>
        <v>0.86935087465664307</v>
      </c>
      <c r="AL9" s="88"/>
      <c r="AM9" s="37"/>
      <c r="AN9" s="38">
        <f t="shared" si="2"/>
        <v>0</v>
      </c>
      <c r="AP9" s="39">
        <v>32.99</v>
      </c>
      <c r="AQ9" s="39">
        <v>32.99</v>
      </c>
      <c r="AR9" s="39">
        <v>19.559999999999999</v>
      </c>
      <c r="AS9" s="39">
        <v>138.34</v>
      </c>
    </row>
    <row r="10" spans="1:47" ht="31.5" customHeight="1" thickTop="1" thickBot="1" x14ac:dyDescent="0.4">
      <c r="A10" s="19" t="s">
        <v>53</v>
      </c>
      <c r="B10" s="19"/>
      <c r="C10" s="19"/>
      <c r="D10" s="19"/>
      <c r="E10" s="19"/>
      <c r="F10" s="20" t="s">
        <v>45</v>
      </c>
      <c r="G10" s="21" t="s">
        <v>36</v>
      </c>
      <c r="H10" s="22"/>
      <c r="I10" s="22"/>
      <c r="J10" s="22"/>
      <c r="K10" s="22"/>
      <c r="L10" s="22"/>
      <c r="M10" s="22" t="s">
        <v>37</v>
      </c>
      <c r="N10" s="40"/>
      <c r="O10" s="24"/>
      <c r="P10" s="24"/>
      <c r="Q10" s="41" t="s">
        <v>46</v>
      </c>
      <c r="R10" s="41" t="s">
        <v>52</v>
      </c>
      <c r="S10" s="24"/>
      <c r="T10" s="24"/>
      <c r="U10" s="24"/>
      <c r="V10" s="26">
        <v>8625</v>
      </c>
      <c r="W10" s="44">
        <v>2.3199999999999998</v>
      </c>
      <c r="X10" s="28"/>
      <c r="Y10" s="29">
        <f t="shared" si="0"/>
        <v>0</v>
      </c>
      <c r="Z10" s="30">
        <f t="shared" si="1"/>
        <v>0</v>
      </c>
      <c r="AA10" s="30"/>
      <c r="AB10" s="30"/>
      <c r="AC10" s="31">
        <f>Y10/2</f>
        <v>0</v>
      </c>
      <c r="AD10" s="31"/>
      <c r="AE10" s="31"/>
      <c r="AF10" s="31"/>
      <c r="AG10" s="42"/>
      <c r="AH10" s="43"/>
      <c r="AI10" s="43"/>
      <c r="AJ10" s="43"/>
      <c r="AK10" s="45">
        <f>AC10/AS10</f>
        <v>0</v>
      </c>
      <c r="AL10" s="43"/>
      <c r="AM10" s="37"/>
      <c r="AN10" s="38">
        <f t="shared" si="2"/>
        <v>0</v>
      </c>
      <c r="AS10" s="39">
        <v>106.94</v>
      </c>
    </row>
    <row r="11" spans="1:47" ht="39" customHeight="1" thickTop="1" thickBot="1" x14ac:dyDescent="0.4">
      <c r="A11" s="19" t="s">
        <v>54</v>
      </c>
      <c r="B11" s="19">
        <v>115400</v>
      </c>
      <c r="C11" s="19">
        <v>66.09</v>
      </c>
      <c r="D11" s="19">
        <v>368.16</v>
      </c>
      <c r="E11" s="19">
        <v>46.2</v>
      </c>
      <c r="F11" s="20" t="s">
        <v>55</v>
      </c>
      <c r="G11" s="21" t="s">
        <v>56</v>
      </c>
      <c r="H11" s="22" t="s">
        <v>37</v>
      </c>
      <c r="I11" s="23" t="s">
        <v>57</v>
      </c>
      <c r="J11" s="24" t="s">
        <v>39</v>
      </c>
      <c r="K11" s="22"/>
      <c r="L11" s="22"/>
      <c r="M11" s="22" t="s">
        <v>37</v>
      </c>
      <c r="N11" s="23" t="s">
        <v>40</v>
      </c>
      <c r="O11" s="46"/>
      <c r="P11" s="46"/>
      <c r="Q11" s="46"/>
      <c r="R11" s="46"/>
      <c r="S11" s="46"/>
      <c r="T11" s="46"/>
      <c r="U11" s="46" t="s">
        <v>37</v>
      </c>
      <c r="V11" s="47">
        <v>4000</v>
      </c>
      <c r="W11" s="44">
        <v>5</v>
      </c>
      <c r="X11" s="28">
        <v>348.27</v>
      </c>
      <c r="Y11" s="29">
        <f>'Přehled všech '!Y11</f>
        <v>309.96029999999996</v>
      </c>
      <c r="Z11" s="30">
        <f t="shared" si="1"/>
        <v>61.992059999999995</v>
      </c>
      <c r="AA11" s="30">
        <f>'Přehled všech '!AA11</f>
        <v>30.996029999999998</v>
      </c>
      <c r="AB11" s="99" t="s">
        <v>144</v>
      </c>
      <c r="AC11" s="31"/>
      <c r="AD11" s="31"/>
      <c r="AE11" s="31"/>
      <c r="AF11" s="32">
        <f>Z11/AP11</f>
        <v>1.8791167020309183</v>
      </c>
      <c r="AG11" s="33"/>
      <c r="AH11" s="76"/>
      <c r="AI11" s="76"/>
      <c r="AJ11" s="77">
        <f>AA11/AR11</f>
        <v>1.5846641104294479</v>
      </c>
      <c r="AK11" s="87"/>
      <c r="AL11" s="87"/>
      <c r="AM11" s="37">
        <f>'Přehled všech '!AM11</f>
        <v>0.11</v>
      </c>
      <c r="AN11" s="38">
        <f t="shared" si="2"/>
        <v>38.309699999999999</v>
      </c>
      <c r="AP11" s="39">
        <v>32.99</v>
      </c>
      <c r="AQ11" s="39">
        <v>32.99</v>
      </c>
      <c r="AR11" s="39">
        <v>19.559999999999999</v>
      </c>
    </row>
    <row r="12" spans="1:47" ht="38.25" hidden="1" customHeight="1" thickTop="1" thickBot="1" x14ac:dyDescent="0.4">
      <c r="A12" s="19" t="s">
        <v>58</v>
      </c>
      <c r="B12" s="19">
        <v>125286</v>
      </c>
      <c r="C12" s="19"/>
      <c r="D12" s="19"/>
      <c r="E12" s="19">
        <v>0</v>
      </c>
      <c r="F12" s="20" t="s">
        <v>55</v>
      </c>
      <c r="G12" s="21" t="s">
        <v>56</v>
      </c>
      <c r="H12" s="22" t="s">
        <v>37</v>
      </c>
      <c r="I12" s="23" t="s">
        <v>57</v>
      </c>
      <c r="J12" s="24" t="s">
        <v>39</v>
      </c>
      <c r="K12" s="22"/>
      <c r="L12" s="22"/>
      <c r="M12" s="22" t="s">
        <v>37</v>
      </c>
      <c r="N12" s="23" t="s">
        <v>40</v>
      </c>
      <c r="O12" s="46"/>
      <c r="P12" s="46"/>
      <c r="Q12" s="46"/>
      <c r="R12" s="46"/>
      <c r="S12" s="46"/>
      <c r="T12" s="46"/>
      <c r="U12" s="46" t="s">
        <v>37</v>
      </c>
      <c r="V12" s="47">
        <v>4000</v>
      </c>
      <c r="W12" s="44">
        <v>25</v>
      </c>
      <c r="X12" s="28">
        <v>1315.6</v>
      </c>
      <c r="Y12" s="29">
        <f t="shared" si="0"/>
        <v>1315.6</v>
      </c>
      <c r="Z12" s="30">
        <f t="shared" si="1"/>
        <v>52.623999999999995</v>
      </c>
      <c r="AA12" s="30">
        <f>Y12/50</f>
        <v>26.311999999999998</v>
      </c>
      <c r="AB12" s="30"/>
      <c r="AC12" s="31"/>
      <c r="AD12" s="31"/>
      <c r="AE12" s="31"/>
      <c r="AF12" s="32">
        <f>Z12/AP12</f>
        <v>2.1074889867841411</v>
      </c>
      <c r="AG12" s="33"/>
      <c r="AH12" s="34">
        <f t="shared" ref="AH12:AH14" si="3">AA12/AP12</f>
        <v>1.0537444933920705</v>
      </c>
      <c r="AI12" s="35">
        <f t="shared" ref="AI12:AI14" si="4">AA12/AQ12</f>
        <v>0.94173228346456683</v>
      </c>
      <c r="AJ12" s="35"/>
      <c r="AK12" s="36"/>
      <c r="AL12" s="36"/>
      <c r="AM12" s="37"/>
      <c r="AN12" s="38">
        <f t="shared" si="2"/>
        <v>0</v>
      </c>
      <c r="AP12" s="39">
        <v>24.97</v>
      </c>
      <c r="AQ12" s="39">
        <v>27.94</v>
      </c>
      <c r="AR12" s="39"/>
    </row>
    <row r="13" spans="1:47" ht="44.25" customHeight="1" thickTop="1" thickBot="1" x14ac:dyDescent="0.4">
      <c r="A13" s="19" t="s">
        <v>59</v>
      </c>
      <c r="B13" s="19">
        <v>115401</v>
      </c>
      <c r="C13" s="19">
        <v>87.97</v>
      </c>
      <c r="D13" s="19">
        <v>736.33</v>
      </c>
      <c r="E13" s="19">
        <v>0</v>
      </c>
      <c r="F13" s="20" t="s">
        <v>55</v>
      </c>
      <c r="G13" s="21" t="s">
        <v>56</v>
      </c>
      <c r="H13" s="22" t="s">
        <v>37</v>
      </c>
      <c r="I13" s="23" t="s">
        <v>57</v>
      </c>
      <c r="J13" s="22"/>
      <c r="K13" s="24" t="s">
        <v>39</v>
      </c>
      <c r="L13" s="24" t="s">
        <v>39</v>
      </c>
      <c r="M13" s="22" t="s">
        <v>37</v>
      </c>
      <c r="N13" s="23" t="s">
        <v>40</v>
      </c>
      <c r="O13" s="46"/>
      <c r="P13" s="46"/>
      <c r="Q13" s="46"/>
      <c r="R13" s="46"/>
      <c r="S13" s="46"/>
      <c r="T13" s="46"/>
      <c r="U13" s="46" t="s">
        <v>37</v>
      </c>
      <c r="V13" s="47">
        <v>4000</v>
      </c>
      <c r="W13" s="44">
        <v>10</v>
      </c>
      <c r="X13" s="28">
        <v>648.36</v>
      </c>
      <c r="Y13" s="29">
        <f>'Přehled všech '!Y13</f>
        <v>577.04039999999998</v>
      </c>
      <c r="Z13" s="30">
        <f t="shared" si="1"/>
        <v>57.704039999999999</v>
      </c>
      <c r="AA13" s="30">
        <f>'Přehled všech '!AA13</f>
        <v>57.704039999999999</v>
      </c>
      <c r="AB13" s="98"/>
      <c r="AC13" s="31"/>
      <c r="AD13" s="31"/>
      <c r="AE13" s="31"/>
      <c r="AF13" s="32">
        <f>Z13/AP13</f>
        <v>1.7491373143376781</v>
      </c>
      <c r="AG13" s="33"/>
      <c r="AH13" s="78">
        <f t="shared" si="3"/>
        <v>1.7491373143376781</v>
      </c>
      <c r="AI13" s="79">
        <f t="shared" si="4"/>
        <v>1.7491373143376781</v>
      </c>
      <c r="AJ13" s="76"/>
      <c r="AK13" s="87"/>
      <c r="AL13" s="87"/>
      <c r="AM13" s="37">
        <f>'Přehled všech '!AM13</f>
        <v>0.11</v>
      </c>
      <c r="AN13" s="38">
        <f t="shared" si="2"/>
        <v>71.319600000000008</v>
      </c>
      <c r="AP13" s="39">
        <v>32.99</v>
      </c>
      <c r="AQ13" s="39">
        <v>32.99</v>
      </c>
      <c r="AR13" s="39">
        <v>19.559999999999999</v>
      </c>
    </row>
    <row r="14" spans="1:47" ht="41.25" hidden="1" customHeight="1" thickTop="1" thickBot="1" x14ac:dyDescent="0.4">
      <c r="A14" s="19" t="s">
        <v>60</v>
      </c>
      <c r="B14" s="19">
        <v>125287</v>
      </c>
      <c r="C14" s="19"/>
      <c r="D14" s="19"/>
      <c r="E14" s="19"/>
      <c r="F14" s="20" t="s">
        <v>55</v>
      </c>
      <c r="G14" s="21" t="s">
        <v>56</v>
      </c>
      <c r="H14" s="22" t="s">
        <v>37</v>
      </c>
      <c r="I14" s="23" t="s">
        <v>57</v>
      </c>
      <c r="J14" s="22"/>
      <c r="K14" s="24" t="s">
        <v>39</v>
      </c>
      <c r="L14" s="24" t="s">
        <v>39</v>
      </c>
      <c r="M14" s="22" t="s">
        <v>37</v>
      </c>
      <c r="N14" s="23" t="s">
        <v>40</v>
      </c>
      <c r="O14" s="46"/>
      <c r="P14" s="46"/>
      <c r="Q14" s="46"/>
      <c r="R14" s="46"/>
      <c r="S14" s="46"/>
      <c r="T14" s="46"/>
      <c r="U14" s="46" t="s">
        <v>37</v>
      </c>
      <c r="V14" s="47">
        <v>4000</v>
      </c>
      <c r="W14" s="44">
        <v>50</v>
      </c>
      <c r="X14" s="28">
        <v>1897.5</v>
      </c>
      <c r="Y14" s="29">
        <f t="shared" si="0"/>
        <v>1897.5</v>
      </c>
      <c r="Z14" s="30">
        <f t="shared" si="1"/>
        <v>37.950000000000003</v>
      </c>
      <c r="AA14" s="30">
        <f>Y14/50</f>
        <v>37.950000000000003</v>
      </c>
      <c r="AB14" s="30"/>
      <c r="AC14" s="31"/>
      <c r="AD14" s="31"/>
      <c r="AE14" s="31"/>
      <c r="AF14" s="32">
        <f>Z14/AP14</f>
        <v>1.5198237885462558</v>
      </c>
      <c r="AG14" s="33"/>
      <c r="AH14" s="34">
        <f t="shared" si="3"/>
        <v>1.5198237885462558</v>
      </c>
      <c r="AI14" s="35">
        <f t="shared" si="4"/>
        <v>1.3582677165354331</v>
      </c>
      <c r="AJ14" s="35"/>
      <c r="AK14" s="36"/>
      <c r="AL14" s="36"/>
      <c r="AM14" s="37"/>
      <c r="AN14" s="38">
        <f t="shared" si="2"/>
        <v>0</v>
      </c>
      <c r="AP14" s="39">
        <v>24.97</v>
      </c>
      <c r="AQ14" s="39">
        <v>27.94</v>
      </c>
      <c r="AR14" s="39"/>
    </row>
    <row r="15" spans="1:47" ht="44.25" customHeight="1" thickTop="1" thickBot="1" x14ac:dyDescent="0.4">
      <c r="A15" s="19" t="s">
        <v>59</v>
      </c>
      <c r="B15" s="19">
        <v>115401</v>
      </c>
      <c r="C15" s="19">
        <v>87.97</v>
      </c>
      <c r="D15" s="19">
        <v>736.33</v>
      </c>
      <c r="E15" s="19">
        <v>0</v>
      </c>
      <c r="F15" s="20" t="s">
        <v>55</v>
      </c>
      <c r="G15" s="21" t="s">
        <v>56</v>
      </c>
      <c r="H15" s="22" t="s">
        <v>37</v>
      </c>
      <c r="I15" s="23" t="s">
        <v>57</v>
      </c>
      <c r="J15" s="22"/>
      <c r="K15" s="22"/>
      <c r="L15" s="22"/>
      <c r="M15" s="22" t="s">
        <v>37</v>
      </c>
      <c r="N15" s="40"/>
      <c r="O15" s="41" t="s">
        <v>61</v>
      </c>
      <c r="P15" s="46"/>
      <c r="Q15" s="46"/>
      <c r="R15" s="46"/>
      <c r="S15" s="46"/>
      <c r="T15" s="46"/>
      <c r="U15" s="46" t="s">
        <v>37</v>
      </c>
      <c r="V15" s="47">
        <v>11250</v>
      </c>
      <c r="W15" s="44">
        <v>3.56</v>
      </c>
      <c r="X15" s="28">
        <v>648.36</v>
      </c>
      <c r="Y15" s="29">
        <f>'Přehled všech '!Y15</f>
        <v>577.04039999999998</v>
      </c>
      <c r="Z15" s="30">
        <f t="shared" si="1"/>
        <v>162.09</v>
      </c>
      <c r="AA15" s="30"/>
      <c r="AB15" s="98"/>
      <c r="AC15" s="31"/>
      <c r="AD15" s="31"/>
      <c r="AE15" s="31">
        <f>Y15/5</f>
        <v>115.40808</v>
      </c>
      <c r="AF15" s="32"/>
      <c r="AG15" s="42"/>
      <c r="AH15" s="88"/>
      <c r="AI15" s="88"/>
      <c r="AJ15" s="88"/>
      <c r="AK15" s="88"/>
      <c r="AL15" s="88"/>
      <c r="AM15" s="37">
        <f>'Přehled všech '!AM15</f>
        <v>0.11</v>
      </c>
      <c r="AN15" s="38">
        <f>AM15*X15</f>
        <v>71.319600000000008</v>
      </c>
      <c r="AP15" s="39">
        <v>32.99</v>
      </c>
      <c r="AQ15" s="39">
        <v>32.99</v>
      </c>
      <c r="AR15" s="39">
        <v>19.559999999999999</v>
      </c>
      <c r="AS15" s="39"/>
    </row>
    <row r="16" spans="1:47" ht="41.25" hidden="1" customHeight="1" thickTop="1" thickBot="1" x14ac:dyDescent="0.4">
      <c r="A16" s="19" t="s">
        <v>60</v>
      </c>
      <c r="B16" s="19">
        <v>125287</v>
      </c>
      <c r="C16" s="19"/>
      <c r="D16" s="19"/>
      <c r="E16" s="19"/>
      <c r="F16" s="20" t="s">
        <v>55</v>
      </c>
      <c r="G16" s="21" t="s">
        <v>56</v>
      </c>
      <c r="H16" s="22" t="s">
        <v>37</v>
      </c>
      <c r="I16" s="23" t="s">
        <v>57</v>
      </c>
      <c r="J16" s="22"/>
      <c r="K16" s="22"/>
      <c r="L16" s="22"/>
      <c r="M16" s="22" t="s">
        <v>37</v>
      </c>
      <c r="N16" s="40"/>
      <c r="O16" s="41" t="s">
        <v>61</v>
      </c>
      <c r="P16" s="46"/>
      <c r="Q16" s="46"/>
      <c r="R16" s="46"/>
      <c r="S16" s="46"/>
      <c r="T16" s="46"/>
      <c r="U16" s="46" t="s">
        <v>37</v>
      </c>
      <c r="V16" s="47">
        <v>11250</v>
      </c>
      <c r="W16" s="44">
        <v>17.78</v>
      </c>
      <c r="X16" s="28">
        <v>1897.5</v>
      </c>
      <c r="Y16" s="29">
        <f t="shared" si="0"/>
        <v>1897.5</v>
      </c>
      <c r="Z16" s="30">
        <f t="shared" si="1"/>
        <v>106.72103487064116</v>
      </c>
      <c r="AA16" s="30"/>
      <c r="AB16" s="30"/>
      <c r="AC16" s="31"/>
      <c r="AD16" s="31"/>
      <c r="AE16" s="31">
        <f>Y16/25</f>
        <v>75.900000000000006</v>
      </c>
      <c r="AF16" s="32"/>
      <c r="AG16" s="42"/>
      <c r="AH16" s="43"/>
      <c r="AI16" s="43"/>
      <c r="AJ16" s="43"/>
      <c r="AK16" s="43"/>
      <c r="AL16" s="43"/>
      <c r="AM16" s="37"/>
      <c r="AN16" s="38">
        <f t="shared" si="2"/>
        <v>0</v>
      </c>
      <c r="AP16" s="39"/>
      <c r="AQ16" s="39"/>
      <c r="AR16" s="39"/>
      <c r="AS16" s="39"/>
    </row>
    <row r="17" spans="1:46" ht="53.25" customHeight="1" thickTop="1" thickBot="1" x14ac:dyDescent="0.4">
      <c r="A17" s="19" t="s">
        <v>62</v>
      </c>
      <c r="B17" s="19">
        <v>115402</v>
      </c>
      <c r="C17" s="19">
        <v>77.540000000000006</v>
      </c>
      <c r="D17" s="19">
        <v>923.75</v>
      </c>
      <c r="E17" s="19">
        <v>0</v>
      </c>
      <c r="F17" s="20" t="s">
        <v>55</v>
      </c>
      <c r="G17" s="21" t="s">
        <v>56</v>
      </c>
      <c r="H17" s="22" t="s">
        <v>37</v>
      </c>
      <c r="I17" s="23" t="s">
        <v>57</v>
      </c>
      <c r="J17" s="22"/>
      <c r="K17" s="22"/>
      <c r="L17" s="22"/>
      <c r="M17" s="22" t="s">
        <v>37</v>
      </c>
      <c r="N17" s="40"/>
      <c r="O17" s="48" t="s">
        <v>63</v>
      </c>
      <c r="P17" s="41" t="s">
        <v>61</v>
      </c>
      <c r="Q17" s="46"/>
      <c r="R17" s="46"/>
      <c r="S17" s="46"/>
      <c r="T17" s="46"/>
      <c r="U17" s="46" t="s">
        <v>37</v>
      </c>
      <c r="V17" s="47">
        <v>11250</v>
      </c>
      <c r="W17" s="44">
        <v>5.33</v>
      </c>
      <c r="X17" s="28">
        <v>846.27</v>
      </c>
      <c r="Y17" s="29">
        <f>'Přehled všech '!Y17</f>
        <v>753.18029999999999</v>
      </c>
      <c r="Z17" s="30">
        <f t="shared" si="1"/>
        <v>141.30962476547842</v>
      </c>
      <c r="AA17" s="30"/>
      <c r="AB17" s="98"/>
      <c r="AC17" s="31">
        <f>Y17/10</f>
        <v>75.318029999999993</v>
      </c>
      <c r="AD17" s="31"/>
      <c r="AE17" s="31">
        <f>Y17/5</f>
        <v>150.63605999999999</v>
      </c>
      <c r="AF17" s="31"/>
      <c r="AG17" s="42"/>
      <c r="AH17" s="88"/>
      <c r="AI17" s="88"/>
      <c r="AJ17" s="88"/>
      <c r="AK17" s="88"/>
      <c r="AL17" s="88"/>
      <c r="AM17" s="37">
        <f>'Přehled všech '!AM17</f>
        <v>0.11</v>
      </c>
      <c r="AN17" s="38">
        <f t="shared" si="2"/>
        <v>93.089699999999993</v>
      </c>
      <c r="AP17" s="39">
        <v>32.99</v>
      </c>
      <c r="AQ17" s="39">
        <v>32.99</v>
      </c>
      <c r="AR17" s="39">
        <v>19.559999999999999</v>
      </c>
      <c r="AS17" s="39"/>
    </row>
    <row r="18" spans="1:46" ht="55.5" hidden="1" customHeight="1" thickTop="1" thickBot="1" x14ac:dyDescent="0.4">
      <c r="A18" s="19" t="s">
        <v>64</v>
      </c>
      <c r="B18" s="19">
        <v>125288</v>
      </c>
      <c r="C18" s="19"/>
      <c r="D18" s="19"/>
      <c r="E18" s="19"/>
      <c r="F18" s="20" t="s">
        <v>55</v>
      </c>
      <c r="G18" s="21" t="s">
        <v>56</v>
      </c>
      <c r="H18" s="22" t="s">
        <v>37</v>
      </c>
      <c r="I18" s="23" t="s">
        <v>57</v>
      </c>
      <c r="J18" s="22"/>
      <c r="K18" s="22"/>
      <c r="L18" s="22"/>
      <c r="M18" s="22" t="s">
        <v>37</v>
      </c>
      <c r="N18" s="40"/>
      <c r="O18" s="48" t="s">
        <v>63</v>
      </c>
      <c r="P18" s="41" t="s">
        <v>61</v>
      </c>
      <c r="Q18" s="46"/>
      <c r="R18" s="46"/>
      <c r="S18" s="46"/>
      <c r="T18" s="46"/>
      <c r="U18" s="46" t="s">
        <v>37</v>
      </c>
      <c r="V18" s="47">
        <v>11250</v>
      </c>
      <c r="W18" s="44">
        <v>26.6</v>
      </c>
      <c r="X18" s="28">
        <v>2722.5</v>
      </c>
      <c r="Y18" s="29">
        <f t="shared" si="0"/>
        <v>2722.5</v>
      </c>
      <c r="Z18" s="30">
        <f t="shared" si="1"/>
        <v>102.34962406015038</v>
      </c>
      <c r="AA18" s="30"/>
      <c r="AB18" s="30"/>
      <c r="AC18" s="31">
        <f>Y18/50</f>
        <v>54.45</v>
      </c>
      <c r="AD18" s="31"/>
      <c r="AE18" s="31">
        <f>Y18/25</f>
        <v>108.9</v>
      </c>
      <c r="AF18" s="31"/>
      <c r="AG18" s="42"/>
      <c r="AH18" s="43"/>
      <c r="AI18" s="43"/>
      <c r="AJ18" s="43"/>
      <c r="AK18" s="43"/>
      <c r="AL18" s="43"/>
      <c r="AM18" s="37"/>
      <c r="AN18" s="38">
        <f t="shared" si="2"/>
        <v>0</v>
      </c>
      <c r="AS18" s="39"/>
    </row>
    <row r="19" spans="1:46" ht="51" customHeight="1" thickTop="1" thickBot="1" x14ac:dyDescent="0.4">
      <c r="A19" s="19" t="s">
        <v>65</v>
      </c>
      <c r="B19" s="19">
        <v>115403</v>
      </c>
      <c r="C19" s="19">
        <v>89.83</v>
      </c>
      <c r="D19" s="19">
        <v>1231.6600000000001</v>
      </c>
      <c r="E19" s="19">
        <v>0</v>
      </c>
      <c r="F19" s="20" t="s">
        <v>55</v>
      </c>
      <c r="G19" s="21" t="s">
        <v>56</v>
      </c>
      <c r="H19" s="22" t="s">
        <v>37</v>
      </c>
      <c r="I19" s="23" t="s">
        <v>57</v>
      </c>
      <c r="J19" s="22"/>
      <c r="K19" s="22"/>
      <c r="L19" s="22"/>
      <c r="M19" s="22" t="s">
        <v>37</v>
      </c>
      <c r="N19" s="40"/>
      <c r="O19" s="48" t="s">
        <v>66</v>
      </c>
      <c r="P19" s="48" t="s">
        <v>67</v>
      </c>
      <c r="Q19" s="41" t="s">
        <v>61</v>
      </c>
      <c r="R19" s="46"/>
      <c r="S19" s="46"/>
      <c r="T19" s="41" t="s">
        <v>68</v>
      </c>
      <c r="U19" s="46" t="s">
        <v>37</v>
      </c>
      <c r="V19" s="47">
        <v>11250</v>
      </c>
      <c r="W19" s="44">
        <v>7.11</v>
      </c>
      <c r="X19" s="28">
        <v>1141.83</v>
      </c>
      <c r="Y19" s="29">
        <f>'Přehled všech '!Y19</f>
        <v>1016.2286999999999</v>
      </c>
      <c r="Z19" s="30">
        <f t="shared" si="1"/>
        <v>142.92949367088605</v>
      </c>
      <c r="AA19" s="30"/>
      <c r="AB19" s="30"/>
      <c r="AC19" s="31">
        <f>Y19/10</f>
        <v>101.62286999999999</v>
      </c>
      <c r="AD19" s="31"/>
      <c r="AE19" s="31">
        <f>Y19/5</f>
        <v>203.24573999999998</v>
      </c>
      <c r="AF19" s="31"/>
      <c r="AG19" s="49">
        <f>Y19/2.5</f>
        <v>406.49147999999997</v>
      </c>
      <c r="AH19" s="50"/>
      <c r="AI19" s="50"/>
      <c r="AJ19" s="50"/>
      <c r="AK19" s="51"/>
      <c r="AL19" s="52">
        <f>AE19/AT19</f>
        <v>1.7667397426981917</v>
      </c>
      <c r="AM19" s="37">
        <f>'Přehled všech '!AM19</f>
        <v>0.11</v>
      </c>
      <c r="AN19" s="38">
        <f t="shared" si="2"/>
        <v>125.60129999999999</v>
      </c>
      <c r="AS19" s="39"/>
      <c r="AT19" s="39">
        <v>115.04</v>
      </c>
    </row>
    <row r="20" spans="1:46" ht="27" hidden="1" customHeight="1" thickTop="1" thickBot="1" x14ac:dyDescent="0.4">
      <c r="A20" s="19" t="s">
        <v>69</v>
      </c>
      <c r="B20" s="19">
        <v>125289</v>
      </c>
      <c r="C20" s="19"/>
      <c r="D20" s="19"/>
      <c r="E20" s="19"/>
      <c r="F20" s="20" t="s">
        <v>55</v>
      </c>
      <c r="G20" s="21" t="s">
        <v>56</v>
      </c>
      <c r="H20" s="22" t="s">
        <v>37</v>
      </c>
      <c r="I20" s="23" t="s">
        <v>57</v>
      </c>
      <c r="J20" s="22"/>
      <c r="K20" s="22"/>
      <c r="L20" s="22"/>
      <c r="M20" s="22" t="s">
        <v>37</v>
      </c>
      <c r="N20" s="40"/>
      <c r="O20" s="48" t="s">
        <v>66</v>
      </c>
      <c r="P20" s="48" t="s">
        <v>67</v>
      </c>
      <c r="Q20" s="41" t="s">
        <v>61</v>
      </c>
      <c r="R20" s="46"/>
      <c r="S20" s="46"/>
      <c r="T20" s="41" t="s">
        <v>68</v>
      </c>
      <c r="U20" s="46" t="s">
        <v>37</v>
      </c>
      <c r="V20" s="47">
        <v>11250</v>
      </c>
      <c r="W20" s="44">
        <v>35.6</v>
      </c>
      <c r="X20" s="28">
        <v>3685</v>
      </c>
      <c r="Y20" s="29">
        <f t="shared" si="0"/>
        <v>3685</v>
      </c>
      <c r="Z20" s="30">
        <f t="shared" si="1"/>
        <v>103.51123595505618</v>
      </c>
      <c r="AA20" s="30"/>
      <c r="AB20" s="30"/>
      <c r="AC20" s="31">
        <f>Y20/50</f>
        <v>73.7</v>
      </c>
      <c r="AD20" s="31"/>
      <c r="AE20" s="31">
        <f>Y20/25</f>
        <v>147.4</v>
      </c>
      <c r="AF20" s="31"/>
      <c r="AG20" s="49">
        <f>Y20/12.5</f>
        <v>294.8</v>
      </c>
      <c r="AH20" s="50"/>
      <c r="AI20" s="50"/>
      <c r="AJ20" s="50"/>
      <c r="AK20" s="51"/>
      <c r="AL20" s="52">
        <f>AE20/AT20</f>
        <v>1.3035019455252919</v>
      </c>
      <c r="AM20" s="37"/>
      <c r="AN20" s="38">
        <f t="shared" si="2"/>
        <v>0</v>
      </c>
      <c r="AS20" s="39"/>
      <c r="AT20" s="39">
        <v>113.08</v>
      </c>
    </row>
    <row r="21" spans="1:46" ht="55.5" customHeight="1" thickTop="1" thickBot="1" x14ac:dyDescent="0.4">
      <c r="A21" s="19" t="s">
        <v>70</v>
      </c>
      <c r="B21" s="19">
        <v>115404</v>
      </c>
      <c r="C21" s="19">
        <v>301.73</v>
      </c>
      <c r="D21" s="19">
        <v>1539.57</v>
      </c>
      <c r="E21" s="19">
        <v>0</v>
      </c>
      <c r="F21" s="20" t="s">
        <v>55</v>
      </c>
      <c r="G21" s="21" t="s">
        <v>56</v>
      </c>
      <c r="H21" s="22" t="s">
        <v>37</v>
      </c>
      <c r="I21" s="23" t="s">
        <v>57</v>
      </c>
      <c r="J21" s="22"/>
      <c r="K21" s="22"/>
      <c r="L21" s="22"/>
      <c r="M21" s="22" t="s">
        <v>37</v>
      </c>
      <c r="N21" s="40"/>
      <c r="O21" s="46"/>
      <c r="P21" s="48" t="s">
        <v>71</v>
      </c>
      <c r="Q21" s="48" t="s">
        <v>72</v>
      </c>
      <c r="R21" s="41" t="s">
        <v>61</v>
      </c>
      <c r="S21" s="46"/>
      <c r="T21" s="46"/>
      <c r="U21" s="46" t="s">
        <v>37</v>
      </c>
      <c r="V21" s="47">
        <v>11250</v>
      </c>
      <c r="W21" s="44">
        <v>8.89</v>
      </c>
      <c r="X21" s="28">
        <v>1237.83</v>
      </c>
      <c r="Y21" s="29">
        <f>'Přehled všech '!Y21</f>
        <v>1101.6686999999999</v>
      </c>
      <c r="Z21" s="30">
        <f t="shared" si="1"/>
        <v>123.92223847019122</v>
      </c>
      <c r="AA21" s="30"/>
      <c r="AB21" s="98"/>
      <c r="AC21" s="31">
        <f>Y21/10</f>
        <v>110.16686999999999</v>
      </c>
      <c r="AD21" s="31"/>
      <c r="AE21" s="31">
        <f>Y21/5</f>
        <v>220.33373999999998</v>
      </c>
      <c r="AF21" s="31"/>
      <c r="AG21" s="42"/>
      <c r="AH21" s="88"/>
      <c r="AI21" s="88"/>
      <c r="AJ21" s="88"/>
      <c r="AK21" s="90"/>
      <c r="AL21" s="88"/>
      <c r="AM21" s="37">
        <f>'Přehled všech '!AM21</f>
        <v>0.11</v>
      </c>
      <c r="AN21" s="38">
        <f t="shared" si="2"/>
        <v>136.16129999999998</v>
      </c>
      <c r="AP21" s="39">
        <v>32.99</v>
      </c>
      <c r="AQ21" s="39">
        <v>32.99</v>
      </c>
      <c r="AR21" s="39">
        <v>19.559999999999999</v>
      </c>
      <c r="AS21" s="39"/>
    </row>
    <row r="22" spans="1:46" ht="54" hidden="1" customHeight="1" thickTop="1" thickBot="1" x14ac:dyDescent="0.4">
      <c r="A22" s="19" t="s">
        <v>73</v>
      </c>
      <c r="B22" s="19">
        <v>125290</v>
      </c>
      <c r="C22" s="19"/>
      <c r="D22" s="19"/>
      <c r="E22" s="19"/>
      <c r="F22" s="20" t="s">
        <v>55</v>
      </c>
      <c r="G22" s="21" t="s">
        <v>56</v>
      </c>
      <c r="H22" s="22" t="s">
        <v>37</v>
      </c>
      <c r="I22" s="23" t="s">
        <v>57</v>
      </c>
      <c r="J22" s="22"/>
      <c r="K22" s="22"/>
      <c r="L22" s="22"/>
      <c r="M22" s="22" t="s">
        <v>37</v>
      </c>
      <c r="N22" s="40"/>
      <c r="O22" s="46"/>
      <c r="P22" s="48" t="s">
        <v>71</v>
      </c>
      <c r="Q22" s="48" t="s">
        <v>72</v>
      </c>
      <c r="R22" s="41" t="s">
        <v>61</v>
      </c>
      <c r="S22" s="46"/>
      <c r="T22" s="46"/>
      <c r="U22" s="46" t="s">
        <v>37</v>
      </c>
      <c r="V22" s="47">
        <v>11250</v>
      </c>
      <c r="W22" s="44">
        <v>44.4</v>
      </c>
      <c r="X22" s="28">
        <v>4455</v>
      </c>
      <c r="Y22" s="29">
        <f t="shared" si="0"/>
        <v>4455</v>
      </c>
      <c r="Z22" s="30">
        <f t="shared" si="1"/>
        <v>100.33783783783784</v>
      </c>
      <c r="AA22" s="30"/>
      <c r="AB22" s="30"/>
      <c r="AC22" s="31">
        <f>Y22/50</f>
        <v>89.1</v>
      </c>
      <c r="AD22" s="31"/>
      <c r="AE22" s="31">
        <f>Y22/25</f>
        <v>178.2</v>
      </c>
      <c r="AF22" s="31"/>
      <c r="AG22" s="42"/>
      <c r="AH22" s="43"/>
      <c r="AI22" s="43"/>
      <c r="AJ22" s="43"/>
      <c r="AK22" s="53"/>
      <c r="AL22" s="43"/>
      <c r="AM22" s="37"/>
      <c r="AN22" s="38">
        <f t="shared" si="2"/>
        <v>0</v>
      </c>
      <c r="AS22" s="39"/>
    </row>
    <row r="23" spans="1:46" ht="53.25" customHeight="1" thickTop="1" thickBot="1" x14ac:dyDescent="0.4">
      <c r="A23" s="19" t="s">
        <v>74</v>
      </c>
      <c r="B23" s="19">
        <v>107950</v>
      </c>
      <c r="C23" s="19">
        <v>361</v>
      </c>
      <c r="D23" s="19">
        <v>1847.49</v>
      </c>
      <c r="E23" s="19">
        <v>99.98</v>
      </c>
      <c r="F23" s="20" t="s">
        <v>75</v>
      </c>
      <c r="G23" s="21" t="s">
        <v>56</v>
      </c>
      <c r="H23" s="22" t="s">
        <v>37</v>
      </c>
      <c r="I23" s="23" t="s">
        <v>57</v>
      </c>
      <c r="J23" s="22"/>
      <c r="K23" s="22"/>
      <c r="L23" s="22"/>
      <c r="M23" s="22" t="s">
        <v>37</v>
      </c>
      <c r="N23" s="40"/>
      <c r="O23" s="46"/>
      <c r="P23" s="46"/>
      <c r="Q23" s="48" t="s">
        <v>76</v>
      </c>
      <c r="R23" s="46"/>
      <c r="S23" s="41" t="s">
        <v>61</v>
      </c>
      <c r="T23" s="24"/>
      <c r="U23" s="46" t="s">
        <v>37</v>
      </c>
      <c r="V23" s="47">
        <v>11250</v>
      </c>
      <c r="W23" s="54">
        <v>10.67</v>
      </c>
      <c r="X23" s="55">
        <v>1586.49</v>
      </c>
      <c r="Y23" s="56">
        <f>'Přehled všech '!Y23</f>
        <v>1411.9761000000001</v>
      </c>
      <c r="Z23" s="30">
        <f t="shared" si="1"/>
        <v>132.33140581068417</v>
      </c>
      <c r="AA23" s="30"/>
      <c r="AB23" s="110" t="s">
        <v>155</v>
      </c>
      <c r="AC23" s="106">
        <f>Y23/10</f>
        <v>141.19761</v>
      </c>
      <c r="AD23" s="31"/>
      <c r="AE23" s="31">
        <f>Y23/5</f>
        <v>282.39521999999999</v>
      </c>
      <c r="AF23" s="31"/>
      <c r="AG23" s="42"/>
      <c r="AH23" s="88"/>
      <c r="AI23" s="88"/>
      <c r="AJ23" s="88"/>
      <c r="AK23" s="89">
        <f>AC23/AS23</f>
        <v>1.0206564261963278</v>
      </c>
      <c r="AL23" s="88"/>
      <c r="AM23" s="37">
        <f>'Přehled všech '!AM23</f>
        <v>0.11</v>
      </c>
      <c r="AN23" s="38">
        <f t="shared" si="2"/>
        <v>174.51390000000001</v>
      </c>
      <c r="AP23" s="39">
        <v>32.99</v>
      </c>
      <c r="AQ23" s="39">
        <v>32.99</v>
      </c>
      <c r="AR23" s="39">
        <v>19.559999999999999</v>
      </c>
      <c r="AS23" s="39">
        <v>138.34</v>
      </c>
    </row>
    <row r="24" spans="1:46" ht="63.75" customHeight="1" thickTop="1" thickBot="1" x14ac:dyDescent="0.4">
      <c r="A24" s="19" t="s">
        <v>77</v>
      </c>
      <c r="B24" s="19">
        <v>107951</v>
      </c>
      <c r="C24" s="19">
        <v>328.11</v>
      </c>
      <c r="D24" s="19">
        <v>2309.37</v>
      </c>
      <c r="E24" s="19">
        <v>0</v>
      </c>
      <c r="F24" s="20" t="s">
        <v>75</v>
      </c>
      <c r="G24" s="21" t="s">
        <v>56</v>
      </c>
      <c r="H24" s="22" t="s">
        <v>37</v>
      </c>
      <c r="I24" s="23" t="s">
        <v>57</v>
      </c>
      <c r="J24" s="22"/>
      <c r="K24" s="22"/>
      <c r="L24" s="22"/>
      <c r="M24" s="22" t="s">
        <v>37</v>
      </c>
      <c r="N24" s="40"/>
      <c r="O24" s="46"/>
      <c r="P24" s="46"/>
      <c r="Q24" s="46"/>
      <c r="R24" s="48" t="s">
        <v>78</v>
      </c>
      <c r="S24" s="46"/>
      <c r="T24" s="41" t="s">
        <v>79</v>
      </c>
      <c r="U24" s="46" t="s">
        <v>37</v>
      </c>
      <c r="V24" s="47">
        <v>11250</v>
      </c>
      <c r="W24" s="57">
        <v>13.33</v>
      </c>
      <c r="X24" s="55">
        <v>1981.24</v>
      </c>
      <c r="Y24" s="56">
        <f>'Přehled všech '!Y24</f>
        <v>1763.3036</v>
      </c>
      <c r="Z24" s="58">
        <f t="shared" si="1"/>
        <v>132.2808402100525</v>
      </c>
      <c r="AA24" s="58"/>
      <c r="AB24" s="100"/>
      <c r="AC24" s="31">
        <f>Y24/10</f>
        <v>176.33035999999998</v>
      </c>
      <c r="AD24" s="31"/>
      <c r="AE24" s="31">
        <f>Y24/5</f>
        <v>352.66071999999997</v>
      </c>
      <c r="AF24" s="59"/>
      <c r="AG24" s="42"/>
      <c r="AH24" s="88"/>
      <c r="AI24" s="88"/>
      <c r="AJ24" s="88"/>
      <c r="AK24" s="88"/>
      <c r="AL24" s="88"/>
      <c r="AM24" s="37">
        <f>'Přehled všech '!AM24</f>
        <v>0.11</v>
      </c>
      <c r="AN24" s="38">
        <f t="shared" si="2"/>
        <v>217.93639999999999</v>
      </c>
      <c r="AP24" s="39">
        <v>32.99</v>
      </c>
      <c r="AQ24" s="39">
        <v>32.99</v>
      </c>
      <c r="AR24" s="39">
        <v>19.559999999999999</v>
      </c>
      <c r="AS24" s="39"/>
    </row>
    <row r="25" spans="1:46" ht="39" hidden="1" customHeight="1" thickTop="1" thickBot="1" x14ac:dyDescent="0.4">
      <c r="A25" s="19" t="s">
        <v>80</v>
      </c>
      <c r="B25" s="19">
        <v>219050</v>
      </c>
      <c r="C25" s="19">
        <v>98.8</v>
      </c>
      <c r="D25" s="19">
        <v>368.16</v>
      </c>
      <c r="E25" s="19">
        <v>10.039999999999999</v>
      </c>
      <c r="F25" s="20" t="s">
        <v>55</v>
      </c>
      <c r="G25" s="21" t="s">
        <v>138</v>
      </c>
      <c r="H25" s="22" t="s">
        <v>37</v>
      </c>
      <c r="I25" s="23" t="s">
        <v>57</v>
      </c>
      <c r="J25" s="24" t="s">
        <v>39</v>
      </c>
      <c r="K25" s="22"/>
      <c r="L25" s="22"/>
      <c r="M25" s="22" t="s">
        <v>37</v>
      </c>
      <c r="N25" s="24"/>
      <c r="O25" s="46"/>
      <c r="P25" s="46"/>
      <c r="Q25" s="46"/>
      <c r="R25" s="46"/>
      <c r="S25" s="46"/>
      <c r="T25" s="46"/>
      <c r="U25" s="46" t="s">
        <v>37</v>
      </c>
      <c r="V25" s="47">
        <v>4000</v>
      </c>
      <c r="W25" s="44">
        <v>5</v>
      </c>
      <c r="X25" s="95">
        <v>270.5</v>
      </c>
      <c r="Y25" s="56">
        <f t="shared" si="0"/>
        <v>189.35000000000002</v>
      </c>
      <c r="Z25" s="58">
        <f t="shared" si="1"/>
        <v>37.870000000000005</v>
      </c>
      <c r="AA25" s="72">
        <f>Y25/10</f>
        <v>18.935000000000002</v>
      </c>
      <c r="AB25" s="99" t="s">
        <v>144</v>
      </c>
      <c r="AC25" s="59"/>
      <c r="AD25" s="59"/>
      <c r="AE25" s="59"/>
      <c r="AF25" s="32">
        <f>Z25/AP25</f>
        <v>1.1479236132161261</v>
      </c>
      <c r="AG25" s="60"/>
      <c r="AH25" s="76"/>
      <c r="AI25" s="80"/>
      <c r="AJ25" s="81">
        <f>AA25/AR25</f>
        <v>0.96804703476482634</v>
      </c>
      <c r="AK25" s="84"/>
      <c r="AL25" s="84"/>
      <c r="AM25" s="37">
        <v>0.3</v>
      </c>
      <c r="AN25" s="38">
        <f t="shared" si="2"/>
        <v>81.149999999999991</v>
      </c>
      <c r="AP25" s="39">
        <v>32.99</v>
      </c>
      <c r="AQ25" s="39">
        <v>32.99</v>
      </c>
      <c r="AR25" s="39">
        <v>19.559999999999999</v>
      </c>
    </row>
    <row r="26" spans="1:46" ht="39.75" hidden="1" customHeight="1" thickTop="1" thickBot="1" x14ac:dyDescent="0.4">
      <c r="A26" s="19" t="s">
        <v>81</v>
      </c>
      <c r="B26" s="19">
        <v>233119</v>
      </c>
      <c r="C26" s="19"/>
      <c r="D26" s="19"/>
      <c r="E26" s="19"/>
      <c r="F26" s="20" t="s">
        <v>55</v>
      </c>
      <c r="G26" s="21" t="s">
        <v>138</v>
      </c>
      <c r="H26" s="22" t="s">
        <v>37</v>
      </c>
      <c r="I26" s="23" t="s">
        <v>57</v>
      </c>
      <c r="J26" s="24" t="s">
        <v>39</v>
      </c>
      <c r="K26" s="22"/>
      <c r="L26" s="22"/>
      <c r="M26" s="22" t="s">
        <v>37</v>
      </c>
      <c r="N26" s="24"/>
      <c r="O26" s="46"/>
      <c r="P26" s="46"/>
      <c r="Q26" s="46"/>
      <c r="R26" s="46"/>
      <c r="S26" s="46"/>
      <c r="T26" s="46"/>
      <c r="U26" s="46" t="s">
        <v>37</v>
      </c>
      <c r="V26" s="47">
        <v>4000</v>
      </c>
      <c r="W26" s="44">
        <v>25</v>
      </c>
      <c r="X26" s="71" t="s">
        <v>419</v>
      </c>
      <c r="Y26" s="56" t="e">
        <f t="shared" si="0"/>
        <v>#VALUE!</v>
      </c>
      <c r="Z26" s="58" t="e">
        <f t="shared" si="1"/>
        <v>#VALUE!</v>
      </c>
      <c r="AA26" s="30" t="e">
        <f>Y26/50</f>
        <v>#VALUE!</v>
      </c>
      <c r="AB26" s="30"/>
      <c r="AC26" s="59"/>
      <c r="AD26" s="59"/>
      <c r="AE26" s="59"/>
      <c r="AF26" s="32" t="e">
        <f>Z26/AP26</f>
        <v>#VALUE!</v>
      </c>
      <c r="AG26" s="60"/>
      <c r="AH26" s="34" t="e">
        <f t="shared" ref="AH26:AH28" si="5">AA26/AP26</f>
        <v>#VALUE!</v>
      </c>
      <c r="AI26" s="35" t="e">
        <f t="shared" ref="AI26:AI28" si="6">AA26/AQ26</f>
        <v>#VALUE!</v>
      </c>
      <c r="AJ26" s="35"/>
      <c r="AK26" s="61"/>
      <c r="AL26" s="61"/>
      <c r="AM26" s="37">
        <v>0.3</v>
      </c>
      <c r="AN26" s="38" t="e">
        <f t="shared" si="2"/>
        <v>#VALUE!</v>
      </c>
      <c r="AP26" s="39">
        <v>24.97</v>
      </c>
      <c r="AQ26" s="39">
        <v>27.94</v>
      </c>
      <c r="AR26" s="39"/>
    </row>
    <row r="27" spans="1:46" ht="39" hidden="1" customHeight="1" thickTop="1" thickBot="1" x14ac:dyDescent="0.4">
      <c r="A27" s="19" t="s">
        <v>82</v>
      </c>
      <c r="B27" s="19">
        <v>219052</v>
      </c>
      <c r="C27" s="19">
        <v>161.03</v>
      </c>
      <c r="D27" s="19">
        <v>736.33</v>
      </c>
      <c r="E27" s="19">
        <v>-103.97</v>
      </c>
      <c r="F27" s="20" t="s">
        <v>55</v>
      </c>
      <c r="G27" s="21" t="s">
        <v>138</v>
      </c>
      <c r="H27" s="22" t="s">
        <v>37</v>
      </c>
      <c r="I27" s="23" t="s">
        <v>57</v>
      </c>
      <c r="J27" s="22"/>
      <c r="K27" s="24" t="s">
        <v>39</v>
      </c>
      <c r="L27" s="24" t="s">
        <v>39</v>
      </c>
      <c r="M27" s="22" t="s">
        <v>37</v>
      </c>
      <c r="N27" s="24"/>
      <c r="O27" s="46"/>
      <c r="P27" s="46"/>
      <c r="Q27" s="46"/>
      <c r="R27" s="46"/>
      <c r="S27" s="46"/>
      <c r="T27" s="46"/>
      <c r="U27" s="46" t="s">
        <v>37</v>
      </c>
      <c r="V27" s="47">
        <v>4000</v>
      </c>
      <c r="W27" s="44">
        <v>10</v>
      </c>
      <c r="X27" s="95">
        <v>562.24</v>
      </c>
      <c r="Y27" s="56">
        <f t="shared" si="0"/>
        <v>393.56799999999998</v>
      </c>
      <c r="Z27" s="58">
        <f t="shared" si="1"/>
        <v>39.3568</v>
      </c>
      <c r="AA27" s="72">
        <f>Y27/10</f>
        <v>39.3568</v>
      </c>
      <c r="AB27" s="98"/>
      <c r="AC27" s="59"/>
      <c r="AD27" s="59"/>
      <c r="AE27" s="59"/>
      <c r="AF27" s="32">
        <f>Z27/AP27</f>
        <v>1.1929918157017276</v>
      </c>
      <c r="AG27" s="60"/>
      <c r="AH27" s="82">
        <f t="shared" si="5"/>
        <v>1.1929918157017276</v>
      </c>
      <c r="AI27" s="83">
        <f t="shared" si="6"/>
        <v>1.1929918157017276</v>
      </c>
      <c r="AJ27" s="76"/>
      <c r="AK27" s="84"/>
      <c r="AL27" s="84"/>
      <c r="AM27" s="37">
        <v>0.3</v>
      </c>
      <c r="AN27" s="38">
        <f t="shared" si="2"/>
        <v>168.672</v>
      </c>
      <c r="AP27" s="39">
        <v>32.99</v>
      </c>
      <c r="AQ27" s="39">
        <v>32.99</v>
      </c>
      <c r="AR27" s="39">
        <v>19.559999999999999</v>
      </c>
    </row>
    <row r="28" spans="1:46" ht="38.25" hidden="1" customHeight="1" thickTop="1" thickBot="1" x14ac:dyDescent="0.4">
      <c r="A28" s="19" t="s">
        <v>83</v>
      </c>
      <c r="B28" s="19">
        <v>233123</v>
      </c>
      <c r="C28" s="19"/>
      <c r="D28" s="19"/>
      <c r="E28" s="19"/>
      <c r="F28" s="20" t="s">
        <v>55</v>
      </c>
      <c r="G28" s="21" t="s">
        <v>138</v>
      </c>
      <c r="H28" s="22" t="s">
        <v>37</v>
      </c>
      <c r="I28" s="23" t="s">
        <v>57</v>
      </c>
      <c r="J28" s="22"/>
      <c r="K28" s="24" t="s">
        <v>39</v>
      </c>
      <c r="L28" s="24" t="s">
        <v>39</v>
      </c>
      <c r="M28" s="22" t="s">
        <v>37</v>
      </c>
      <c r="N28" s="24"/>
      <c r="O28" s="46"/>
      <c r="P28" s="46"/>
      <c r="Q28" s="46"/>
      <c r="R28" s="46"/>
      <c r="S28" s="46"/>
      <c r="T28" s="46"/>
      <c r="U28" s="46" t="s">
        <v>37</v>
      </c>
      <c r="V28" s="47">
        <v>4000</v>
      </c>
      <c r="W28" s="44">
        <v>50</v>
      </c>
      <c r="X28" s="71" t="s">
        <v>419</v>
      </c>
      <c r="Y28" s="56" t="e">
        <f t="shared" si="0"/>
        <v>#VALUE!</v>
      </c>
      <c r="Z28" s="58" t="e">
        <f t="shared" si="1"/>
        <v>#VALUE!</v>
      </c>
      <c r="AA28" s="30" t="e">
        <f>Y28/50</f>
        <v>#VALUE!</v>
      </c>
      <c r="AB28" s="30"/>
      <c r="AC28" s="59"/>
      <c r="AD28" s="59"/>
      <c r="AE28" s="59"/>
      <c r="AF28" s="32" t="e">
        <f>Z28/AP28</f>
        <v>#VALUE!</v>
      </c>
      <c r="AG28" s="60"/>
      <c r="AH28" s="34" t="e">
        <f t="shared" si="5"/>
        <v>#VALUE!</v>
      </c>
      <c r="AI28" s="35" t="e">
        <f t="shared" si="6"/>
        <v>#VALUE!</v>
      </c>
      <c r="AJ28" s="35"/>
      <c r="AK28" s="61"/>
      <c r="AL28" s="61"/>
      <c r="AM28" s="37">
        <v>0.3</v>
      </c>
      <c r="AN28" s="38" t="e">
        <f t="shared" si="2"/>
        <v>#VALUE!</v>
      </c>
      <c r="AP28" s="39">
        <v>24.97</v>
      </c>
      <c r="AQ28" s="39">
        <v>27.94</v>
      </c>
      <c r="AR28" s="39"/>
    </row>
    <row r="29" spans="1:46" ht="43.5" hidden="1" customHeight="1" thickTop="1" thickBot="1" x14ac:dyDescent="0.4">
      <c r="A29" s="19" t="s">
        <v>82</v>
      </c>
      <c r="B29" s="19">
        <v>219052</v>
      </c>
      <c r="C29" s="19">
        <v>151.66</v>
      </c>
      <c r="D29" s="19">
        <v>736.33</v>
      </c>
      <c r="E29" s="19">
        <v>-103.97</v>
      </c>
      <c r="F29" s="20" t="s">
        <v>55</v>
      </c>
      <c r="G29" s="21" t="s">
        <v>138</v>
      </c>
      <c r="H29" s="22" t="s">
        <v>37</v>
      </c>
      <c r="I29" s="23" t="s">
        <v>57</v>
      </c>
      <c r="J29" s="22"/>
      <c r="K29" s="22"/>
      <c r="L29" s="22"/>
      <c r="M29" s="22" t="s">
        <v>37</v>
      </c>
      <c r="N29" s="40"/>
      <c r="O29" s="41" t="s">
        <v>61</v>
      </c>
      <c r="P29" s="46"/>
      <c r="Q29" s="46"/>
      <c r="R29" s="46"/>
      <c r="S29" s="46"/>
      <c r="T29" s="46"/>
      <c r="U29" s="46" t="s">
        <v>37</v>
      </c>
      <c r="V29" s="47">
        <v>11250</v>
      </c>
      <c r="W29" s="44">
        <v>3.56</v>
      </c>
      <c r="X29" s="95">
        <v>562.24</v>
      </c>
      <c r="Y29" s="56">
        <f t="shared" si="0"/>
        <v>562.24</v>
      </c>
      <c r="Z29" s="58">
        <f t="shared" si="1"/>
        <v>157.93258426966293</v>
      </c>
      <c r="AA29" s="58"/>
      <c r="AB29" s="100"/>
      <c r="AC29" s="59"/>
      <c r="AD29" s="59"/>
      <c r="AE29" s="31">
        <f>Y29/5</f>
        <v>112.44800000000001</v>
      </c>
      <c r="AF29" s="32"/>
      <c r="AG29" s="42"/>
      <c r="AH29" s="88"/>
      <c r="AI29" s="88"/>
      <c r="AJ29" s="88"/>
      <c r="AK29" s="88"/>
      <c r="AL29" s="88"/>
      <c r="AM29" s="37">
        <v>0.3</v>
      </c>
      <c r="AN29" s="38"/>
      <c r="AP29" s="39">
        <v>32.99</v>
      </c>
      <c r="AQ29" s="39">
        <v>32.99</v>
      </c>
      <c r="AR29" s="39">
        <v>19.559999999999999</v>
      </c>
      <c r="AS29" s="39"/>
    </row>
    <row r="30" spans="1:46" ht="45.75" hidden="1" customHeight="1" thickTop="1" thickBot="1" x14ac:dyDescent="0.4">
      <c r="A30" s="19" t="s">
        <v>83</v>
      </c>
      <c r="B30" s="19">
        <v>233123</v>
      </c>
      <c r="C30" s="19"/>
      <c r="D30" s="19"/>
      <c r="E30" s="19"/>
      <c r="F30" s="20" t="s">
        <v>55</v>
      </c>
      <c r="G30" s="21" t="s">
        <v>138</v>
      </c>
      <c r="H30" s="22" t="s">
        <v>37</v>
      </c>
      <c r="I30" s="23" t="s">
        <v>57</v>
      </c>
      <c r="J30" s="22"/>
      <c r="K30" s="22"/>
      <c r="L30" s="22"/>
      <c r="M30" s="22" t="s">
        <v>37</v>
      </c>
      <c r="N30" s="40"/>
      <c r="O30" s="41" t="s">
        <v>61</v>
      </c>
      <c r="P30" s="46"/>
      <c r="Q30" s="46"/>
      <c r="R30" s="46"/>
      <c r="S30" s="46"/>
      <c r="T30" s="46"/>
      <c r="U30" s="46" t="s">
        <v>37</v>
      </c>
      <c r="V30" s="47">
        <v>11250</v>
      </c>
      <c r="W30" s="44">
        <v>17.78</v>
      </c>
      <c r="X30" s="71" t="s">
        <v>419</v>
      </c>
      <c r="Y30" s="56" t="e">
        <f t="shared" si="0"/>
        <v>#VALUE!</v>
      </c>
      <c r="Z30" s="58" t="e">
        <f t="shared" si="1"/>
        <v>#VALUE!</v>
      </c>
      <c r="AA30" s="58"/>
      <c r="AB30" s="58"/>
      <c r="AC30" s="59"/>
      <c r="AD30" s="59"/>
      <c r="AE30" s="31" t="e">
        <f>Y30/25</f>
        <v>#VALUE!</v>
      </c>
      <c r="AF30" s="32"/>
      <c r="AG30" s="42"/>
      <c r="AH30" s="43"/>
      <c r="AI30" s="43"/>
      <c r="AJ30" s="43"/>
      <c r="AK30" s="43"/>
      <c r="AL30" s="43"/>
      <c r="AM30" s="37">
        <v>0.3</v>
      </c>
      <c r="AN30" s="38"/>
      <c r="AP30" s="39"/>
      <c r="AQ30" s="39"/>
      <c r="AR30" s="39"/>
      <c r="AS30" s="39"/>
    </row>
    <row r="31" spans="1:46" ht="54.75" hidden="1" customHeight="1" thickTop="1" thickBot="1" x14ac:dyDescent="0.4">
      <c r="A31" s="19" t="s">
        <v>84</v>
      </c>
      <c r="B31" s="19">
        <v>219054</v>
      </c>
      <c r="C31" s="19">
        <v>181.94</v>
      </c>
      <c r="D31" s="19">
        <v>923.75</v>
      </c>
      <c r="E31" s="19">
        <v>-123.61</v>
      </c>
      <c r="F31" s="20" t="s">
        <v>55</v>
      </c>
      <c r="G31" s="21" t="s">
        <v>138</v>
      </c>
      <c r="H31" s="22" t="s">
        <v>37</v>
      </c>
      <c r="I31" s="23" t="s">
        <v>57</v>
      </c>
      <c r="J31" s="22"/>
      <c r="K31" s="22"/>
      <c r="L31" s="22"/>
      <c r="M31" s="22" t="s">
        <v>37</v>
      </c>
      <c r="N31" s="40"/>
      <c r="O31" s="48" t="s">
        <v>63</v>
      </c>
      <c r="P31" s="41" t="s">
        <v>61</v>
      </c>
      <c r="Q31" s="46"/>
      <c r="R31" s="46"/>
      <c r="S31" s="46"/>
      <c r="T31" s="46"/>
      <c r="U31" s="46" t="s">
        <v>37</v>
      </c>
      <c r="V31" s="47">
        <v>11250</v>
      </c>
      <c r="W31" s="44">
        <v>5.33</v>
      </c>
      <c r="X31" s="95">
        <v>717.67</v>
      </c>
      <c r="Y31" s="56">
        <f t="shared" si="0"/>
        <v>502.36899999999997</v>
      </c>
      <c r="Z31" s="58">
        <f t="shared" si="1"/>
        <v>94.253095684803</v>
      </c>
      <c r="AA31" s="58"/>
      <c r="AB31" s="100"/>
      <c r="AC31" s="72">
        <f>Y31/10</f>
        <v>50.236899999999999</v>
      </c>
      <c r="AD31" s="31"/>
      <c r="AE31" s="31">
        <f>Y31/5</f>
        <v>100.4738</v>
      </c>
      <c r="AF31" s="59"/>
      <c r="AG31" s="42"/>
      <c r="AH31" s="88"/>
      <c r="AI31" s="88"/>
      <c r="AJ31" s="88"/>
      <c r="AK31" s="88"/>
      <c r="AL31" s="88"/>
      <c r="AM31" s="37">
        <v>0.3</v>
      </c>
      <c r="AN31" s="38">
        <f t="shared" ref="AN31:AN51" si="7">AM31*X31</f>
        <v>215.30099999999999</v>
      </c>
      <c r="AP31" s="39">
        <v>32.99</v>
      </c>
      <c r="AQ31" s="39">
        <v>32.99</v>
      </c>
      <c r="AR31" s="39">
        <v>19.559999999999999</v>
      </c>
      <c r="AS31" s="39"/>
    </row>
    <row r="32" spans="1:46" ht="57" hidden="1" customHeight="1" thickTop="1" thickBot="1" x14ac:dyDescent="0.4">
      <c r="A32" s="19" t="s">
        <v>85</v>
      </c>
      <c r="B32" s="19">
        <v>238548</v>
      </c>
      <c r="C32" s="19"/>
      <c r="D32" s="19"/>
      <c r="E32" s="19"/>
      <c r="F32" s="20" t="s">
        <v>55</v>
      </c>
      <c r="G32" s="21" t="s">
        <v>138</v>
      </c>
      <c r="H32" s="22" t="s">
        <v>37</v>
      </c>
      <c r="I32" s="23" t="s">
        <v>57</v>
      </c>
      <c r="J32" s="22"/>
      <c r="K32" s="22"/>
      <c r="L32" s="22"/>
      <c r="M32" s="22" t="s">
        <v>37</v>
      </c>
      <c r="N32" s="40"/>
      <c r="O32" s="48" t="s">
        <v>63</v>
      </c>
      <c r="P32" s="41" t="s">
        <v>61</v>
      </c>
      <c r="Q32" s="46"/>
      <c r="R32" s="46"/>
      <c r="S32" s="46"/>
      <c r="T32" s="46"/>
      <c r="U32" s="46" t="s">
        <v>37</v>
      </c>
      <c r="V32" s="47">
        <v>11250</v>
      </c>
      <c r="W32" s="44">
        <v>26.6</v>
      </c>
      <c r="X32" s="71" t="s">
        <v>419</v>
      </c>
      <c r="Y32" s="56" t="e">
        <f t="shared" si="0"/>
        <v>#VALUE!</v>
      </c>
      <c r="Z32" s="58" t="e">
        <f t="shared" si="1"/>
        <v>#VALUE!</v>
      </c>
      <c r="AA32" s="58"/>
      <c r="AB32" s="58"/>
      <c r="AC32" s="31" t="e">
        <f>Y32/50</f>
        <v>#VALUE!</v>
      </c>
      <c r="AD32" s="31"/>
      <c r="AE32" s="31" t="e">
        <f>Y32/25</f>
        <v>#VALUE!</v>
      </c>
      <c r="AF32" s="59"/>
      <c r="AG32" s="42"/>
      <c r="AH32" s="43"/>
      <c r="AI32" s="43"/>
      <c r="AJ32" s="43"/>
      <c r="AK32" s="43"/>
      <c r="AL32" s="43"/>
      <c r="AM32" s="37">
        <v>0.3</v>
      </c>
      <c r="AN32" s="38" t="e">
        <f t="shared" si="7"/>
        <v>#VALUE!</v>
      </c>
      <c r="AS32" s="39"/>
    </row>
    <row r="33" spans="1:46" ht="62.25" hidden="1" customHeight="1" thickTop="1" thickBot="1" x14ac:dyDescent="0.4">
      <c r="A33" s="19" t="s">
        <v>86</v>
      </c>
      <c r="B33" s="19">
        <v>219056</v>
      </c>
      <c r="C33" s="19">
        <v>222.64</v>
      </c>
      <c r="D33" s="19">
        <v>1231.6600000000001</v>
      </c>
      <c r="E33" s="19">
        <v>-187.32</v>
      </c>
      <c r="F33" s="20" t="s">
        <v>55</v>
      </c>
      <c r="G33" s="21" t="s">
        <v>138</v>
      </c>
      <c r="H33" s="22" t="s">
        <v>37</v>
      </c>
      <c r="I33" s="23" t="s">
        <v>57</v>
      </c>
      <c r="J33" s="22"/>
      <c r="K33" s="22"/>
      <c r="L33" s="22"/>
      <c r="M33" s="22" t="s">
        <v>37</v>
      </c>
      <c r="N33" s="40"/>
      <c r="O33" s="48" t="s">
        <v>66</v>
      </c>
      <c r="P33" s="48" t="s">
        <v>67</v>
      </c>
      <c r="Q33" s="41" t="s">
        <v>61</v>
      </c>
      <c r="R33" s="46"/>
      <c r="S33" s="46"/>
      <c r="T33" s="41" t="s">
        <v>68</v>
      </c>
      <c r="U33" s="46" t="s">
        <v>37</v>
      </c>
      <c r="V33" s="47">
        <v>11250</v>
      </c>
      <c r="W33" s="44">
        <v>7.11</v>
      </c>
      <c r="X33" s="95">
        <v>973</v>
      </c>
      <c r="Y33" s="56">
        <f t="shared" si="0"/>
        <v>681.1</v>
      </c>
      <c r="Z33" s="58">
        <f t="shared" si="1"/>
        <v>95.794655414908576</v>
      </c>
      <c r="AA33" s="58"/>
      <c r="AB33" s="110" t="s">
        <v>156</v>
      </c>
      <c r="AC33" s="31">
        <f>Y33/10</f>
        <v>68.11</v>
      </c>
      <c r="AD33" s="31"/>
      <c r="AE33" s="105">
        <f>Y33/5</f>
        <v>136.22</v>
      </c>
      <c r="AF33" s="59"/>
      <c r="AG33" s="49">
        <f>Y33/2.5</f>
        <v>272.44</v>
      </c>
      <c r="AH33" s="87"/>
      <c r="AI33" s="87"/>
      <c r="AJ33" s="87"/>
      <c r="AK33" s="90"/>
      <c r="AL33" s="104">
        <f t="shared" ref="AL33:AL34" si="8">AE33/AT33</f>
        <v>1.1841098748261474</v>
      </c>
      <c r="AM33" s="37">
        <v>0.3</v>
      </c>
      <c r="AN33" s="38">
        <f t="shared" si="7"/>
        <v>291.89999999999998</v>
      </c>
      <c r="AP33" s="39">
        <v>32.99</v>
      </c>
      <c r="AQ33" s="39">
        <v>32.99</v>
      </c>
      <c r="AR33" s="39">
        <v>19.559999999999999</v>
      </c>
      <c r="AS33" s="39"/>
      <c r="AT33" s="39">
        <v>115.04</v>
      </c>
    </row>
    <row r="34" spans="1:46" ht="52.5" hidden="1" customHeight="1" thickTop="1" thickBot="1" x14ac:dyDescent="0.4">
      <c r="A34" s="19" t="s">
        <v>87</v>
      </c>
      <c r="B34" s="19">
        <v>238749</v>
      </c>
      <c r="C34" s="19"/>
      <c r="D34" s="19"/>
      <c r="E34" s="19"/>
      <c r="F34" s="20" t="s">
        <v>55</v>
      </c>
      <c r="G34" s="21" t="s">
        <v>138</v>
      </c>
      <c r="H34" s="22" t="s">
        <v>37</v>
      </c>
      <c r="I34" s="23" t="s">
        <v>57</v>
      </c>
      <c r="J34" s="22"/>
      <c r="K34" s="22"/>
      <c r="L34" s="22"/>
      <c r="M34" s="22" t="s">
        <v>37</v>
      </c>
      <c r="N34" s="40"/>
      <c r="O34" s="48" t="s">
        <v>66</v>
      </c>
      <c r="P34" s="48" t="s">
        <v>67</v>
      </c>
      <c r="Q34" s="41" t="s">
        <v>61</v>
      </c>
      <c r="R34" s="46"/>
      <c r="S34" s="46"/>
      <c r="T34" s="41" t="s">
        <v>68</v>
      </c>
      <c r="U34" s="46" t="s">
        <v>37</v>
      </c>
      <c r="V34" s="47">
        <v>11250</v>
      </c>
      <c r="W34" s="44">
        <v>35.6</v>
      </c>
      <c r="X34" s="71" t="s">
        <v>419</v>
      </c>
      <c r="Y34" s="56" t="e">
        <f t="shared" si="0"/>
        <v>#VALUE!</v>
      </c>
      <c r="Z34" s="58" t="e">
        <f t="shared" si="1"/>
        <v>#VALUE!</v>
      </c>
      <c r="AA34" s="58"/>
      <c r="AB34" s="58"/>
      <c r="AC34" s="31" t="e">
        <f>Y34/50</f>
        <v>#VALUE!</v>
      </c>
      <c r="AD34" s="31"/>
      <c r="AE34" s="31" t="e">
        <f>Y34/25</f>
        <v>#VALUE!</v>
      </c>
      <c r="AF34" s="59"/>
      <c r="AG34" s="49" t="e">
        <f>Y34/12.5</f>
        <v>#VALUE!</v>
      </c>
      <c r="AH34" s="50"/>
      <c r="AI34" s="50"/>
      <c r="AJ34" s="50"/>
      <c r="AK34" s="53"/>
      <c r="AL34" s="52" t="e">
        <f t="shared" si="8"/>
        <v>#VALUE!</v>
      </c>
      <c r="AM34" s="37">
        <v>0.3</v>
      </c>
      <c r="AN34" s="38" t="e">
        <f t="shared" si="7"/>
        <v>#VALUE!</v>
      </c>
      <c r="AS34" s="39"/>
      <c r="AT34" s="39">
        <v>113.08</v>
      </c>
    </row>
    <row r="35" spans="1:46" ht="55.5" hidden="1" customHeight="1" thickTop="1" thickBot="1" x14ac:dyDescent="0.4">
      <c r="A35" s="19" t="s">
        <v>88</v>
      </c>
      <c r="B35" s="19">
        <v>219058</v>
      </c>
      <c r="C35" s="19">
        <v>275.22000000000003</v>
      </c>
      <c r="D35" s="19">
        <v>1539.57</v>
      </c>
      <c r="E35" s="19">
        <v>-179.75</v>
      </c>
      <c r="F35" s="20" t="s">
        <v>55</v>
      </c>
      <c r="G35" s="21" t="s">
        <v>138</v>
      </c>
      <c r="H35" s="22" t="s">
        <v>37</v>
      </c>
      <c r="I35" s="23" t="s">
        <v>57</v>
      </c>
      <c r="J35" s="22"/>
      <c r="K35" s="22"/>
      <c r="L35" s="22"/>
      <c r="M35" s="22" t="s">
        <v>37</v>
      </c>
      <c r="N35" s="40"/>
      <c r="O35" s="46"/>
      <c r="P35" s="48" t="s">
        <v>71</v>
      </c>
      <c r="Q35" s="48" t="s">
        <v>72</v>
      </c>
      <c r="R35" s="41" t="s">
        <v>61</v>
      </c>
      <c r="S35" s="46"/>
      <c r="T35" s="46"/>
      <c r="U35" s="46" t="s">
        <v>37</v>
      </c>
      <c r="V35" s="47">
        <v>11250</v>
      </c>
      <c r="W35" s="44">
        <v>8.89</v>
      </c>
      <c r="X35" s="95">
        <v>1231.78</v>
      </c>
      <c r="Y35" s="56">
        <f t="shared" si="0"/>
        <v>862.24599999999998</v>
      </c>
      <c r="Z35" s="58">
        <f t="shared" si="1"/>
        <v>96.990551181102347</v>
      </c>
      <c r="AA35" s="58"/>
      <c r="AB35" s="100"/>
      <c r="AC35" s="31">
        <f>Y35/10</f>
        <v>86.224599999999995</v>
      </c>
      <c r="AD35" s="31"/>
      <c r="AE35" s="31">
        <f>Y35/5</f>
        <v>172.44919999999999</v>
      </c>
      <c r="AF35" s="59"/>
      <c r="AG35" s="42"/>
      <c r="AH35" s="88"/>
      <c r="AI35" s="88"/>
      <c r="AJ35" s="88"/>
      <c r="AK35" s="90"/>
      <c r="AL35" s="88"/>
      <c r="AM35" s="37">
        <v>0.3</v>
      </c>
      <c r="AN35" s="38">
        <f t="shared" si="7"/>
        <v>369.53399999999999</v>
      </c>
      <c r="AP35" s="39">
        <v>32.99</v>
      </c>
      <c r="AQ35" s="39">
        <v>32.99</v>
      </c>
      <c r="AR35" s="39">
        <v>19.559999999999999</v>
      </c>
      <c r="AS35" s="39"/>
      <c r="AT35" s="39"/>
    </row>
    <row r="36" spans="1:46" ht="53.25" hidden="1" customHeight="1" thickTop="1" thickBot="1" x14ac:dyDescent="0.4">
      <c r="A36" s="19" t="s">
        <v>89</v>
      </c>
      <c r="B36" s="19">
        <v>233118</v>
      </c>
      <c r="C36" s="19"/>
      <c r="D36" s="19"/>
      <c r="E36" s="19"/>
      <c r="F36" s="20" t="s">
        <v>55</v>
      </c>
      <c r="G36" s="21" t="s">
        <v>138</v>
      </c>
      <c r="H36" s="22" t="s">
        <v>37</v>
      </c>
      <c r="I36" s="23" t="s">
        <v>57</v>
      </c>
      <c r="J36" s="22"/>
      <c r="K36" s="22"/>
      <c r="L36" s="22"/>
      <c r="M36" s="22" t="s">
        <v>37</v>
      </c>
      <c r="N36" s="40"/>
      <c r="O36" s="46"/>
      <c r="P36" s="48" t="s">
        <v>71</v>
      </c>
      <c r="Q36" s="48" t="s">
        <v>72</v>
      </c>
      <c r="R36" s="41" t="s">
        <v>61</v>
      </c>
      <c r="S36" s="46"/>
      <c r="T36" s="46"/>
      <c r="U36" s="46" t="s">
        <v>37</v>
      </c>
      <c r="V36" s="47">
        <v>11250</v>
      </c>
      <c r="W36" s="44">
        <v>44.4</v>
      </c>
      <c r="X36" s="71" t="s">
        <v>419</v>
      </c>
      <c r="Y36" s="56" t="e">
        <f t="shared" si="0"/>
        <v>#VALUE!</v>
      </c>
      <c r="Z36" s="58" t="e">
        <f t="shared" si="1"/>
        <v>#VALUE!</v>
      </c>
      <c r="AA36" s="58"/>
      <c r="AB36" s="58"/>
      <c r="AC36" s="31" t="e">
        <f>Y36/50</f>
        <v>#VALUE!</v>
      </c>
      <c r="AD36" s="31"/>
      <c r="AE36" s="31" t="e">
        <f>Y36/25</f>
        <v>#VALUE!</v>
      </c>
      <c r="AF36" s="59"/>
      <c r="AG36" s="42"/>
      <c r="AH36" s="43"/>
      <c r="AI36" s="43"/>
      <c r="AJ36" s="43"/>
      <c r="AK36" s="53"/>
      <c r="AL36" s="43"/>
      <c r="AM36" s="37">
        <v>0.3</v>
      </c>
      <c r="AN36" s="38" t="e">
        <f t="shared" si="7"/>
        <v>#VALUE!</v>
      </c>
      <c r="AS36" s="39"/>
      <c r="AT36" s="39"/>
    </row>
    <row r="37" spans="1:46" ht="53.25" hidden="1" customHeight="1" thickTop="1" thickBot="1" x14ac:dyDescent="0.4">
      <c r="A37" s="19" t="s">
        <v>90</v>
      </c>
      <c r="B37" s="19">
        <v>238568</v>
      </c>
      <c r="C37" s="19"/>
      <c r="D37" s="19"/>
      <c r="E37" s="19"/>
      <c r="F37" s="20" t="s">
        <v>75</v>
      </c>
      <c r="G37" s="21" t="s">
        <v>138</v>
      </c>
      <c r="H37" s="22" t="s">
        <v>37</v>
      </c>
      <c r="I37" s="23" t="s">
        <v>57</v>
      </c>
      <c r="J37" s="22"/>
      <c r="K37" s="22"/>
      <c r="L37" s="22"/>
      <c r="M37" s="22" t="s">
        <v>37</v>
      </c>
      <c r="N37" s="40"/>
      <c r="O37" s="46"/>
      <c r="P37" s="46"/>
      <c r="Q37" s="48" t="s">
        <v>76</v>
      </c>
      <c r="R37" s="46"/>
      <c r="S37" s="41" t="s">
        <v>61</v>
      </c>
      <c r="T37" s="24"/>
      <c r="U37" s="46" t="s">
        <v>37</v>
      </c>
      <c r="V37" s="47">
        <v>11250</v>
      </c>
      <c r="W37" s="54">
        <v>10.67</v>
      </c>
      <c r="X37" s="55">
        <v>1493.67</v>
      </c>
      <c r="Y37" s="56">
        <f t="shared" si="0"/>
        <v>1045.569</v>
      </c>
      <c r="Z37" s="58">
        <f t="shared" si="1"/>
        <v>97.991471415182758</v>
      </c>
      <c r="AA37" s="58"/>
      <c r="AB37" s="58"/>
      <c r="AC37" s="31">
        <f>Y37/10</f>
        <v>104.5569</v>
      </c>
      <c r="AD37" s="31"/>
      <c r="AE37" s="31">
        <f>Y37/5</f>
        <v>209.1138</v>
      </c>
      <c r="AF37" s="59"/>
      <c r="AG37" s="42"/>
      <c r="AH37" s="43"/>
      <c r="AI37" s="43"/>
      <c r="AJ37" s="43"/>
      <c r="AK37" s="45">
        <f>AC37/AS37</f>
        <v>0.9777155414250982</v>
      </c>
      <c r="AL37" s="43"/>
      <c r="AM37" s="37">
        <v>0.3</v>
      </c>
      <c r="AN37" s="38">
        <f t="shared" si="7"/>
        <v>448.101</v>
      </c>
      <c r="AO37" s="62" t="e">
        <f>(AC37-AC49)/AS37</f>
        <v>#VALUE!</v>
      </c>
      <c r="AS37" s="39">
        <v>106.94</v>
      </c>
      <c r="AT37" s="39"/>
    </row>
    <row r="38" spans="1:46" ht="63" hidden="1" customHeight="1" thickTop="1" thickBot="1" x14ac:dyDescent="0.4">
      <c r="A38" s="19" t="s">
        <v>91</v>
      </c>
      <c r="B38" s="19">
        <v>238571</v>
      </c>
      <c r="C38" s="19"/>
      <c r="D38" s="19"/>
      <c r="E38" s="19"/>
      <c r="F38" s="20" t="s">
        <v>75</v>
      </c>
      <c r="G38" s="21" t="s">
        <v>138</v>
      </c>
      <c r="H38" s="22" t="s">
        <v>37</v>
      </c>
      <c r="I38" s="23" t="s">
        <v>57</v>
      </c>
      <c r="J38" s="22"/>
      <c r="K38" s="22"/>
      <c r="L38" s="22"/>
      <c r="M38" s="22" t="s">
        <v>37</v>
      </c>
      <c r="N38" s="40"/>
      <c r="O38" s="46"/>
      <c r="P38" s="46"/>
      <c r="Q38" s="46"/>
      <c r="R38" s="48" t="s">
        <v>78</v>
      </c>
      <c r="S38" s="46"/>
      <c r="T38" s="41" t="s">
        <v>79</v>
      </c>
      <c r="U38" s="46" t="s">
        <v>37</v>
      </c>
      <c r="V38" s="47">
        <v>11250</v>
      </c>
      <c r="W38" s="54">
        <v>13.33</v>
      </c>
      <c r="X38" s="55">
        <v>1886.49</v>
      </c>
      <c r="Y38" s="56">
        <f t="shared" si="0"/>
        <v>1320.5430000000001</v>
      </c>
      <c r="Z38" s="58">
        <f t="shared" si="1"/>
        <v>99.065491372843226</v>
      </c>
      <c r="AA38" s="58"/>
      <c r="AB38" s="58"/>
      <c r="AC38" s="31">
        <f>Y38/10</f>
        <v>132.05430000000001</v>
      </c>
      <c r="AD38" s="31"/>
      <c r="AE38" s="31">
        <f>Y38/5</f>
        <v>264.10860000000002</v>
      </c>
      <c r="AF38" s="59"/>
      <c r="AG38" s="42"/>
      <c r="AH38" s="43"/>
      <c r="AI38" s="43"/>
      <c r="AJ38" s="43"/>
      <c r="AK38" s="43"/>
      <c r="AL38" s="43"/>
      <c r="AM38" s="37">
        <v>0.3</v>
      </c>
      <c r="AN38" s="63">
        <f t="shared" si="7"/>
        <v>565.947</v>
      </c>
      <c r="AO38" s="64"/>
      <c r="AP38" s="64"/>
      <c r="AQ38" s="64"/>
      <c r="AR38" s="64"/>
      <c r="AS38" s="65"/>
    </row>
    <row r="39" spans="1:46" ht="38.25" hidden="1" customHeight="1" thickTop="1" thickBot="1" x14ac:dyDescent="0.4">
      <c r="A39" s="19" t="s">
        <v>92</v>
      </c>
      <c r="B39" s="19">
        <v>258276</v>
      </c>
      <c r="C39" s="19">
        <v>120.23</v>
      </c>
      <c r="D39" s="19">
        <v>368.16</v>
      </c>
      <c r="E39" s="19">
        <v>101.8</v>
      </c>
      <c r="F39" s="20" t="s">
        <v>93</v>
      </c>
      <c r="G39" s="21" t="s">
        <v>137</v>
      </c>
      <c r="H39" s="22" t="s">
        <v>37</v>
      </c>
      <c r="I39" s="23" t="s">
        <v>94</v>
      </c>
      <c r="J39" s="24" t="s">
        <v>46</v>
      </c>
      <c r="K39" s="24" t="s">
        <v>95</v>
      </c>
      <c r="L39" s="22"/>
      <c r="M39" s="22" t="s">
        <v>37</v>
      </c>
      <c r="N39" s="23" t="s">
        <v>40</v>
      </c>
      <c r="O39" s="46"/>
      <c r="P39" s="46"/>
      <c r="Q39" s="46"/>
      <c r="R39" s="46"/>
      <c r="S39" s="46"/>
      <c r="T39" s="46"/>
      <c r="U39" s="46" t="s">
        <v>37</v>
      </c>
      <c r="V39" s="47">
        <v>5700</v>
      </c>
      <c r="W39" s="54">
        <v>5</v>
      </c>
      <c r="X39" s="95">
        <v>434.05</v>
      </c>
      <c r="Y39" s="56">
        <f t="shared" si="0"/>
        <v>381.964</v>
      </c>
      <c r="Z39" s="58">
        <f t="shared" si="1"/>
        <v>76.392799999999994</v>
      </c>
      <c r="AA39" s="30">
        <f>Y39/10</f>
        <v>38.196399999999997</v>
      </c>
      <c r="AB39" s="101" t="s">
        <v>147</v>
      </c>
      <c r="AC39" s="59"/>
      <c r="AD39" s="59"/>
      <c r="AE39" s="59"/>
      <c r="AF39" s="32">
        <f>Z39/AP39</f>
        <v>2.315635040921491</v>
      </c>
      <c r="AG39" s="60"/>
      <c r="AH39" s="80"/>
      <c r="AI39" s="84"/>
      <c r="AJ39" s="77">
        <f t="shared" ref="AJ39" si="9">AA39/AR39</f>
        <v>1.9527811860940696</v>
      </c>
      <c r="AK39" s="84"/>
      <c r="AL39" s="84"/>
      <c r="AM39" s="37">
        <v>0.12</v>
      </c>
      <c r="AN39" s="63">
        <f t="shared" si="7"/>
        <v>52.085999999999999</v>
      </c>
      <c r="AO39" s="64"/>
      <c r="AP39" s="39">
        <v>32.99</v>
      </c>
      <c r="AQ39" s="39">
        <v>32.99</v>
      </c>
      <c r="AR39" s="39">
        <v>19.559999999999999</v>
      </c>
      <c r="AS39" s="64"/>
    </row>
    <row r="40" spans="1:46" ht="39" hidden="1" customHeight="1" thickTop="1" thickBot="1" x14ac:dyDescent="0.4">
      <c r="A40" s="19" t="s">
        <v>96</v>
      </c>
      <c r="B40" s="19">
        <v>258283</v>
      </c>
      <c r="C40" s="19">
        <v>141.61000000000001</v>
      </c>
      <c r="D40" s="19">
        <v>490.89</v>
      </c>
      <c r="E40" s="19">
        <v>89.53</v>
      </c>
      <c r="F40" s="20" t="s">
        <v>93</v>
      </c>
      <c r="G40" s="21" t="s">
        <v>137</v>
      </c>
      <c r="H40" s="22" t="s">
        <v>37</v>
      </c>
      <c r="I40" s="23" t="s">
        <v>97</v>
      </c>
      <c r="J40" s="22"/>
      <c r="K40" s="24" t="s">
        <v>98</v>
      </c>
      <c r="L40" s="24" t="s">
        <v>99</v>
      </c>
      <c r="M40" s="22" t="s">
        <v>37</v>
      </c>
      <c r="N40" s="23" t="s">
        <v>40</v>
      </c>
      <c r="O40" s="46"/>
      <c r="P40" s="46"/>
      <c r="Q40" s="46"/>
      <c r="R40" s="46"/>
      <c r="S40" s="46"/>
      <c r="T40" s="46"/>
      <c r="U40" s="46" t="s">
        <v>37</v>
      </c>
      <c r="V40" s="47">
        <v>5700</v>
      </c>
      <c r="W40" s="54">
        <v>6.67</v>
      </c>
      <c r="X40" s="95">
        <v>512.89</v>
      </c>
      <c r="Y40" s="56">
        <f t="shared" si="0"/>
        <v>451.34319999999997</v>
      </c>
      <c r="Z40" s="58">
        <f t="shared" si="1"/>
        <v>67.667646176911546</v>
      </c>
      <c r="AA40" s="30">
        <f>Y40/10</f>
        <v>45.134319999999995</v>
      </c>
      <c r="AB40" s="102" t="s">
        <v>152</v>
      </c>
      <c r="AC40" s="59"/>
      <c r="AD40" s="59"/>
      <c r="AE40" s="59"/>
      <c r="AF40" s="32">
        <f>Z40/AP40</f>
        <v>2.0511562951473641</v>
      </c>
      <c r="AG40" s="60"/>
      <c r="AH40" s="85">
        <f t="shared" ref="AH40" si="10">AA40/AP40</f>
        <v>1.3681212488632917</v>
      </c>
      <c r="AI40" s="79">
        <f>AA40/AQ40</f>
        <v>1.3681212488632917</v>
      </c>
      <c r="AJ40" s="76"/>
      <c r="AK40" s="84"/>
      <c r="AL40" s="84"/>
      <c r="AM40" s="37">
        <v>0.12</v>
      </c>
      <c r="AN40" s="38">
        <f t="shared" si="7"/>
        <v>61.546799999999998</v>
      </c>
      <c r="AP40" s="39">
        <v>32.99</v>
      </c>
      <c r="AQ40" s="39">
        <v>32.99</v>
      </c>
      <c r="AR40" s="39">
        <v>19.559999999999999</v>
      </c>
    </row>
    <row r="41" spans="1:46" ht="39" hidden="1" customHeight="1" thickTop="1" thickBot="1" x14ac:dyDescent="0.4">
      <c r="A41" s="19" t="s">
        <v>96</v>
      </c>
      <c r="B41" s="19">
        <v>258283</v>
      </c>
      <c r="C41" s="19">
        <v>141.61000000000001</v>
      </c>
      <c r="D41" s="19">
        <v>490.89</v>
      </c>
      <c r="E41" s="19">
        <v>89.53</v>
      </c>
      <c r="F41" s="20" t="s">
        <v>93</v>
      </c>
      <c r="G41" s="21" t="s">
        <v>137</v>
      </c>
      <c r="H41" s="22" t="s">
        <v>37</v>
      </c>
      <c r="I41" s="23" t="s">
        <v>97</v>
      </c>
      <c r="J41" s="22"/>
      <c r="K41" s="22"/>
      <c r="L41" s="22"/>
      <c r="M41" s="22" t="s">
        <v>37</v>
      </c>
      <c r="N41" s="40"/>
      <c r="O41" s="46"/>
      <c r="P41" s="41" t="s">
        <v>100</v>
      </c>
      <c r="Q41" s="46"/>
      <c r="R41" s="46"/>
      <c r="S41" s="46"/>
      <c r="T41" s="46"/>
      <c r="U41" s="46" t="s">
        <v>37</v>
      </c>
      <c r="V41" s="47">
        <v>14250</v>
      </c>
      <c r="W41" s="54">
        <v>2.67</v>
      </c>
      <c r="X41" s="95">
        <v>512.89</v>
      </c>
      <c r="Y41" s="56">
        <f t="shared" si="0"/>
        <v>451.34319999999997</v>
      </c>
      <c r="Z41" s="58">
        <f t="shared" si="1"/>
        <v>169.04239700374532</v>
      </c>
      <c r="AA41" s="58"/>
      <c r="AB41" s="100"/>
      <c r="AC41" s="59"/>
      <c r="AD41" s="59"/>
      <c r="AE41" s="72">
        <f>Y41/5</f>
        <v>90.268639999999991</v>
      </c>
      <c r="AF41" s="59"/>
      <c r="AG41" s="42"/>
      <c r="AH41" s="88"/>
      <c r="AI41" s="88"/>
      <c r="AJ41" s="88"/>
      <c r="AK41" s="88"/>
      <c r="AL41" s="88"/>
      <c r="AM41" s="37">
        <v>0.12</v>
      </c>
      <c r="AN41" s="38">
        <f t="shared" si="7"/>
        <v>61.546799999999998</v>
      </c>
      <c r="AP41" s="39">
        <v>32.99</v>
      </c>
      <c r="AQ41" s="39">
        <v>32.99</v>
      </c>
      <c r="AR41" s="39">
        <v>19.559999999999999</v>
      </c>
      <c r="AS41" s="39"/>
    </row>
    <row r="42" spans="1:46" ht="39" hidden="1" customHeight="1" thickTop="1" thickBot="1" x14ac:dyDescent="0.4">
      <c r="A42" s="19" t="s">
        <v>101</v>
      </c>
      <c r="B42" s="19">
        <v>258278</v>
      </c>
      <c r="C42" s="19">
        <v>173.67</v>
      </c>
      <c r="D42" s="19">
        <v>736.33</v>
      </c>
      <c r="E42" s="19">
        <v>14.24</v>
      </c>
      <c r="F42" s="20" t="s">
        <v>93</v>
      </c>
      <c r="G42" s="21" t="s">
        <v>137</v>
      </c>
      <c r="H42" s="22" t="s">
        <v>37</v>
      </c>
      <c r="I42" s="23" t="s">
        <v>102</v>
      </c>
      <c r="J42" s="22"/>
      <c r="K42" s="24" t="s">
        <v>103</v>
      </c>
      <c r="L42" s="24" t="s">
        <v>104</v>
      </c>
      <c r="M42" s="22" t="s">
        <v>37</v>
      </c>
      <c r="N42" s="23" t="s">
        <v>40</v>
      </c>
      <c r="O42" s="46"/>
      <c r="P42" s="46"/>
      <c r="Q42" s="46"/>
      <c r="R42" s="46"/>
      <c r="S42" s="46"/>
      <c r="T42" s="46"/>
      <c r="U42" s="46" t="s">
        <v>37</v>
      </c>
      <c r="V42" s="47">
        <v>5700</v>
      </c>
      <c r="W42" s="54">
        <v>10</v>
      </c>
      <c r="X42" s="95">
        <v>688.17</v>
      </c>
      <c r="Y42" s="56">
        <f t="shared" si="0"/>
        <v>605.58960000000002</v>
      </c>
      <c r="Z42" s="58">
        <f t="shared" si="1"/>
        <v>60.558959999999999</v>
      </c>
      <c r="AA42" s="30">
        <f>Y42/10</f>
        <v>60.558959999999999</v>
      </c>
      <c r="AB42" s="102" t="s">
        <v>153</v>
      </c>
      <c r="AC42" s="59"/>
      <c r="AD42" s="59"/>
      <c r="AE42" s="59"/>
      <c r="AF42" s="32">
        <f>Z42/AP42</f>
        <v>1.8356762655350105</v>
      </c>
      <c r="AG42" s="60"/>
      <c r="AH42" s="86"/>
      <c r="AI42" s="79">
        <f>AA42/AQ42</f>
        <v>1.8356762655350105</v>
      </c>
      <c r="AJ42" s="76"/>
      <c r="AK42" s="84"/>
      <c r="AL42" s="84"/>
      <c r="AM42" s="37">
        <v>0.12</v>
      </c>
      <c r="AN42" s="38">
        <f t="shared" si="7"/>
        <v>82.580399999999997</v>
      </c>
      <c r="AP42" s="39">
        <v>32.99</v>
      </c>
      <c r="AQ42" s="39">
        <v>32.99</v>
      </c>
      <c r="AR42" s="39">
        <v>19.559999999999999</v>
      </c>
    </row>
    <row r="43" spans="1:46" ht="43.5" hidden="1" customHeight="1" thickTop="1" thickBot="1" x14ac:dyDescent="0.4">
      <c r="A43" s="19" t="s">
        <v>101</v>
      </c>
      <c r="B43" s="19">
        <v>258278</v>
      </c>
      <c r="C43" s="19">
        <v>173.67</v>
      </c>
      <c r="D43" s="19">
        <v>736.33</v>
      </c>
      <c r="E43" s="19">
        <v>14.24</v>
      </c>
      <c r="F43" s="20" t="s">
        <v>93</v>
      </c>
      <c r="G43" s="21" t="s">
        <v>137</v>
      </c>
      <c r="H43" s="22" t="s">
        <v>37</v>
      </c>
      <c r="I43" s="23" t="s">
        <v>102</v>
      </c>
      <c r="J43" s="22"/>
      <c r="K43" s="22"/>
      <c r="L43" s="22"/>
      <c r="M43" s="22" t="s">
        <v>37</v>
      </c>
      <c r="N43" s="40"/>
      <c r="O43" s="46"/>
      <c r="P43" s="41" t="s">
        <v>105</v>
      </c>
      <c r="Q43" s="41" t="s">
        <v>106</v>
      </c>
      <c r="R43" s="46"/>
      <c r="S43" s="41" t="s">
        <v>107</v>
      </c>
      <c r="T43" s="41" t="s">
        <v>108</v>
      </c>
      <c r="U43" s="46" t="s">
        <v>37</v>
      </c>
      <c r="V43" s="47">
        <v>14250</v>
      </c>
      <c r="W43" s="54">
        <v>4</v>
      </c>
      <c r="X43" s="95">
        <v>688.17</v>
      </c>
      <c r="Y43" s="56">
        <f t="shared" si="0"/>
        <v>605.58960000000002</v>
      </c>
      <c r="Z43" s="58">
        <f t="shared" si="1"/>
        <v>151.3974</v>
      </c>
      <c r="AA43" s="58"/>
      <c r="AB43" s="100"/>
      <c r="AC43" s="59"/>
      <c r="AD43" s="59"/>
      <c r="AE43" s="31">
        <f>Y43/5</f>
        <v>121.11792</v>
      </c>
      <c r="AF43" s="59"/>
      <c r="AG43" s="111">
        <f>Y43/2.5</f>
        <v>242.23584</v>
      </c>
      <c r="AH43" s="92"/>
      <c r="AI43" s="92"/>
      <c r="AJ43" s="92"/>
      <c r="AK43" s="93"/>
      <c r="AL43" s="92"/>
      <c r="AM43" s="37">
        <v>0.12</v>
      </c>
      <c r="AN43" s="38">
        <f t="shared" si="7"/>
        <v>82.580399999999997</v>
      </c>
      <c r="AP43" s="39">
        <v>32.99</v>
      </c>
      <c r="AQ43" s="39">
        <v>32.99</v>
      </c>
      <c r="AR43" s="39">
        <v>19.559999999999999</v>
      </c>
      <c r="AS43" s="39"/>
      <c r="AT43" s="39"/>
    </row>
    <row r="44" spans="1:46" ht="45.75" hidden="1" customHeight="1" thickTop="1" thickBot="1" x14ac:dyDescent="0.4">
      <c r="A44" s="19" t="s">
        <v>109</v>
      </c>
      <c r="B44" s="19">
        <v>258274</v>
      </c>
      <c r="C44" s="19">
        <v>242.19</v>
      </c>
      <c r="D44" s="19">
        <v>923.75</v>
      </c>
      <c r="E44" s="19">
        <v>237.91</v>
      </c>
      <c r="F44" s="20" t="s">
        <v>93</v>
      </c>
      <c r="G44" s="21" t="s">
        <v>137</v>
      </c>
      <c r="H44" s="22" t="s">
        <v>37</v>
      </c>
      <c r="I44" s="23"/>
      <c r="J44" s="22"/>
      <c r="K44" s="22"/>
      <c r="L44" s="22"/>
      <c r="M44" s="22" t="s">
        <v>37</v>
      </c>
      <c r="N44" s="40"/>
      <c r="O44" s="46"/>
      <c r="P44" s="46"/>
      <c r="Q44" s="41" t="s">
        <v>110</v>
      </c>
      <c r="R44" s="41" t="s">
        <v>111</v>
      </c>
      <c r="S44" s="46"/>
      <c r="T44" s="24"/>
      <c r="U44" s="46" t="s">
        <v>37</v>
      </c>
      <c r="V44" s="47">
        <v>14250</v>
      </c>
      <c r="W44" s="54">
        <v>5.33</v>
      </c>
      <c r="X44" s="55">
        <v>841.28</v>
      </c>
      <c r="Y44" s="56">
        <f t="shared" si="0"/>
        <v>740.32639999999992</v>
      </c>
      <c r="Z44" s="58">
        <f t="shared" si="1"/>
        <v>138.89801125703562</v>
      </c>
      <c r="AA44" s="58"/>
      <c r="AB44" s="100"/>
      <c r="AC44" s="59"/>
      <c r="AD44" s="59"/>
      <c r="AE44" s="106">
        <f>Y44/5</f>
        <v>148.06527999999997</v>
      </c>
      <c r="AF44" s="59"/>
      <c r="AG44" s="42"/>
      <c r="AH44" s="88"/>
      <c r="AI44" s="88"/>
      <c r="AJ44" s="88"/>
      <c r="AK44" s="90"/>
      <c r="AL44" s="91">
        <f>AE44/AT44</f>
        <v>1.2870764951321276</v>
      </c>
      <c r="AM44" s="37">
        <v>0.12</v>
      </c>
      <c r="AN44" s="38">
        <f t="shared" si="7"/>
        <v>100.95359999999999</v>
      </c>
      <c r="AP44" s="39">
        <v>32.99</v>
      </c>
      <c r="AQ44" s="39">
        <v>32.99</v>
      </c>
      <c r="AR44" s="39">
        <v>19.559999999999999</v>
      </c>
      <c r="AS44" s="39"/>
      <c r="AT44" s="39">
        <v>115.04</v>
      </c>
    </row>
    <row r="45" spans="1:46" ht="45.75" hidden="1" customHeight="1" thickTop="1" thickBot="1" x14ac:dyDescent="0.4">
      <c r="A45" s="19" t="s">
        <v>112</v>
      </c>
      <c r="B45" s="19">
        <v>258279</v>
      </c>
      <c r="C45" s="19">
        <v>277.27999999999997</v>
      </c>
      <c r="D45" s="19">
        <v>1154.68</v>
      </c>
      <c r="E45" s="19">
        <v>217.51</v>
      </c>
      <c r="F45" s="20" t="s">
        <v>93</v>
      </c>
      <c r="G45" s="21" t="s">
        <v>137</v>
      </c>
      <c r="H45" s="22" t="s">
        <v>37</v>
      </c>
      <c r="I45" s="23"/>
      <c r="J45" s="22"/>
      <c r="K45" s="22"/>
      <c r="L45" s="22"/>
      <c r="M45" s="22" t="s">
        <v>37</v>
      </c>
      <c r="N45" s="40"/>
      <c r="O45" s="46"/>
      <c r="P45" s="46"/>
      <c r="Q45" s="46"/>
      <c r="R45" s="41" t="s">
        <v>113</v>
      </c>
      <c r="S45" s="41" t="s">
        <v>114</v>
      </c>
      <c r="T45" s="46"/>
      <c r="U45" s="46" t="s">
        <v>37</v>
      </c>
      <c r="V45" s="47">
        <v>14250</v>
      </c>
      <c r="W45" s="54">
        <v>6.67</v>
      </c>
      <c r="X45" s="55">
        <v>1097.8599999999999</v>
      </c>
      <c r="Y45" s="56">
        <f t="shared" si="0"/>
        <v>966.1167999999999</v>
      </c>
      <c r="Z45" s="58">
        <f t="shared" si="1"/>
        <v>144.84509745127434</v>
      </c>
      <c r="AA45" s="58"/>
      <c r="AB45" s="100"/>
      <c r="AC45" s="59"/>
      <c r="AD45" s="59"/>
      <c r="AE45" s="31">
        <f>Y45/5</f>
        <v>193.22335999999999</v>
      </c>
      <c r="AF45" s="59"/>
      <c r="AG45" s="42"/>
      <c r="AH45" s="88"/>
      <c r="AI45" s="88"/>
      <c r="AJ45" s="88"/>
      <c r="AK45" s="88"/>
      <c r="AL45" s="88"/>
      <c r="AM45" s="37">
        <v>0.12</v>
      </c>
      <c r="AN45" s="38">
        <f t="shared" si="7"/>
        <v>131.74319999999997</v>
      </c>
      <c r="AP45" s="39">
        <v>32.99</v>
      </c>
      <c r="AQ45" s="39">
        <v>32.99</v>
      </c>
      <c r="AR45" s="39">
        <v>19.559999999999999</v>
      </c>
      <c r="AS45" s="39"/>
    </row>
    <row r="46" spans="1:46" ht="45" hidden="1" customHeight="1" thickTop="1" thickBot="1" x14ac:dyDescent="0.4">
      <c r="A46" s="19" t="s">
        <v>115</v>
      </c>
      <c r="B46" s="19">
        <v>258287</v>
      </c>
      <c r="C46" s="19">
        <v>299.13</v>
      </c>
      <c r="D46" s="19">
        <v>1385.62</v>
      </c>
      <c r="E46" s="19">
        <v>136.06</v>
      </c>
      <c r="F46" s="20" t="s">
        <v>116</v>
      </c>
      <c r="G46" s="21" t="s">
        <v>137</v>
      </c>
      <c r="H46" s="22"/>
      <c r="I46" s="22"/>
      <c r="J46" s="22"/>
      <c r="K46" s="22"/>
      <c r="L46" s="22"/>
      <c r="M46" s="22" t="s">
        <v>37</v>
      </c>
      <c r="N46" s="40"/>
      <c r="O46" s="46"/>
      <c r="P46" s="41" t="s">
        <v>117</v>
      </c>
      <c r="Q46" s="41" t="s">
        <v>118</v>
      </c>
      <c r="R46" s="46"/>
      <c r="S46" s="41" t="s">
        <v>119</v>
      </c>
      <c r="T46" s="41" t="s">
        <v>120</v>
      </c>
      <c r="U46" s="46" t="s">
        <v>37</v>
      </c>
      <c r="V46" s="47">
        <v>14250</v>
      </c>
      <c r="W46" s="27">
        <v>8</v>
      </c>
      <c r="X46" s="66">
        <v>1112.67</v>
      </c>
      <c r="Y46" s="56">
        <f t="shared" si="0"/>
        <v>979.14960000000008</v>
      </c>
      <c r="Z46" s="58">
        <f t="shared" si="1"/>
        <v>122.39370000000001</v>
      </c>
      <c r="AA46" s="58"/>
      <c r="AB46" s="100"/>
      <c r="AC46" s="31">
        <f>Y46/10</f>
        <v>97.914960000000008</v>
      </c>
      <c r="AD46" s="72">
        <f>Y46/5</f>
        <v>195.82992000000002</v>
      </c>
      <c r="AE46" s="59"/>
      <c r="AF46" s="59"/>
      <c r="AG46" s="42"/>
      <c r="AH46" s="88"/>
      <c r="AI46" s="88"/>
      <c r="AJ46" s="88"/>
      <c r="AK46" s="90"/>
      <c r="AL46" s="88"/>
      <c r="AM46" s="37">
        <v>0.12</v>
      </c>
      <c r="AN46" s="38">
        <f t="shared" si="7"/>
        <v>133.5204</v>
      </c>
      <c r="AP46" s="39">
        <v>32.99</v>
      </c>
      <c r="AQ46" s="39">
        <v>32.99</v>
      </c>
      <c r="AR46" s="39">
        <v>19.559999999999999</v>
      </c>
      <c r="AS46" s="39"/>
      <c r="AT46" s="39"/>
    </row>
    <row r="47" spans="1:46" ht="43.5" hidden="1" customHeight="1" thickTop="1" thickBot="1" x14ac:dyDescent="0.4">
      <c r="A47" s="19" t="s">
        <v>121</v>
      </c>
      <c r="B47" s="19">
        <v>213479</v>
      </c>
      <c r="C47" s="19">
        <v>108.41</v>
      </c>
      <c r="D47" s="19">
        <v>277.13</v>
      </c>
      <c r="E47" s="19">
        <v>139.79</v>
      </c>
      <c r="F47" s="20" t="s">
        <v>116</v>
      </c>
      <c r="G47" s="21" t="s">
        <v>137</v>
      </c>
      <c r="H47" s="22"/>
      <c r="I47" s="22"/>
      <c r="J47" s="22"/>
      <c r="K47" s="22"/>
      <c r="L47" s="22"/>
      <c r="M47" s="22" t="s">
        <v>37</v>
      </c>
      <c r="N47" s="40"/>
      <c r="O47" s="46"/>
      <c r="P47" s="41" t="s">
        <v>117</v>
      </c>
      <c r="Q47" s="41" t="s">
        <v>118</v>
      </c>
      <c r="R47" s="46"/>
      <c r="S47" s="41" t="s">
        <v>119</v>
      </c>
      <c r="T47" s="41" t="s">
        <v>120</v>
      </c>
      <c r="U47" s="46" t="s">
        <v>37</v>
      </c>
      <c r="V47" s="47">
        <v>14250</v>
      </c>
      <c r="W47" s="27">
        <v>1.6</v>
      </c>
      <c r="X47" s="243" t="s">
        <v>419</v>
      </c>
      <c r="Y47" s="56" t="e">
        <f t="shared" si="0"/>
        <v>#VALUE!</v>
      </c>
      <c r="Z47" s="58" t="e">
        <f t="shared" si="1"/>
        <v>#VALUE!</v>
      </c>
      <c r="AA47" s="58"/>
      <c r="AB47" s="100"/>
      <c r="AC47" s="31" t="e">
        <f>Y47/2</f>
        <v>#VALUE!</v>
      </c>
      <c r="AD47" s="31" t="e">
        <f>Y47</f>
        <v>#VALUE!</v>
      </c>
      <c r="AE47" s="59"/>
      <c r="AF47" s="59"/>
      <c r="AG47" s="42"/>
      <c r="AH47" s="88"/>
      <c r="AI47" s="88"/>
      <c r="AJ47" s="88"/>
      <c r="AK47" s="90"/>
      <c r="AL47" s="88"/>
      <c r="AM47" s="37">
        <v>0.12</v>
      </c>
      <c r="AN47" s="38" t="e">
        <f t="shared" si="7"/>
        <v>#VALUE!</v>
      </c>
      <c r="AP47" s="39">
        <v>32.99</v>
      </c>
      <c r="AQ47" s="39">
        <v>32.99</v>
      </c>
      <c r="AR47" s="39">
        <v>19.559999999999999</v>
      </c>
      <c r="AS47" s="39"/>
      <c r="AT47" s="39"/>
    </row>
    <row r="48" spans="1:46" ht="43.5" hidden="1" customHeight="1" thickTop="1" thickBot="1" x14ac:dyDescent="0.4">
      <c r="A48" s="19" t="s">
        <v>122</v>
      </c>
      <c r="B48" s="19">
        <v>258289</v>
      </c>
      <c r="C48" s="19">
        <v>359.53</v>
      </c>
      <c r="D48" s="19">
        <v>1847.49</v>
      </c>
      <c r="E48" s="19">
        <v>89.88</v>
      </c>
      <c r="F48" s="20" t="s">
        <v>116</v>
      </c>
      <c r="G48" s="21" t="s">
        <v>137</v>
      </c>
      <c r="H48" s="22"/>
      <c r="I48" s="22"/>
      <c r="J48" s="22"/>
      <c r="K48" s="22"/>
      <c r="L48" s="22"/>
      <c r="M48" s="22" t="s">
        <v>37</v>
      </c>
      <c r="N48" s="40"/>
      <c r="O48" s="46"/>
      <c r="P48" s="46"/>
      <c r="Q48" s="41" t="s">
        <v>123</v>
      </c>
      <c r="R48" s="41" t="s">
        <v>124</v>
      </c>
      <c r="S48" s="46"/>
      <c r="T48" s="46"/>
      <c r="U48" s="46" t="s">
        <v>37</v>
      </c>
      <c r="V48" s="47">
        <v>14250</v>
      </c>
      <c r="W48" s="27">
        <v>10.67</v>
      </c>
      <c r="X48" s="66">
        <v>1509.72</v>
      </c>
      <c r="Y48" s="56">
        <f t="shared" si="0"/>
        <v>1328.5536</v>
      </c>
      <c r="Z48" s="58">
        <f t="shared" si="1"/>
        <v>124.51298969072165</v>
      </c>
      <c r="AA48" s="58"/>
      <c r="AB48" s="100"/>
      <c r="AC48" s="106">
        <f>Y48/10</f>
        <v>132.85535999999999</v>
      </c>
      <c r="AD48" s="31"/>
      <c r="AE48" s="59"/>
      <c r="AF48" s="59"/>
      <c r="AG48" s="42"/>
      <c r="AH48" s="88"/>
      <c r="AI48" s="88"/>
      <c r="AJ48" s="88"/>
      <c r="AK48" s="89">
        <f t="shared" ref="AK48" si="11">AC48/AS48</f>
        <v>0.96035391065490805</v>
      </c>
      <c r="AL48" s="88"/>
      <c r="AM48" s="37">
        <v>0.12</v>
      </c>
      <c r="AN48" s="38">
        <f t="shared" si="7"/>
        <v>181.16640000000001</v>
      </c>
      <c r="AP48" s="39">
        <v>32.99</v>
      </c>
      <c r="AQ48" s="39">
        <v>32.99</v>
      </c>
      <c r="AR48" s="39">
        <v>19.559999999999999</v>
      </c>
      <c r="AS48" s="39">
        <v>138.34</v>
      </c>
      <c r="AT48" s="39"/>
    </row>
    <row r="49" spans="1:46" ht="43.5" hidden="1" customHeight="1" thickTop="1" thickBot="1" x14ac:dyDescent="0.4">
      <c r="A49" s="19" t="s">
        <v>125</v>
      </c>
      <c r="B49" s="19">
        <v>213481</v>
      </c>
      <c r="C49" s="19">
        <v>110.34</v>
      </c>
      <c r="D49" s="19">
        <v>369.49</v>
      </c>
      <c r="E49" s="19">
        <v>55.26</v>
      </c>
      <c r="F49" s="20" t="s">
        <v>116</v>
      </c>
      <c r="G49" s="21" t="s">
        <v>137</v>
      </c>
      <c r="H49" s="22"/>
      <c r="I49" s="22"/>
      <c r="J49" s="22"/>
      <c r="K49" s="22"/>
      <c r="L49" s="22"/>
      <c r="M49" s="22" t="s">
        <v>37</v>
      </c>
      <c r="N49" s="40"/>
      <c r="O49" s="46"/>
      <c r="P49" s="46"/>
      <c r="Q49" s="41" t="s">
        <v>123</v>
      </c>
      <c r="R49" s="41" t="s">
        <v>126</v>
      </c>
      <c r="S49" s="46"/>
      <c r="T49" s="46"/>
      <c r="U49" s="46" t="s">
        <v>37</v>
      </c>
      <c r="V49" s="47">
        <v>14250</v>
      </c>
      <c r="W49" s="27">
        <v>2.13</v>
      </c>
      <c r="X49" s="243" t="s">
        <v>419</v>
      </c>
      <c r="Y49" s="56" t="e">
        <f t="shared" si="0"/>
        <v>#VALUE!</v>
      </c>
      <c r="Z49" s="58" t="e">
        <f t="shared" si="1"/>
        <v>#VALUE!</v>
      </c>
      <c r="AA49" s="58"/>
      <c r="AB49" s="100"/>
      <c r="AC49" s="105" t="e">
        <f>Y49/2</f>
        <v>#VALUE!</v>
      </c>
      <c r="AD49" s="31"/>
      <c r="AE49" s="59"/>
      <c r="AF49" s="59"/>
      <c r="AG49" s="42"/>
      <c r="AH49" s="88"/>
      <c r="AI49" s="88"/>
      <c r="AJ49" s="88"/>
      <c r="AK49" s="103" t="e">
        <f>AC49/AS49</f>
        <v>#VALUE!</v>
      </c>
      <c r="AL49" s="88"/>
      <c r="AM49" s="37">
        <v>0.12</v>
      </c>
      <c r="AN49" s="38" t="e">
        <f t="shared" si="7"/>
        <v>#VALUE!</v>
      </c>
      <c r="AP49" s="39">
        <v>32.99</v>
      </c>
      <c r="AQ49" s="39">
        <v>32.99</v>
      </c>
      <c r="AR49" s="39">
        <v>19.559999999999999</v>
      </c>
      <c r="AS49" s="39">
        <v>138.34</v>
      </c>
      <c r="AT49" s="39"/>
    </row>
    <row r="50" spans="1:46" ht="42" hidden="1" customHeight="1" thickTop="1" thickBot="1" x14ac:dyDescent="0.4">
      <c r="A50" s="19" t="s">
        <v>127</v>
      </c>
      <c r="B50" s="19">
        <v>258291</v>
      </c>
      <c r="C50" s="19">
        <v>419.93</v>
      </c>
      <c r="D50" s="19">
        <v>2309.37</v>
      </c>
      <c r="E50" s="19">
        <v>43.69</v>
      </c>
      <c r="F50" s="20" t="s">
        <v>116</v>
      </c>
      <c r="G50" s="21" t="s">
        <v>137</v>
      </c>
      <c r="H50" s="22"/>
      <c r="I50" s="22"/>
      <c r="J50" s="22"/>
      <c r="K50" s="22"/>
      <c r="L50" s="22"/>
      <c r="M50" s="22" t="s">
        <v>37</v>
      </c>
      <c r="N50" s="40"/>
      <c r="O50" s="46"/>
      <c r="P50" s="46"/>
      <c r="Q50" s="46"/>
      <c r="R50" s="41" t="s">
        <v>128</v>
      </c>
      <c r="S50" s="41" t="s">
        <v>129</v>
      </c>
      <c r="T50" s="46"/>
      <c r="U50" s="46" t="s">
        <v>37</v>
      </c>
      <c r="V50" s="47">
        <v>14250</v>
      </c>
      <c r="W50" s="54">
        <v>13.33</v>
      </c>
      <c r="X50" s="66">
        <v>1906.77</v>
      </c>
      <c r="Y50" s="56">
        <f t="shared" si="0"/>
        <v>1677.9576</v>
      </c>
      <c r="Z50" s="58">
        <f t="shared" si="1"/>
        <v>125.8782895723931</v>
      </c>
      <c r="AA50" s="58"/>
      <c r="AB50" s="100"/>
      <c r="AC50" s="31">
        <f>Y50/10</f>
        <v>167.79576</v>
      </c>
      <c r="AD50" s="31"/>
      <c r="AE50" s="59"/>
      <c r="AF50" s="59"/>
      <c r="AG50" s="42"/>
      <c r="AH50" s="88"/>
      <c r="AI50" s="88"/>
      <c r="AJ50" s="88"/>
      <c r="AK50" s="88"/>
      <c r="AL50" s="88"/>
      <c r="AM50" s="37">
        <v>0.12</v>
      </c>
      <c r="AN50" s="38">
        <f t="shared" si="7"/>
        <v>228.8124</v>
      </c>
      <c r="AP50" s="39">
        <v>32.99</v>
      </c>
      <c r="AQ50" s="39">
        <v>32.99</v>
      </c>
      <c r="AR50" s="39">
        <v>19.559999999999999</v>
      </c>
      <c r="AS50" s="39"/>
    </row>
    <row r="51" spans="1:46" ht="51.75" hidden="1" customHeight="1" thickTop="1" thickBot="1" x14ac:dyDescent="0.4">
      <c r="A51" s="19" t="s">
        <v>130</v>
      </c>
      <c r="B51" s="19">
        <v>26409</v>
      </c>
      <c r="C51" s="19">
        <v>400.03</v>
      </c>
      <c r="D51" s="19">
        <v>736.33</v>
      </c>
      <c r="E51" s="19">
        <v>100.08</v>
      </c>
      <c r="F51" s="19" t="s">
        <v>131</v>
      </c>
      <c r="G51" s="21" t="s">
        <v>137</v>
      </c>
      <c r="H51" s="22"/>
      <c r="I51" s="22"/>
      <c r="J51" s="22"/>
      <c r="K51" s="24" t="s">
        <v>39</v>
      </c>
      <c r="L51" s="24" t="s">
        <v>39</v>
      </c>
      <c r="M51" s="67"/>
      <c r="N51" s="24" t="s">
        <v>39</v>
      </c>
      <c r="O51" s="68"/>
      <c r="P51" s="68"/>
      <c r="Q51" s="68"/>
      <c r="R51" s="68"/>
      <c r="S51" s="68"/>
      <c r="T51" s="68"/>
      <c r="U51" s="68"/>
      <c r="V51" s="54">
        <v>2.5</v>
      </c>
      <c r="W51" s="54">
        <v>10</v>
      </c>
      <c r="X51" s="66">
        <v>564.54</v>
      </c>
      <c r="Y51" s="56">
        <f t="shared" si="0"/>
        <v>496.79519999999997</v>
      </c>
      <c r="Z51" s="58">
        <f t="shared" si="1"/>
        <v>49.679519999999997</v>
      </c>
      <c r="AA51" s="30">
        <f>Y51/10</f>
        <v>49.679519999999997</v>
      </c>
      <c r="AB51" s="102" t="s">
        <v>148</v>
      </c>
      <c r="AC51" s="59"/>
      <c r="AD51" s="59"/>
      <c r="AE51" s="59"/>
      <c r="AF51" s="32">
        <f>Z51/AP51</f>
        <v>1.5058963322218852</v>
      </c>
      <c r="AG51" s="60"/>
      <c r="AH51" s="78">
        <f>AA51/AP51</f>
        <v>1.5058963322218852</v>
      </c>
      <c r="AI51" s="79">
        <f>AA51/AQ51</f>
        <v>1.5058963322218852</v>
      </c>
      <c r="AJ51" s="76"/>
      <c r="AK51" s="84"/>
      <c r="AL51" s="84"/>
      <c r="AM51" s="37">
        <v>0.12</v>
      </c>
      <c r="AN51" s="38">
        <f t="shared" si="7"/>
        <v>67.744799999999998</v>
      </c>
      <c r="AP51" s="39">
        <v>32.99</v>
      </c>
      <c r="AQ51" s="39">
        <v>32.99</v>
      </c>
      <c r="AR51" s="39">
        <v>19.559999999999999</v>
      </c>
    </row>
    <row r="52" spans="1:46" ht="9" customHeight="1" thickTop="1" x14ac:dyDescent="0.35">
      <c r="G52" s="69"/>
      <c r="H52" s="69"/>
      <c r="I52" s="69"/>
      <c r="J52" s="69"/>
      <c r="K52" s="69"/>
      <c r="L52" s="69"/>
      <c r="O52" s="64"/>
      <c r="P52" s="64"/>
      <c r="Q52" s="64"/>
      <c r="R52" s="64"/>
      <c r="S52" s="64"/>
      <c r="T52" s="64"/>
    </row>
    <row r="53" spans="1:46" ht="15" thickBot="1" x14ac:dyDescent="0.4">
      <c r="A53" s="70"/>
      <c r="B53" s="70"/>
      <c r="C53" s="70"/>
      <c r="D53" s="70"/>
      <c r="E53" s="70"/>
      <c r="G53" s="69"/>
      <c r="H53" s="69"/>
      <c r="I53" s="69"/>
      <c r="J53" s="69"/>
      <c r="K53" s="69"/>
      <c r="L53" s="69"/>
      <c r="O53" s="64"/>
      <c r="P53" s="64"/>
      <c r="Q53" s="64"/>
      <c r="R53" s="64"/>
      <c r="S53" s="64"/>
      <c r="T53" s="64"/>
    </row>
    <row r="54" spans="1:46" ht="15" customHeight="1" x14ac:dyDescent="0.35">
      <c r="A54" s="112" t="s">
        <v>227</v>
      </c>
      <c r="B54" s="121"/>
      <c r="C54" s="121"/>
      <c r="D54" s="122"/>
      <c r="E54" s="70"/>
      <c r="G54" s="69"/>
      <c r="H54" s="69"/>
      <c r="I54" s="69"/>
      <c r="J54" s="69"/>
      <c r="K54" s="69"/>
      <c r="L54" s="69"/>
      <c r="O54" s="64"/>
      <c r="P54" s="64"/>
      <c r="Q54" s="64"/>
      <c r="R54" s="64"/>
      <c r="S54" s="64"/>
      <c r="T54" s="64"/>
    </row>
    <row r="55" spans="1:46" ht="16" thickBot="1" x14ac:dyDescent="0.4">
      <c r="A55" s="113" t="s">
        <v>298</v>
      </c>
      <c r="B55" s="123"/>
      <c r="C55" s="123"/>
      <c r="D55" s="124"/>
      <c r="E55" s="70"/>
      <c r="G55" s="69"/>
      <c r="H55" s="69"/>
      <c r="I55" s="69"/>
      <c r="J55" s="69"/>
      <c r="K55" s="69"/>
      <c r="L55" s="69"/>
      <c r="O55" s="64"/>
      <c r="P55" s="64"/>
      <c r="Q55" s="64"/>
      <c r="R55" s="64"/>
      <c r="S55" s="64"/>
      <c r="T55" s="64"/>
    </row>
    <row r="56" spans="1:46" ht="18.75" customHeight="1" thickBot="1" x14ac:dyDescent="0.4">
      <c r="A56" s="171" t="s">
        <v>163</v>
      </c>
      <c r="B56" s="172" t="s">
        <v>230</v>
      </c>
      <c r="C56" s="163" t="s">
        <v>162</v>
      </c>
      <c r="D56" s="125"/>
      <c r="G56" s="69"/>
      <c r="H56" s="69"/>
      <c r="I56" s="69"/>
      <c r="J56" s="69"/>
      <c r="K56" s="69"/>
      <c r="L56" s="69"/>
      <c r="O56" s="64"/>
      <c r="P56" s="64"/>
      <c r="Q56" s="64"/>
      <c r="R56" s="64"/>
      <c r="S56" s="64"/>
      <c r="T56" s="64"/>
    </row>
    <row r="57" spans="1:46" ht="15" thickBot="1" x14ac:dyDescent="0.4">
      <c r="A57" s="114" t="s">
        <v>171</v>
      </c>
      <c r="B57" s="126" t="s">
        <v>160</v>
      </c>
      <c r="C57" s="132">
        <f>AA11*11</f>
        <v>340.95632999999998</v>
      </c>
      <c r="D57" s="127">
        <v>0.2</v>
      </c>
      <c r="G57" s="69"/>
      <c r="H57" s="69"/>
      <c r="I57" s="69"/>
      <c r="J57" s="69"/>
      <c r="K57" s="69"/>
      <c r="L57" s="69"/>
    </row>
    <row r="58" spans="1:46" ht="15" thickBot="1" x14ac:dyDescent="0.4">
      <c r="A58" s="146" t="s">
        <v>215</v>
      </c>
      <c r="B58" s="134" t="s">
        <v>165</v>
      </c>
      <c r="C58" s="135">
        <f>AA13*11</f>
        <v>634.74443999999994</v>
      </c>
      <c r="D58" s="161">
        <v>0.5</v>
      </c>
      <c r="G58" s="69"/>
      <c r="H58" s="69"/>
      <c r="I58" s="69"/>
      <c r="J58" s="69"/>
      <c r="K58" s="69"/>
      <c r="L58" s="69"/>
    </row>
    <row r="59" spans="1:46" ht="15" thickBot="1" x14ac:dyDescent="0.4">
      <c r="A59" s="143" t="s">
        <v>172</v>
      </c>
      <c r="B59" s="134" t="s">
        <v>161</v>
      </c>
      <c r="C59" s="135">
        <f>AA13*29</f>
        <v>1673.41716</v>
      </c>
      <c r="D59" s="136">
        <v>0.15</v>
      </c>
      <c r="G59" s="69"/>
      <c r="H59" s="69"/>
      <c r="I59" s="69"/>
      <c r="J59" s="69"/>
      <c r="K59" s="69"/>
      <c r="L59" s="69"/>
    </row>
    <row r="60" spans="1:46" ht="15" thickBot="1" x14ac:dyDescent="0.4">
      <c r="A60" s="143" t="s">
        <v>216</v>
      </c>
      <c r="B60" s="134" t="s">
        <v>217</v>
      </c>
      <c r="C60" s="135">
        <f>AA13*29*2</f>
        <v>3346.8343199999999</v>
      </c>
      <c r="D60" s="136">
        <v>0.15</v>
      </c>
      <c r="G60" s="69"/>
      <c r="H60" s="69"/>
      <c r="I60" s="69"/>
      <c r="J60" s="69"/>
      <c r="K60" s="69"/>
      <c r="L60" s="69"/>
    </row>
    <row r="61" spans="1:46" ht="15" thickBot="1" x14ac:dyDescent="0.4">
      <c r="A61" s="115" t="s">
        <v>391</v>
      </c>
      <c r="B61" s="128"/>
      <c r="C61" s="133">
        <f>((100*D57*C57)+(100*D58*C58)+(100*D59*C59)+(100*D60*C60))*0.15</f>
        <v>17079.018120000001</v>
      </c>
      <c r="D61" s="129"/>
    </row>
    <row r="62" spans="1:46" ht="15" thickBot="1" x14ac:dyDescent="0.4">
      <c r="A62" s="116"/>
      <c r="B62" s="116"/>
      <c r="C62" s="116"/>
      <c r="D62" s="117"/>
    </row>
    <row r="63" spans="1:46" x14ac:dyDescent="0.35">
      <c r="A63" s="137" t="s">
        <v>167</v>
      </c>
      <c r="B63" s="138"/>
      <c r="C63" s="138"/>
      <c r="D63" s="139"/>
    </row>
    <row r="64" spans="1:46" ht="16" thickBot="1" x14ac:dyDescent="0.4">
      <c r="A64" s="140" t="s">
        <v>218</v>
      </c>
      <c r="B64" s="141"/>
      <c r="C64" s="141"/>
      <c r="D64" s="142"/>
    </row>
    <row r="65" spans="1:5" ht="18.75" customHeight="1" thickBot="1" x14ac:dyDescent="0.4">
      <c r="A65" s="162" t="s">
        <v>166</v>
      </c>
      <c r="B65" s="172" t="s">
        <v>232</v>
      </c>
      <c r="C65" s="163" t="s">
        <v>162</v>
      </c>
      <c r="D65" s="125"/>
    </row>
    <row r="66" spans="1:5" ht="15" thickBot="1" x14ac:dyDescent="0.4">
      <c r="A66" s="114" t="s">
        <v>173</v>
      </c>
      <c r="B66" s="134" t="s">
        <v>175</v>
      </c>
      <c r="C66" s="132">
        <f>AA13*28</f>
        <v>1615.7131199999999</v>
      </c>
      <c r="D66" s="127">
        <v>0.48</v>
      </c>
    </row>
    <row r="67" spans="1:5" ht="15" thickBot="1" x14ac:dyDescent="0.4">
      <c r="A67" s="146" t="s">
        <v>219</v>
      </c>
      <c r="B67" s="134" t="s">
        <v>220</v>
      </c>
      <c r="C67" s="132">
        <f>AA13*28*2</f>
        <v>3231.4262399999998</v>
      </c>
      <c r="D67" s="127">
        <v>0.32</v>
      </c>
    </row>
    <row r="68" spans="1:5" ht="16.5" customHeight="1" thickBot="1" x14ac:dyDescent="0.4">
      <c r="A68" s="143" t="s">
        <v>164</v>
      </c>
      <c r="B68" s="134" t="s">
        <v>165</v>
      </c>
      <c r="C68" s="135">
        <f>AA13*10</f>
        <v>577.04039999999998</v>
      </c>
      <c r="D68" s="136">
        <v>0.12</v>
      </c>
    </row>
    <row r="69" spans="1:5" ht="16.5" customHeight="1" thickBot="1" x14ac:dyDescent="0.4">
      <c r="A69" s="143" t="s">
        <v>221</v>
      </c>
      <c r="B69" s="134" t="s">
        <v>222</v>
      </c>
      <c r="C69" s="135">
        <f>AA13*10*2</f>
        <v>1154.0808</v>
      </c>
      <c r="D69" s="136">
        <v>0.08</v>
      </c>
    </row>
    <row r="70" spans="1:5" ht="15" thickBot="1" x14ac:dyDescent="0.4">
      <c r="A70" s="115" t="s">
        <v>392</v>
      </c>
      <c r="B70" s="128"/>
      <c r="C70" s="133">
        <f>((100*D66*C66)+(100*D67*C67)+(100*D68*C68)+(100*D69*C69))*0.1</f>
        <v>19711.700064000001</v>
      </c>
      <c r="D70" s="129"/>
    </row>
    <row r="71" spans="1:5" ht="15" thickBot="1" x14ac:dyDescent="0.4"/>
    <row r="72" spans="1:5" x14ac:dyDescent="0.35">
      <c r="A72" s="257" t="s">
        <v>344</v>
      </c>
      <c r="B72" s="258"/>
      <c r="C72" s="258"/>
      <c r="D72" s="259"/>
      <c r="E72" s="165"/>
    </row>
    <row r="73" spans="1:5" ht="15" thickBot="1" x14ac:dyDescent="0.4">
      <c r="A73" s="260" t="s">
        <v>191</v>
      </c>
      <c r="B73" s="261"/>
      <c r="C73" s="261"/>
      <c r="D73" s="262"/>
      <c r="E73" s="166"/>
    </row>
    <row r="74" spans="1:5" ht="15" thickBot="1" x14ac:dyDescent="0.4">
      <c r="A74" s="167" t="s">
        <v>182</v>
      </c>
      <c r="B74" s="168" t="s">
        <v>183</v>
      </c>
      <c r="C74" s="169" t="s">
        <v>162</v>
      </c>
      <c r="D74" s="125"/>
    </row>
    <row r="75" spans="1:5" ht="15" thickBot="1" x14ac:dyDescent="0.4">
      <c r="A75" s="149" t="s">
        <v>176</v>
      </c>
      <c r="B75" s="150" t="s">
        <v>177</v>
      </c>
      <c r="C75" s="154">
        <f>AA13*7</f>
        <v>403.92827999999997</v>
      </c>
      <c r="D75" s="151">
        <v>0.5</v>
      </c>
    </row>
    <row r="76" spans="1:5" ht="15" thickBot="1" x14ac:dyDescent="0.4">
      <c r="A76" s="147" t="s">
        <v>184</v>
      </c>
      <c r="B76" s="148" t="s">
        <v>195</v>
      </c>
      <c r="C76" s="132">
        <f>AA13*14</f>
        <v>807.85655999999994</v>
      </c>
      <c r="D76" s="151">
        <v>0.03</v>
      </c>
    </row>
    <row r="77" spans="1:5" ht="15" thickBot="1" x14ac:dyDescent="0.4">
      <c r="A77" s="147" t="s">
        <v>200</v>
      </c>
      <c r="B77" s="148" t="s">
        <v>194</v>
      </c>
      <c r="C77" s="132">
        <f>AE19*7</f>
        <v>1422.7201799999998</v>
      </c>
      <c r="D77" s="151">
        <v>0.03</v>
      </c>
    </row>
    <row r="78" spans="1:5" ht="15" thickBot="1" x14ac:dyDescent="0.4">
      <c r="A78" s="152" t="s">
        <v>185</v>
      </c>
      <c r="B78" s="150" t="s">
        <v>192</v>
      </c>
      <c r="C78" s="200"/>
      <c r="D78" s="199"/>
    </row>
    <row r="79" spans="1:5" ht="15" thickBot="1" x14ac:dyDescent="0.4">
      <c r="A79" s="155" t="s">
        <v>186</v>
      </c>
      <c r="B79" s="150" t="s">
        <v>199</v>
      </c>
      <c r="C79" s="132">
        <f>AE15*42</f>
        <v>4847.1393600000001</v>
      </c>
      <c r="D79" s="160">
        <v>0.1</v>
      </c>
    </row>
    <row r="80" spans="1:5" ht="15" thickBot="1" x14ac:dyDescent="0.4">
      <c r="A80" s="155" t="s">
        <v>196</v>
      </c>
      <c r="B80" s="150" t="s">
        <v>201</v>
      </c>
      <c r="C80" s="132">
        <f>AE17*42</f>
        <v>6326.7145199999995</v>
      </c>
      <c r="D80" s="160">
        <v>0.2</v>
      </c>
    </row>
    <row r="81" spans="1:4" ht="15" thickBot="1" x14ac:dyDescent="0.4">
      <c r="A81" s="155" t="s">
        <v>197</v>
      </c>
      <c r="B81" s="150" t="s">
        <v>202</v>
      </c>
      <c r="C81" s="132">
        <f>AE19*42</f>
        <v>8536.3210799999997</v>
      </c>
      <c r="D81" s="160">
        <v>0.03</v>
      </c>
    </row>
    <row r="82" spans="1:4" ht="15" thickBot="1" x14ac:dyDescent="0.4">
      <c r="A82" s="155" t="s">
        <v>198</v>
      </c>
      <c r="B82" s="150" t="s">
        <v>203</v>
      </c>
      <c r="C82" s="132">
        <f>AE21*42</f>
        <v>9254.0170799999996</v>
      </c>
      <c r="D82" s="160">
        <v>0.01</v>
      </c>
    </row>
    <row r="83" spans="1:4" ht="15" thickBot="1" x14ac:dyDescent="0.4">
      <c r="A83" s="146" t="s">
        <v>187</v>
      </c>
      <c r="B83" s="134" t="s">
        <v>205</v>
      </c>
      <c r="C83" s="154">
        <f>AA13*140</f>
        <v>8078.5655999999999</v>
      </c>
      <c r="D83" s="127">
        <v>0.24</v>
      </c>
    </row>
    <row r="84" spans="1:4" ht="15" thickBot="1" x14ac:dyDescent="0.4">
      <c r="A84" s="146" t="s">
        <v>204</v>
      </c>
      <c r="B84" s="134" t="s">
        <v>206</v>
      </c>
      <c r="C84" s="154">
        <f>AA13*280</f>
        <v>16157.1312</v>
      </c>
      <c r="D84" s="127">
        <v>0.36</v>
      </c>
    </row>
    <row r="85" spans="1:4" ht="15" thickBot="1" x14ac:dyDescent="0.4">
      <c r="A85" s="143" t="s">
        <v>188</v>
      </c>
      <c r="B85" s="134" t="s">
        <v>207</v>
      </c>
      <c r="C85" s="154">
        <f>AA13*280</f>
        <v>16157.1312</v>
      </c>
      <c r="D85" s="127">
        <v>0.01</v>
      </c>
    </row>
    <row r="86" spans="1:4" ht="15" thickBot="1" x14ac:dyDescent="0.4">
      <c r="A86" s="146" t="s">
        <v>180</v>
      </c>
      <c r="B86" s="134" t="s">
        <v>208</v>
      </c>
      <c r="C86" s="154">
        <f>AA13*280*2</f>
        <v>32314.2624</v>
      </c>
      <c r="D86" s="127">
        <v>0.02</v>
      </c>
    </row>
    <row r="87" spans="1:4" ht="15" thickBot="1" x14ac:dyDescent="0.4">
      <c r="A87" s="153" t="s">
        <v>181</v>
      </c>
      <c r="B87" s="134" t="s">
        <v>250</v>
      </c>
      <c r="C87" s="200"/>
      <c r="D87" s="199"/>
    </row>
    <row r="88" spans="1:4" ht="15" thickBot="1" x14ac:dyDescent="0.4">
      <c r="A88" s="158" t="s">
        <v>186</v>
      </c>
      <c r="B88" s="159" t="s">
        <v>209</v>
      </c>
      <c r="C88" s="132">
        <f>AE15*280</f>
        <v>32314.2624</v>
      </c>
      <c r="D88" s="156">
        <v>0.1</v>
      </c>
    </row>
    <row r="89" spans="1:4" ht="15" thickBot="1" x14ac:dyDescent="0.4">
      <c r="A89" s="158" t="s">
        <v>196</v>
      </c>
      <c r="B89" s="159" t="s">
        <v>210</v>
      </c>
      <c r="C89" s="132">
        <f>AE17*280</f>
        <v>42178.096799999999</v>
      </c>
      <c r="D89" s="156">
        <v>0.15</v>
      </c>
    </row>
    <row r="90" spans="1:4" ht="15" thickBot="1" x14ac:dyDescent="0.4">
      <c r="A90" s="158" t="s">
        <v>197</v>
      </c>
      <c r="B90" s="159" t="s">
        <v>211</v>
      </c>
      <c r="C90" s="132">
        <f>AE19*280</f>
        <v>56908.807199999996</v>
      </c>
      <c r="D90" s="156">
        <v>0.03</v>
      </c>
    </row>
    <row r="91" spans="1:4" ht="15" thickBot="1" x14ac:dyDescent="0.4">
      <c r="A91" s="158" t="s">
        <v>198</v>
      </c>
      <c r="B91" s="159" t="s">
        <v>212</v>
      </c>
      <c r="C91" s="132">
        <f>AE21*280</f>
        <v>61693.447199999995</v>
      </c>
      <c r="D91" s="222">
        <v>5.0000000000000001E-3</v>
      </c>
    </row>
    <row r="92" spans="1:4" ht="15" thickBot="1" x14ac:dyDescent="0.4">
      <c r="A92" s="115" t="s">
        <v>393</v>
      </c>
      <c r="B92" s="128"/>
      <c r="C92" s="133">
        <f>((100*D83*C83)+(100*D84*C84)+(100*D85*C85)+(100*D86*C86)+(100*D88*C88)+(100*D89*C89)+(100*D90*C90)+(100*D91*C91))*0.03</f>
        <v>60411.455243999997</v>
      </c>
      <c r="D92" s="129"/>
    </row>
    <row r="93" spans="1:4" ht="15" thickBot="1" x14ac:dyDescent="0.4">
      <c r="A93" s="115" t="s">
        <v>394</v>
      </c>
      <c r="B93" s="128"/>
      <c r="C93" s="133">
        <f>((100*D75*C75)+(100*D76*C76)+(100*D77*C77)+(100*D79*C79)+(100*D80*C80)+(100*D81*C81)+(100*D82*C82))*0.02</f>
        <v>4735.1361707999995</v>
      </c>
      <c r="D93" s="129"/>
    </row>
    <row r="94" spans="1:4" ht="15" thickBot="1" x14ac:dyDescent="0.4">
      <c r="A94" s="118"/>
      <c r="B94" s="118"/>
      <c r="C94" s="118"/>
      <c r="D94" s="118"/>
    </row>
    <row r="95" spans="1:4" x14ac:dyDescent="0.35">
      <c r="A95" s="137" t="s">
        <v>343</v>
      </c>
      <c r="B95" s="138"/>
      <c r="C95" s="138"/>
      <c r="D95" s="139"/>
    </row>
    <row r="96" spans="1:4" ht="16" thickBot="1" x14ac:dyDescent="0.4">
      <c r="A96" s="140" t="s">
        <v>218</v>
      </c>
      <c r="B96" s="141"/>
      <c r="C96" s="141"/>
      <c r="D96" s="142"/>
    </row>
    <row r="97" spans="1:4" ht="19.5" customHeight="1" thickBot="1" x14ac:dyDescent="0.4">
      <c r="A97" s="162" t="s">
        <v>169</v>
      </c>
      <c r="B97" s="172" t="s">
        <v>231</v>
      </c>
      <c r="C97" s="163" t="s">
        <v>162</v>
      </c>
      <c r="D97" s="125"/>
    </row>
    <row r="98" spans="1:4" ht="27.75" customHeight="1" thickBot="1" x14ac:dyDescent="0.4">
      <c r="A98" s="143" t="s">
        <v>170</v>
      </c>
      <c r="B98" s="134" t="s">
        <v>168</v>
      </c>
      <c r="C98" s="135">
        <f>AA13*45</f>
        <v>2596.6817999999998</v>
      </c>
      <c r="D98" s="145">
        <v>0.95</v>
      </c>
    </row>
    <row r="99" spans="1:4" ht="27.75" customHeight="1" thickBot="1" x14ac:dyDescent="0.4">
      <c r="A99" s="143" t="s">
        <v>223</v>
      </c>
      <c r="B99" s="134" t="s">
        <v>224</v>
      </c>
      <c r="C99" s="135">
        <f>AA13*45*2</f>
        <v>5193.3635999999997</v>
      </c>
      <c r="D99" s="170">
        <v>0.05</v>
      </c>
    </row>
    <row r="100" spans="1:4" ht="15" thickBot="1" x14ac:dyDescent="0.4">
      <c r="A100" s="144" t="s">
        <v>395</v>
      </c>
      <c r="B100" s="128"/>
      <c r="C100" s="133">
        <f>((100*D98*C98)+(100*D99*C99))*0.05</f>
        <v>13632.579449999999</v>
      </c>
      <c r="D100" s="129"/>
    </row>
    <row r="101" spans="1:4" ht="15" thickBot="1" x14ac:dyDescent="0.4">
      <c r="A101" s="118"/>
      <c r="B101" s="118"/>
      <c r="C101" s="118"/>
      <c r="D101" s="118"/>
    </row>
    <row r="102" spans="1:4" x14ac:dyDescent="0.35">
      <c r="A102" s="112" t="s">
        <v>237</v>
      </c>
      <c r="B102" s="121"/>
      <c r="C102" s="121"/>
      <c r="D102" s="122"/>
    </row>
    <row r="103" spans="1:4" ht="16" thickBot="1" x14ac:dyDescent="0.4">
      <c r="A103" s="113" t="s">
        <v>214</v>
      </c>
      <c r="B103" s="123"/>
      <c r="C103" s="123"/>
      <c r="D103" s="124"/>
    </row>
    <row r="104" spans="1:4" ht="15" thickBot="1" x14ac:dyDescent="0.4">
      <c r="A104" s="171" t="s">
        <v>229</v>
      </c>
      <c r="B104" s="172" t="s">
        <v>230</v>
      </c>
      <c r="C104" s="163" t="s">
        <v>162</v>
      </c>
      <c r="D104" s="125"/>
    </row>
    <row r="105" spans="1:4" ht="15" thickBot="1" x14ac:dyDescent="0.4">
      <c r="A105" s="114" t="s">
        <v>396</v>
      </c>
      <c r="B105" s="126" t="s">
        <v>397</v>
      </c>
      <c r="C105" s="132">
        <f>AA11*6</f>
        <v>185.97618</v>
      </c>
      <c r="D105" s="191">
        <v>0.1</v>
      </c>
    </row>
    <row r="106" spans="1:4" ht="15" thickBot="1" x14ac:dyDescent="0.4">
      <c r="A106" s="114" t="s">
        <v>233</v>
      </c>
      <c r="B106" s="126" t="s">
        <v>238</v>
      </c>
      <c r="C106" s="132">
        <f>AA13*6</f>
        <v>346.22424000000001</v>
      </c>
      <c r="D106" s="191">
        <v>0.3</v>
      </c>
    </row>
    <row r="107" spans="1:4" ht="15" thickBot="1" x14ac:dyDescent="0.4">
      <c r="A107" s="146" t="s">
        <v>234</v>
      </c>
      <c r="B107" s="134" t="s">
        <v>239</v>
      </c>
      <c r="C107" s="135">
        <f>AA13*6*2</f>
        <v>692.44848000000002</v>
      </c>
      <c r="D107" s="191">
        <v>0.1</v>
      </c>
    </row>
    <row r="108" spans="1:4" ht="15" thickBot="1" x14ac:dyDescent="0.4">
      <c r="A108" s="114" t="s">
        <v>398</v>
      </c>
      <c r="B108" s="126" t="s">
        <v>399</v>
      </c>
      <c r="C108" s="132">
        <f>AA11*14</f>
        <v>433.94441999999998</v>
      </c>
      <c r="D108" s="191">
        <v>0.1</v>
      </c>
    </row>
    <row r="109" spans="1:4" ht="15" thickBot="1" x14ac:dyDescent="0.4">
      <c r="A109" s="114" t="s">
        <v>235</v>
      </c>
      <c r="B109" s="134" t="s">
        <v>240</v>
      </c>
      <c r="C109" s="132">
        <f>AA13*14</f>
        <v>807.85655999999994</v>
      </c>
      <c r="D109" s="170">
        <v>0.3</v>
      </c>
    </row>
    <row r="110" spans="1:4" ht="15" thickBot="1" x14ac:dyDescent="0.4">
      <c r="A110" s="146" t="s">
        <v>236</v>
      </c>
      <c r="B110" s="134" t="s">
        <v>241</v>
      </c>
      <c r="C110" s="135">
        <f>AA13*14*2</f>
        <v>1615.7131199999999</v>
      </c>
      <c r="D110" s="170">
        <v>0.1</v>
      </c>
    </row>
    <row r="111" spans="1:4" ht="15" thickBot="1" x14ac:dyDescent="0.4">
      <c r="A111" s="115" t="s">
        <v>400</v>
      </c>
      <c r="B111" s="128"/>
      <c r="C111" s="133">
        <f>((100*D105*C105)+(100*D106*C106)+(100*D107*C107)+(100*D108*C108)+(100*D109*C109)+(100*D110*C110))*0.25</f>
        <v>15975.8115</v>
      </c>
      <c r="D111" s="129"/>
    </row>
    <row r="112" spans="1:4" ht="15" thickBot="1" x14ac:dyDescent="0.4">
      <c r="A112" s="118"/>
      <c r="B112" s="118"/>
      <c r="C112" s="118"/>
      <c r="D112" s="118"/>
    </row>
    <row r="113" spans="1:4" x14ac:dyDescent="0.35">
      <c r="A113" s="137" t="s">
        <v>243</v>
      </c>
      <c r="B113" s="138"/>
      <c r="C113" s="138"/>
      <c r="D113" s="139"/>
    </row>
    <row r="114" spans="1:4" ht="15.5" x14ac:dyDescent="0.35">
      <c r="A114" s="164" t="s">
        <v>362</v>
      </c>
      <c r="B114" s="173"/>
      <c r="C114" s="173"/>
      <c r="D114" s="174"/>
    </row>
    <row r="115" spans="1:4" ht="16" thickBot="1" x14ac:dyDescent="0.4">
      <c r="A115" s="140" t="s">
        <v>218</v>
      </c>
      <c r="B115" s="141"/>
      <c r="C115" s="141"/>
      <c r="D115" s="142"/>
    </row>
    <row r="116" spans="1:4" ht="29.25" customHeight="1" thickBot="1" x14ac:dyDescent="0.4">
      <c r="A116" s="171" t="s">
        <v>242</v>
      </c>
      <c r="B116" s="175" t="s">
        <v>245</v>
      </c>
      <c r="C116" s="176" t="s">
        <v>162</v>
      </c>
      <c r="D116" s="125"/>
    </row>
    <row r="117" spans="1:4" ht="15" thickBot="1" x14ac:dyDescent="0.4">
      <c r="A117" s="143" t="s">
        <v>246</v>
      </c>
      <c r="B117" s="134" t="s">
        <v>248</v>
      </c>
      <c r="C117" s="135">
        <f>AA13*182</f>
        <v>10502.13528</v>
      </c>
      <c r="D117" s="145">
        <v>0.9</v>
      </c>
    </row>
    <row r="118" spans="1:4" ht="18.75" customHeight="1" thickBot="1" x14ac:dyDescent="0.4">
      <c r="A118" s="143" t="s">
        <v>247</v>
      </c>
      <c r="B118" s="134" t="s">
        <v>249</v>
      </c>
      <c r="C118" s="135">
        <f>AA13*182*2</f>
        <v>21004.270560000001</v>
      </c>
      <c r="D118" s="170">
        <v>0.1</v>
      </c>
    </row>
    <row r="119" spans="1:4" ht="15" thickBot="1" x14ac:dyDescent="0.4">
      <c r="A119" s="144" t="s">
        <v>401</v>
      </c>
      <c r="B119" s="128"/>
      <c r="C119" s="133">
        <f>((100*D117*C117)+(100*D118*C118))*0.1</f>
        <v>115523.48808000002</v>
      </c>
      <c r="D119" s="129"/>
    </row>
    <row r="120" spans="1:4" ht="15" thickBot="1" x14ac:dyDescent="0.4">
      <c r="A120" s="118"/>
      <c r="B120" s="118"/>
      <c r="C120" s="118"/>
      <c r="D120" s="118"/>
    </row>
    <row r="121" spans="1:4" x14ac:dyDescent="0.35">
      <c r="A121" s="251" t="s">
        <v>251</v>
      </c>
      <c r="B121" s="252"/>
      <c r="C121" s="252"/>
      <c r="D121" s="253"/>
    </row>
    <row r="122" spans="1:4" ht="15" thickBot="1" x14ac:dyDescent="0.4">
      <c r="A122" s="254" t="s">
        <v>253</v>
      </c>
      <c r="B122" s="255"/>
      <c r="C122" s="255"/>
      <c r="D122" s="256"/>
    </row>
    <row r="123" spans="1:4" ht="15" thickBot="1" x14ac:dyDescent="0.4">
      <c r="A123" s="167" t="s">
        <v>258</v>
      </c>
      <c r="B123" s="168" t="s">
        <v>252</v>
      </c>
      <c r="C123" s="169" t="s">
        <v>162</v>
      </c>
      <c r="D123" s="125"/>
    </row>
    <row r="124" spans="1:4" ht="15" thickBot="1" x14ac:dyDescent="0.4">
      <c r="A124" s="153" t="s">
        <v>254</v>
      </c>
      <c r="B124" s="134" t="s">
        <v>256</v>
      </c>
      <c r="C124" s="201"/>
      <c r="D124" s="207"/>
    </row>
    <row r="125" spans="1:4" ht="15" thickBot="1" x14ac:dyDescent="0.4">
      <c r="A125" s="158" t="s">
        <v>186</v>
      </c>
      <c r="B125" s="159">
        <v>0.4</v>
      </c>
      <c r="C125" s="132">
        <f>AA13</f>
        <v>57.704039999999999</v>
      </c>
      <c r="D125" s="156">
        <v>0.05</v>
      </c>
    </row>
    <row r="126" spans="1:4" ht="15" thickBot="1" x14ac:dyDescent="0.4">
      <c r="A126" s="158" t="s">
        <v>196</v>
      </c>
      <c r="B126" s="159">
        <v>0.6</v>
      </c>
      <c r="C126" s="132">
        <f>AC17</f>
        <v>75.318029999999993</v>
      </c>
      <c r="D126" s="156">
        <v>0.2</v>
      </c>
    </row>
    <row r="127" spans="1:4" ht="15" thickBot="1" x14ac:dyDescent="0.4">
      <c r="A127" s="158" t="s">
        <v>197</v>
      </c>
      <c r="B127" s="159">
        <v>0.8</v>
      </c>
      <c r="C127" s="132">
        <f>AC19</f>
        <v>101.62286999999999</v>
      </c>
      <c r="D127" s="156">
        <v>0.05</v>
      </c>
    </row>
    <row r="128" spans="1:4" ht="15" thickBot="1" x14ac:dyDescent="0.4">
      <c r="A128" s="158" t="s">
        <v>198</v>
      </c>
      <c r="B128" s="180">
        <v>1</v>
      </c>
      <c r="C128" s="132">
        <f>AC21</f>
        <v>110.16686999999999</v>
      </c>
      <c r="D128" s="157">
        <v>0.01</v>
      </c>
    </row>
    <row r="129" spans="1:10" ht="15" thickBot="1" x14ac:dyDescent="0.4">
      <c r="A129" s="177" t="s">
        <v>255</v>
      </c>
      <c r="B129" s="178" t="s">
        <v>257</v>
      </c>
      <c r="C129" s="201"/>
      <c r="D129" s="207"/>
    </row>
    <row r="130" spans="1:10" ht="15" thickBot="1" x14ac:dyDescent="0.4">
      <c r="A130" s="155" t="s">
        <v>186</v>
      </c>
      <c r="B130" s="150">
        <v>0.2</v>
      </c>
      <c r="C130" s="132">
        <f>AA11</f>
        <v>30.996029999999998</v>
      </c>
      <c r="D130" s="151">
        <v>0.1</v>
      </c>
    </row>
    <row r="131" spans="1:10" ht="15" thickBot="1" x14ac:dyDescent="0.4">
      <c r="A131" s="155" t="s">
        <v>196</v>
      </c>
      <c r="B131" s="150">
        <v>0.3</v>
      </c>
      <c r="C131" s="132">
        <f>AA13</f>
        <v>57.704039999999999</v>
      </c>
      <c r="D131" s="151">
        <v>0.05</v>
      </c>
    </row>
    <row r="132" spans="1:10" ht="15" thickBot="1" x14ac:dyDescent="0.4">
      <c r="A132" s="155" t="s">
        <v>197</v>
      </c>
      <c r="B132" s="150">
        <v>0.4</v>
      </c>
      <c r="C132" s="132">
        <f>AA13</f>
        <v>57.704039999999999</v>
      </c>
      <c r="D132" s="151">
        <v>0.35</v>
      </c>
      <c r="J132" s="183"/>
    </row>
    <row r="133" spans="1:10" ht="15" thickBot="1" x14ac:dyDescent="0.4">
      <c r="A133" s="155" t="s">
        <v>198</v>
      </c>
      <c r="B133" s="150">
        <v>0.5</v>
      </c>
      <c r="C133" s="132">
        <f>AC17</f>
        <v>75.318029999999993</v>
      </c>
      <c r="D133" s="179">
        <v>0.15</v>
      </c>
    </row>
    <row r="134" spans="1:10" ht="15" thickBot="1" x14ac:dyDescent="0.4">
      <c r="A134" s="115" t="s">
        <v>402</v>
      </c>
      <c r="B134" s="128"/>
      <c r="C134" s="133">
        <f>((100*D125*C125)+(100*D126*C126)+(100*D127*C127)+(100*D128*C128)+(100*D130*C130)+(100*D131*C131)+(100*D132*C132)+(100*D133*C133))*0.05</f>
        <v>308.05271850000003</v>
      </c>
      <c r="D134" s="118"/>
    </row>
    <row r="135" spans="1:10" x14ac:dyDescent="0.35">
      <c r="A135" s="118"/>
      <c r="B135" s="118"/>
      <c r="C135" s="118"/>
      <c r="D135" s="118"/>
    </row>
    <row r="136" spans="1:10" ht="15" thickBot="1" x14ac:dyDescent="0.4">
      <c r="A136" s="118"/>
      <c r="B136" s="118"/>
      <c r="C136" s="118"/>
      <c r="D136" s="118"/>
    </row>
    <row r="137" spans="1:10" x14ac:dyDescent="0.35">
      <c r="A137" s="119" t="s">
        <v>260</v>
      </c>
      <c r="B137" s="130"/>
      <c r="C137" s="121"/>
      <c r="D137" s="122"/>
    </row>
    <row r="138" spans="1:10" ht="15" thickBot="1" x14ac:dyDescent="0.4">
      <c r="A138" s="113" t="s">
        <v>276</v>
      </c>
      <c r="B138" s="123"/>
      <c r="C138" s="123"/>
      <c r="D138" s="124"/>
    </row>
    <row r="139" spans="1:10" ht="15" thickBot="1" x14ac:dyDescent="0.4">
      <c r="A139" s="167" t="s">
        <v>258</v>
      </c>
      <c r="B139" s="172" t="s">
        <v>259</v>
      </c>
      <c r="C139" s="181" t="s">
        <v>158</v>
      </c>
      <c r="D139" s="131" t="s">
        <v>159</v>
      </c>
    </row>
    <row r="140" spans="1:10" ht="30.75" customHeight="1" thickBot="1" x14ac:dyDescent="0.4">
      <c r="A140" s="153" t="s">
        <v>261</v>
      </c>
      <c r="B140" s="184" t="s">
        <v>262</v>
      </c>
      <c r="C140" s="201"/>
      <c r="D140" s="207"/>
    </row>
    <row r="141" spans="1:10" ht="15" thickBot="1" x14ac:dyDescent="0.4">
      <c r="A141" s="158" t="s">
        <v>271</v>
      </c>
      <c r="B141" s="159" t="s">
        <v>269</v>
      </c>
      <c r="C141" s="132">
        <f>AC17*10</f>
        <v>753.18029999999999</v>
      </c>
      <c r="D141" s="156">
        <v>0.01</v>
      </c>
    </row>
    <row r="142" spans="1:10" ht="15" thickBot="1" x14ac:dyDescent="0.4">
      <c r="A142" s="158" t="s">
        <v>270</v>
      </c>
      <c r="B142" s="159" t="s">
        <v>272</v>
      </c>
      <c r="C142" s="132">
        <f>AC19*10</f>
        <v>1016.2286999999999</v>
      </c>
      <c r="D142" s="156">
        <v>0.02</v>
      </c>
    </row>
    <row r="143" spans="1:10" ht="15" thickBot="1" x14ac:dyDescent="0.4">
      <c r="A143" s="158" t="s">
        <v>274</v>
      </c>
      <c r="B143" s="159" t="s">
        <v>273</v>
      </c>
      <c r="C143" s="132">
        <f>AC21*10</f>
        <v>1101.6686999999999</v>
      </c>
      <c r="D143" s="156">
        <v>0.06</v>
      </c>
    </row>
    <row r="144" spans="1:10" ht="15" thickBot="1" x14ac:dyDescent="0.4">
      <c r="A144" s="158" t="s">
        <v>277</v>
      </c>
      <c r="B144" s="159" t="s">
        <v>275</v>
      </c>
      <c r="C144" s="132">
        <f>AC23*10</f>
        <v>1411.9760999999999</v>
      </c>
      <c r="D144" s="186">
        <v>0.05</v>
      </c>
    </row>
    <row r="145" spans="1:4" ht="15" thickBot="1" x14ac:dyDescent="0.4">
      <c r="A145" s="158" t="s">
        <v>278</v>
      </c>
      <c r="B145" s="159" t="s">
        <v>279</v>
      </c>
      <c r="C145" s="132">
        <f>AC24*10</f>
        <v>1763.3035999999997</v>
      </c>
      <c r="D145" s="157">
        <v>0.02</v>
      </c>
    </row>
    <row r="146" spans="1:4" ht="30.75" customHeight="1" thickBot="1" x14ac:dyDescent="0.4">
      <c r="A146" s="185" t="s">
        <v>263</v>
      </c>
      <c r="B146" s="184" t="s">
        <v>264</v>
      </c>
      <c r="C146" s="201"/>
      <c r="D146" s="207"/>
    </row>
    <row r="147" spans="1:4" ht="15" thickBot="1" x14ac:dyDescent="0.4">
      <c r="A147" s="158" t="s">
        <v>186</v>
      </c>
      <c r="B147" s="159" t="s">
        <v>265</v>
      </c>
      <c r="C147" s="132">
        <f>AE15*10</f>
        <v>1154.0808</v>
      </c>
      <c r="D147" s="156">
        <v>0.2</v>
      </c>
    </row>
    <row r="148" spans="1:4" ht="15" thickBot="1" x14ac:dyDescent="0.4">
      <c r="A148" s="158" t="s">
        <v>196</v>
      </c>
      <c r="B148" s="159" t="s">
        <v>266</v>
      </c>
      <c r="C148" s="132">
        <f>AE17*10</f>
        <v>1506.3606</v>
      </c>
      <c r="D148" s="156">
        <v>0.3</v>
      </c>
    </row>
    <row r="149" spans="1:4" ht="15" thickBot="1" x14ac:dyDescent="0.4">
      <c r="A149" s="158" t="s">
        <v>197</v>
      </c>
      <c r="B149" s="159" t="s">
        <v>267</v>
      </c>
      <c r="C149" s="132">
        <f>AE19*10</f>
        <v>2032.4573999999998</v>
      </c>
      <c r="D149" s="156">
        <v>0.25</v>
      </c>
    </row>
    <row r="150" spans="1:4" ht="15" thickBot="1" x14ac:dyDescent="0.4">
      <c r="A150" s="158" t="s">
        <v>198</v>
      </c>
      <c r="B150" s="159" t="s">
        <v>268</v>
      </c>
      <c r="C150" s="132">
        <f>AE21*10</f>
        <v>2203.3373999999999</v>
      </c>
      <c r="D150" s="157">
        <v>0.1</v>
      </c>
    </row>
    <row r="151" spans="1:4" ht="15" thickBot="1" x14ac:dyDescent="0.4">
      <c r="A151" s="115" t="s">
        <v>403</v>
      </c>
      <c r="B151" s="128"/>
      <c r="C151" s="133">
        <f>((100*D141*C141)+(100*D142*C142)+(100*D143*C143)+(100*D144*C144)+(100*D145*C145)+(100*D147*C147)+(100*D148*C148)+(100*D149*C149)+(100*D150*C150))*0.2</f>
        <v>32219.876120000001</v>
      </c>
      <c r="D151" s="129"/>
    </row>
    <row r="152" spans="1:4" ht="15" thickBot="1" x14ac:dyDescent="0.4">
      <c r="A152" s="182"/>
      <c r="B152" s="129"/>
      <c r="C152" s="117"/>
      <c r="D152" s="129"/>
    </row>
    <row r="153" spans="1:4" x14ac:dyDescent="0.35">
      <c r="A153" s="119" t="s">
        <v>380</v>
      </c>
      <c r="B153" s="130"/>
      <c r="C153" s="121"/>
      <c r="D153" s="122"/>
    </row>
    <row r="154" spans="1:4" ht="15" thickBot="1" x14ac:dyDescent="0.4">
      <c r="A154" s="113" t="s">
        <v>280</v>
      </c>
      <c r="B154" s="123"/>
      <c r="C154" s="123"/>
      <c r="D154" s="124"/>
    </row>
    <row r="155" spans="1:4" ht="15" thickBot="1" x14ac:dyDescent="0.4">
      <c r="A155" s="167" t="s">
        <v>157</v>
      </c>
      <c r="B155" s="172" t="s">
        <v>259</v>
      </c>
      <c r="C155" s="181" t="s">
        <v>158</v>
      </c>
      <c r="D155" s="131" t="s">
        <v>159</v>
      </c>
    </row>
    <row r="156" spans="1:4" ht="15" thickBot="1" x14ac:dyDescent="0.4">
      <c r="A156" s="120"/>
      <c r="B156" s="187" t="s">
        <v>281</v>
      </c>
      <c r="C156" s="201"/>
      <c r="D156" s="207"/>
    </row>
    <row r="157" spans="1:4" ht="15" thickBot="1" x14ac:dyDescent="0.4">
      <c r="A157" s="158" t="s">
        <v>186</v>
      </c>
      <c r="B157" s="159" t="s">
        <v>282</v>
      </c>
      <c r="C157" s="132">
        <f>AE15*3</f>
        <v>346.22424000000001</v>
      </c>
      <c r="D157" s="156">
        <v>0.12</v>
      </c>
    </row>
    <row r="158" spans="1:4" ht="15" thickBot="1" x14ac:dyDescent="0.4">
      <c r="A158" s="158" t="s">
        <v>186</v>
      </c>
      <c r="B158" s="159" t="s">
        <v>283</v>
      </c>
      <c r="C158" s="132">
        <f>AE15*8</f>
        <v>923.26463999999999</v>
      </c>
      <c r="D158" s="156">
        <v>0.18</v>
      </c>
    </row>
    <row r="159" spans="1:4" ht="15" thickBot="1" x14ac:dyDescent="0.4">
      <c r="A159" s="158" t="s">
        <v>196</v>
      </c>
      <c r="B159" s="159" t="s">
        <v>284</v>
      </c>
      <c r="C159" s="132">
        <f>AE17*3</f>
        <v>451.90817999999996</v>
      </c>
      <c r="D159" s="156">
        <v>0.12</v>
      </c>
    </row>
    <row r="160" spans="1:4" ht="15" thickBot="1" x14ac:dyDescent="0.4">
      <c r="A160" s="158" t="s">
        <v>196</v>
      </c>
      <c r="B160" s="159" t="s">
        <v>285</v>
      </c>
      <c r="C160" s="132">
        <f>AE17*8</f>
        <v>1205.0884799999999</v>
      </c>
      <c r="D160" s="157">
        <v>0.18</v>
      </c>
    </row>
    <row r="161" spans="1:4" ht="15" thickBot="1" x14ac:dyDescent="0.4">
      <c r="A161" s="158" t="s">
        <v>197</v>
      </c>
      <c r="B161" s="159" t="s">
        <v>286</v>
      </c>
      <c r="C161" s="132">
        <f>AE19*3</f>
        <v>609.73721999999998</v>
      </c>
      <c r="D161" s="156">
        <v>0.14000000000000001</v>
      </c>
    </row>
    <row r="162" spans="1:4" ht="15" thickBot="1" x14ac:dyDescent="0.4">
      <c r="A162" s="158" t="s">
        <v>197</v>
      </c>
      <c r="B162" s="159" t="s">
        <v>287</v>
      </c>
      <c r="C162" s="132">
        <f>AE19*8</f>
        <v>1625.9659199999999</v>
      </c>
      <c r="D162" s="156">
        <v>0.21</v>
      </c>
    </row>
    <row r="163" spans="1:4" ht="15" thickBot="1" x14ac:dyDescent="0.4">
      <c r="A163" s="158" t="s">
        <v>198</v>
      </c>
      <c r="B163" s="159" t="s">
        <v>289</v>
      </c>
      <c r="C163" s="132">
        <f>AE21*3</f>
        <v>661.00121999999988</v>
      </c>
      <c r="D163" s="156">
        <v>0.02</v>
      </c>
    </row>
    <row r="164" spans="1:4" ht="15" thickBot="1" x14ac:dyDescent="0.4">
      <c r="A164" s="158" t="s">
        <v>198</v>
      </c>
      <c r="B164" s="159" t="s">
        <v>288</v>
      </c>
      <c r="C164" s="132">
        <f>AE21*8</f>
        <v>1762.6699199999998</v>
      </c>
      <c r="D164" s="157">
        <v>0.03</v>
      </c>
    </row>
    <row r="165" spans="1:4" ht="15" thickBot="1" x14ac:dyDescent="0.4">
      <c r="A165" s="115" t="s">
        <v>404</v>
      </c>
      <c r="B165" s="128"/>
      <c r="C165" s="214">
        <f>((100*D157*C157)+(100*D158*C158)+(100*D159*C159)+(100*D160*C160)+(100*D161*C161)+(100*D162*C162)+(100*D163*C163)+(100*D164*C164))*0.05</f>
        <v>4858.9781400000002</v>
      </c>
    </row>
    <row r="166" spans="1:4" x14ac:dyDescent="0.35">
      <c r="A166" s="249" t="s">
        <v>381</v>
      </c>
      <c r="B166" s="210" t="s">
        <v>382</v>
      </c>
      <c r="C166" s="212">
        <f>C165*0.37</f>
        <v>1797.8219118</v>
      </c>
    </row>
    <row r="167" spans="1:4" ht="15" thickBot="1" x14ac:dyDescent="0.4">
      <c r="A167" s="250"/>
      <c r="B167" s="211" t="s">
        <v>383</v>
      </c>
      <c r="C167" s="213">
        <f>C165*0.63</f>
        <v>3061.1562282</v>
      </c>
    </row>
    <row r="168" spans="1:4" ht="15" thickBot="1" x14ac:dyDescent="0.4"/>
    <row r="169" spans="1:4" ht="22.5" customHeight="1" thickTop="1" thickBot="1" x14ac:dyDescent="0.4">
      <c r="A169" s="223" t="s">
        <v>405</v>
      </c>
      <c r="B169" s="224">
        <f>C61+C70+C92+C93+C100+C111+C119+C134+C151+C165</f>
        <v>284456.09560730006</v>
      </c>
    </row>
    <row r="170" spans="1:4" ht="18.75" customHeight="1" thickTop="1" x14ac:dyDescent="0.35"/>
    <row r="171" spans="1:4" x14ac:dyDescent="0.35">
      <c r="A171" s="69" t="s">
        <v>213</v>
      </c>
    </row>
    <row r="172" spans="1:4" x14ac:dyDescent="0.35">
      <c r="A172" s="69" t="s">
        <v>291</v>
      </c>
    </row>
    <row r="173" spans="1:4" x14ac:dyDescent="0.35">
      <c r="A173" s="69" t="s">
        <v>178</v>
      </c>
    </row>
    <row r="174" spans="1:4" x14ac:dyDescent="0.35">
      <c r="A174" s="69" t="s">
        <v>179</v>
      </c>
    </row>
    <row r="175" spans="1:4" x14ac:dyDescent="0.35">
      <c r="A175" s="69" t="s">
        <v>174</v>
      </c>
    </row>
    <row r="176" spans="1:4" x14ac:dyDescent="0.35">
      <c r="A176" s="69" t="s">
        <v>189</v>
      </c>
    </row>
    <row r="177" spans="1:1" x14ac:dyDescent="0.35">
      <c r="A177" s="69" t="s">
        <v>190</v>
      </c>
    </row>
    <row r="178" spans="1:1" x14ac:dyDescent="0.35">
      <c r="A178" s="69" t="s">
        <v>193</v>
      </c>
    </row>
    <row r="179" spans="1:1" x14ac:dyDescent="0.35">
      <c r="A179" s="69" t="s">
        <v>225</v>
      </c>
    </row>
    <row r="180" spans="1:1" x14ac:dyDescent="0.35">
      <c r="A180" s="69" t="s">
        <v>226</v>
      </c>
    </row>
    <row r="181" spans="1:1" x14ac:dyDescent="0.35">
      <c r="A181" s="69" t="s">
        <v>228</v>
      </c>
    </row>
    <row r="182" spans="1:1" x14ac:dyDescent="0.35">
      <c r="A182" s="69" t="s">
        <v>244</v>
      </c>
    </row>
    <row r="183" spans="1:1" x14ac:dyDescent="0.35">
      <c r="A183" s="69" t="s">
        <v>292</v>
      </c>
    </row>
    <row r="184" spans="1:1" x14ac:dyDescent="0.35">
      <c r="A184" s="69" t="s">
        <v>293</v>
      </c>
    </row>
    <row r="185" spans="1:1" x14ac:dyDescent="0.35">
      <c r="A185" s="209" t="s">
        <v>379</v>
      </c>
    </row>
  </sheetData>
  <autoFilter ref="A3:AT51" xr:uid="{00000000-0009-0000-0000-000003000000}">
    <filterColumn colId="0">
      <customFilters>
        <customFilter val="*Clexane*"/>
      </customFilters>
    </filterColumn>
    <filterColumn colId="2">
      <customFilters>
        <customFilter operator="notEqual" val=" "/>
      </customFilters>
    </filterColumn>
  </autoFilter>
  <mergeCells count="6">
    <mergeCell ref="A166:A167"/>
    <mergeCell ref="A121:D121"/>
    <mergeCell ref="A122:D122"/>
    <mergeCell ref="H2:U2"/>
    <mergeCell ref="A72:D72"/>
    <mergeCell ref="A73:D73"/>
  </mergeCells>
  <pageMargins left="0.25" right="0.25" top="0.75" bottom="0.75" header="0.3" footer="0.3"/>
  <pageSetup paperSize="8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186"/>
  <sheetViews>
    <sheetView zoomScale="90" zoomScaleNormal="90" workbookViewId="0">
      <pane xSplit="5" topLeftCell="X1" activePane="topRight" state="frozen"/>
      <selection pane="topRight" activeCell="X4" sqref="X4"/>
    </sheetView>
  </sheetViews>
  <sheetFormatPr defaultRowHeight="14.5" x14ac:dyDescent="0.35"/>
  <cols>
    <col min="1" max="1" width="60.26953125" customWidth="1"/>
    <col min="2" max="2" width="34.54296875" customWidth="1"/>
    <col min="3" max="3" width="14.7265625" customWidth="1"/>
    <col min="4" max="4" width="10" customWidth="1"/>
    <col min="5" max="5" width="9.1796875" customWidth="1"/>
    <col min="6" max="6" width="13" customWidth="1"/>
    <col min="7" max="7" width="8.453125" customWidth="1"/>
    <col min="8" max="8" width="7.7265625" customWidth="1"/>
    <col min="9" max="9" width="12.26953125" customWidth="1"/>
    <col min="10" max="10" width="13" customWidth="1"/>
    <col min="11" max="11" width="20.81640625" customWidth="1"/>
    <col min="12" max="12" width="14.26953125" customWidth="1"/>
    <col min="13" max="13" width="9.7265625" customWidth="1"/>
    <col min="14" max="14" width="12.1796875" customWidth="1"/>
    <col min="15" max="15" width="12.54296875" customWidth="1"/>
    <col min="16" max="16" width="12.453125" customWidth="1"/>
    <col min="17" max="17" width="12.26953125" customWidth="1"/>
    <col min="18" max="18" width="13.7265625" customWidth="1"/>
    <col min="19" max="19" width="12.7265625" customWidth="1"/>
    <col min="20" max="20" width="11.453125" customWidth="1"/>
    <col min="21" max="21" width="10.54296875" customWidth="1"/>
    <col min="22" max="22" width="5" hidden="1" customWidth="1"/>
    <col min="23" max="23" width="0.453125" hidden="1" customWidth="1"/>
    <col min="24" max="24" width="11.54296875" customWidth="1"/>
    <col min="25" max="25" width="10.81640625" customWidth="1"/>
    <col min="26" max="26" width="5.453125" hidden="1" customWidth="1"/>
    <col min="27" max="27" width="12.453125" customWidth="1"/>
    <col min="28" max="28" width="9.26953125" customWidth="1"/>
    <col min="29" max="30" width="11.54296875" customWidth="1"/>
    <col min="31" max="31" width="11.81640625" customWidth="1"/>
    <col min="32" max="32" width="8.81640625" hidden="1" customWidth="1"/>
    <col min="33" max="33" width="11.7265625" customWidth="1"/>
    <col min="34" max="34" width="11.453125" customWidth="1"/>
    <col min="35" max="35" width="11.81640625" customWidth="1"/>
    <col min="36" max="36" width="12" customWidth="1"/>
    <col min="37" max="38" width="11.1796875" customWidth="1"/>
    <col min="39" max="39" width="8.7265625" customWidth="1"/>
    <col min="40" max="40" width="9.1796875" customWidth="1"/>
    <col min="41" max="41" width="5" bestFit="1" customWidth="1"/>
    <col min="42" max="44" width="11.453125" customWidth="1"/>
    <col min="45" max="45" width="10.54296875" customWidth="1"/>
    <col min="46" max="46" width="10.7265625" customWidth="1"/>
  </cols>
  <sheetData>
    <row r="1" spans="1:47" ht="17.25" customHeight="1" x14ac:dyDescent="0.35"/>
    <row r="2" spans="1:47" ht="24" customHeight="1" thickBot="1" x14ac:dyDescent="0.4">
      <c r="H2" s="244" t="s">
        <v>0</v>
      </c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6"/>
    </row>
    <row r="3" spans="1:47" ht="90.75" customHeight="1" thickTop="1" thickBot="1" x14ac:dyDescent="0.4">
      <c r="A3" s="1" t="s">
        <v>1</v>
      </c>
      <c r="B3" s="1" t="s">
        <v>139</v>
      </c>
      <c r="C3" s="1" t="s">
        <v>140</v>
      </c>
      <c r="D3" s="1" t="s">
        <v>142</v>
      </c>
      <c r="E3" s="2" t="s">
        <v>141</v>
      </c>
      <c r="F3" s="1" t="s">
        <v>2</v>
      </c>
      <c r="G3" s="2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5" t="s">
        <v>9</v>
      </c>
      <c r="N3" s="5" t="s">
        <v>10</v>
      </c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  <c r="U3" s="3" t="s">
        <v>17</v>
      </c>
      <c r="V3" s="1" t="s">
        <v>18</v>
      </c>
      <c r="W3" s="1" t="s">
        <v>19</v>
      </c>
      <c r="X3" s="7" t="s">
        <v>413</v>
      </c>
      <c r="Y3" s="8" t="s">
        <v>154</v>
      </c>
      <c r="Z3" s="9" t="s">
        <v>20</v>
      </c>
      <c r="AA3" s="10" t="s">
        <v>21</v>
      </c>
      <c r="AB3" s="73" t="s">
        <v>143</v>
      </c>
      <c r="AC3" s="11" t="s">
        <v>22</v>
      </c>
      <c r="AD3" s="11" t="s">
        <v>23</v>
      </c>
      <c r="AE3" s="11" t="s">
        <v>24</v>
      </c>
      <c r="AF3" s="12" t="s">
        <v>25</v>
      </c>
      <c r="AG3" s="13" t="s">
        <v>26</v>
      </c>
      <c r="AH3" s="14" t="s">
        <v>149</v>
      </c>
      <c r="AI3" s="14" t="s">
        <v>150</v>
      </c>
      <c r="AJ3" s="74" t="s">
        <v>151</v>
      </c>
      <c r="AK3" s="108" t="s">
        <v>27</v>
      </c>
      <c r="AL3" s="108" t="s">
        <v>28</v>
      </c>
      <c r="AM3" s="15" t="s">
        <v>29</v>
      </c>
      <c r="AN3" s="16"/>
      <c r="AO3" s="16"/>
      <c r="AP3" s="17" t="s">
        <v>30</v>
      </c>
      <c r="AQ3" s="17" t="s">
        <v>31</v>
      </c>
      <c r="AR3" s="75" t="s">
        <v>146</v>
      </c>
      <c r="AS3" s="109" t="s">
        <v>32</v>
      </c>
      <c r="AT3" s="109" t="s">
        <v>33</v>
      </c>
      <c r="AU3" s="18"/>
    </row>
    <row r="4" spans="1:47" ht="42.75" customHeight="1" thickTop="1" thickBot="1" x14ac:dyDescent="0.4">
      <c r="A4" s="19" t="s">
        <v>34</v>
      </c>
      <c r="B4" s="19">
        <v>30521</v>
      </c>
      <c r="C4" s="19">
        <v>185.89</v>
      </c>
      <c r="D4" s="19">
        <v>525.95000000000005</v>
      </c>
      <c r="E4" s="19">
        <v>152.76</v>
      </c>
      <c r="F4" s="20" t="s">
        <v>35</v>
      </c>
      <c r="G4" s="21" t="s">
        <v>36</v>
      </c>
      <c r="H4" s="22" t="s">
        <v>37</v>
      </c>
      <c r="I4" s="23" t="s">
        <v>38</v>
      </c>
      <c r="J4" s="24" t="s">
        <v>39</v>
      </c>
      <c r="K4" s="22"/>
      <c r="L4" s="23" t="s">
        <v>40</v>
      </c>
      <c r="M4" s="22" t="s">
        <v>37</v>
      </c>
      <c r="N4" s="23" t="s">
        <v>40</v>
      </c>
      <c r="O4" s="25"/>
      <c r="P4" s="25"/>
      <c r="Q4" s="25"/>
      <c r="R4" s="25"/>
      <c r="S4" s="25"/>
      <c r="T4" s="25"/>
      <c r="U4" s="25"/>
      <c r="V4" s="26">
        <v>3500</v>
      </c>
      <c r="W4" s="27">
        <v>7.14</v>
      </c>
      <c r="X4" s="94">
        <v>348.47</v>
      </c>
      <c r="Y4" s="29">
        <f t="shared" ref="Y4:Y51" si="0">X4-AN4</f>
        <v>348.47</v>
      </c>
      <c r="Z4" s="30">
        <f t="shared" ref="Z4:Z51" si="1">Y4/W4</f>
        <v>48.805322128851543</v>
      </c>
      <c r="AA4" s="30">
        <f>Y4/10</f>
        <v>34.847000000000001</v>
      </c>
      <c r="AB4" s="96" t="s">
        <v>144</v>
      </c>
      <c r="AC4" s="31"/>
      <c r="AD4" s="31"/>
      <c r="AE4" s="31"/>
      <c r="AF4" s="32">
        <f>Z4/AP4</f>
        <v>1.4793974576796465</v>
      </c>
      <c r="AG4" s="33"/>
      <c r="AH4" s="76"/>
      <c r="AI4" s="76"/>
      <c r="AJ4" s="77">
        <f>AA4/AR4</f>
        <v>1.7815439672801638</v>
      </c>
      <c r="AK4" s="87"/>
      <c r="AL4" s="87"/>
      <c r="AM4" s="37"/>
      <c r="AN4" s="38">
        <f t="shared" ref="AN4:AN29" si="2">AM4*X4</f>
        <v>0</v>
      </c>
      <c r="AP4" s="39">
        <v>32.99</v>
      </c>
      <c r="AQ4" s="39">
        <v>32.99</v>
      </c>
      <c r="AR4" s="39">
        <v>19.559999999999999</v>
      </c>
    </row>
    <row r="5" spans="1:47" ht="42" customHeight="1" thickTop="1" thickBot="1" x14ac:dyDescent="0.4">
      <c r="A5" s="19" t="s">
        <v>41</v>
      </c>
      <c r="B5" s="19">
        <v>30526</v>
      </c>
      <c r="C5" s="19">
        <v>195.83</v>
      </c>
      <c r="D5" s="19">
        <v>736.33</v>
      </c>
      <c r="E5" s="19">
        <v>102.09</v>
      </c>
      <c r="F5" s="20" t="s">
        <v>42</v>
      </c>
      <c r="G5" s="21" t="s">
        <v>36</v>
      </c>
      <c r="H5" s="22" t="s">
        <v>37</v>
      </c>
      <c r="I5" s="23" t="s">
        <v>43</v>
      </c>
      <c r="J5" s="22"/>
      <c r="K5" s="24" t="s">
        <v>39</v>
      </c>
      <c r="L5" s="23" t="s">
        <v>40</v>
      </c>
      <c r="M5" s="22" t="s">
        <v>37</v>
      </c>
      <c r="N5" s="23" t="s">
        <v>40</v>
      </c>
      <c r="O5" s="25"/>
      <c r="P5" s="25"/>
      <c r="Q5" s="25"/>
      <c r="R5" s="25"/>
      <c r="S5" s="25"/>
      <c r="T5" s="25"/>
      <c r="U5" s="25"/>
      <c r="V5" s="26">
        <v>3500</v>
      </c>
      <c r="W5" s="27">
        <v>10</v>
      </c>
      <c r="X5" s="94">
        <v>373.27</v>
      </c>
      <c r="Y5" s="29">
        <f t="shared" si="0"/>
        <v>373.27</v>
      </c>
      <c r="Z5" s="30">
        <f t="shared" si="1"/>
        <v>37.326999999999998</v>
      </c>
      <c r="AA5" s="30">
        <f>Y5/10</f>
        <v>37.326999999999998</v>
      </c>
      <c r="AB5" s="97" t="s">
        <v>145</v>
      </c>
      <c r="AC5" s="31"/>
      <c r="AD5" s="31"/>
      <c r="AE5" s="31"/>
      <c r="AF5" s="32">
        <f>Z5/AP5</f>
        <v>1.1314640800242497</v>
      </c>
      <c r="AG5" s="33"/>
      <c r="AH5" s="76"/>
      <c r="AI5" s="76"/>
      <c r="AJ5" s="77">
        <f>AA5/AR5</f>
        <v>1.9083333333333334</v>
      </c>
      <c r="AK5" s="87"/>
      <c r="AL5" s="87"/>
      <c r="AM5" s="37"/>
      <c r="AN5" s="38">
        <f t="shared" si="2"/>
        <v>0</v>
      </c>
      <c r="AP5" s="39">
        <v>32.99</v>
      </c>
      <c r="AQ5" s="39">
        <v>32.99</v>
      </c>
      <c r="AR5" s="39">
        <v>19.559999999999999</v>
      </c>
    </row>
    <row r="6" spans="1:47" ht="42.75" customHeight="1" thickTop="1" thickBot="1" x14ac:dyDescent="0.4">
      <c r="A6" s="19" t="s">
        <v>44</v>
      </c>
      <c r="B6" s="19">
        <v>107605</v>
      </c>
      <c r="C6" s="19">
        <v>210.84</v>
      </c>
      <c r="D6" s="19">
        <v>1004.04</v>
      </c>
      <c r="E6" s="19">
        <v>65.64</v>
      </c>
      <c r="F6" s="20" t="s">
        <v>45</v>
      </c>
      <c r="G6" s="21" t="s">
        <v>36</v>
      </c>
      <c r="H6" s="22"/>
      <c r="I6" s="22"/>
      <c r="J6" s="22"/>
      <c r="K6" s="22"/>
      <c r="L6" s="22"/>
      <c r="M6" s="22" t="s">
        <v>37</v>
      </c>
      <c r="N6" s="40"/>
      <c r="O6" s="41" t="s">
        <v>46</v>
      </c>
      <c r="P6" s="24"/>
      <c r="Q6" s="24"/>
      <c r="R6" s="24"/>
      <c r="S6" s="24"/>
      <c r="T6" s="24"/>
      <c r="U6" s="24"/>
      <c r="V6" s="26">
        <v>8625</v>
      </c>
      <c r="W6" s="27">
        <v>5.8</v>
      </c>
      <c r="X6" s="94">
        <v>635.91</v>
      </c>
      <c r="Y6" s="29">
        <f t="shared" si="0"/>
        <v>635.91</v>
      </c>
      <c r="Z6" s="30">
        <f t="shared" si="1"/>
        <v>109.6396551724138</v>
      </c>
      <c r="AA6" s="30"/>
      <c r="AB6" s="98"/>
      <c r="AC6" s="31">
        <f>Y6/10</f>
        <v>63.590999999999994</v>
      </c>
      <c r="AD6" s="31"/>
      <c r="AE6" s="31"/>
      <c r="AF6" s="31"/>
      <c r="AG6" s="42"/>
      <c r="AH6" s="88"/>
      <c r="AI6" s="88"/>
      <c r="AJ6" s="88"/>
      <c r="AK6" s="88"/>
      <c r="AL6" s="88"/>
      <c r="AM6" s="37"/>
      <c r="AN6" s="38">
        <f t="shared" si="2"/>
        <v>0</v>
      </c>
      <c r="AP6" s="39">
        <v>32.99</v>
      </c>
      <c r="AQ6" s="39">
        <v>32.99</v>
      </c>
      <c r="AR6" s="39">
        <v>19.559999999999999</v>
      </c>
      <c r="AS6" s="39"/>
    </row>
    <row r="7" spans="1:47" ht="42.75" customHeight="1" thickTop="1" thickBot="1" x14ac:dyDescent="0.4">
      <c r="A7" s="19" t="s">
        <v>47</v>
      </c>
      <c r="B7" s="19"/>
      <c r="C7" s="19"/>
      <c r="D7" s="19"/>
      <c r="E7" s="19"/>
      <c r="F7" s="20" t="s">
        <v>45</v>
      </c>
      <c r="G7" s="21" t="s">
        <v>36</v>
      </c>
      <c r="H7" s="22"/>
      <c r="I7" s="22"/>
      <c r="J7" s="22"/>
      <c r="K7" s="22"/>
      <c r="L7" s="22"/>
      <c r="M7" s="22" t="s">
        <v>37</v>
      </c>
      <c r="N7" s="40"/>
      <c r="O7" s="41" t="s">
        <v>46</v>
      </c>
      <c r="P7" s="24"/>
      <c r="Q7" s="24"/>
      <c r="R7" s="24"/>
      <c r="S7" s="24"/>
      <c r="T7" s="24"/>
      <c r="U7" s="24"/>
      <c r="V7" s="26">
        <v>8625</v>
      </c>
      <c r="W7" s="27">
        <v>1.1599999999999999</v>
      </c>
      <c r="X7" s="28"/>
      <c r="Y7" s="29">
        <f t="shared" si="0"/>
        <v>0</v>
      </c>
      <c r="Z7" s="30">
        <f t="shared" si="1"/>
        <v>0</v>
      </c>
      <c r="AA7" s="30"/>
      <c r="AB7" s="30"/>
      <c r="AC7" s="31">
        <f>Y7/2</f>
        <v>0</v>
      </c>
      <c r="AD7" s="31"/>
      <c r="AE7" s="31"/>
      <c r="AF7" s="31"/>
      <c r="AG7" s="42"/>
      <c r="AH7" s="43"/>
      <c r="AI7" s="43"/>
      <c r="AJ7" s="43"/>
      <c r="AK7" s="43"/>
      <c r="AL7" s="43"/>
      <c r="AM7" s="37"/>
      <c r="AN7" s="38">
        <f t="shared" si="2"/>
        <v>0</v>
      </c>
      <c r="AS7" s="39"/>
    </row>
    <row r="8" spans="1:47" ht="43.5" customHeight="1" thickTop="1" thickBot="1" x14ac:dyDescent="0.4">
      <c r="A8" s="19" t="s">
        <v>48</v>
      </c>
      <c r="B8" s="19">
        <v>108382</v>
      </c>
      <c r="C8" s="19">
        <v>284.02</v>
      </c>
      <c r="D8" s="19">
        <v>1506.09</v>
      </c>
      <c r="E8" s="19">
        <v>75.55</v>
      </c>
      <c r="F8" s="20" t="s">
        <v>45</v>
      </c>
      <c r="G8" s="21" t="s">
        <v>36</v>
      </c>
      <c r="H8" s="22"/>
      <c r="I8" s="22"/>
      <c r="J8" s="22"/>
      <c r="K8" s="22"/>
      <c r="L8" s="22"/>
      <c r="M8" s="22" t="s">
        <v>37</v>
      </c>
      <c r="N8" s="40"/>
      <c r="O8" s="24"/>
      <c r="P8" s="41" t="s">
        <v>46</v>
      </c>
      <c r="Q8" s="24"/>
      <c r="R8" s="24"/>
      <c r="S8" s="41" t="s">
        <v>49</v>
      </c>
      <c r="T8" s="41" t="s">
        <v>50</v>
      </c>
      <c r="U8" s="24"/>
      <c r="V8" s="26">
        <v>8625</v>
      </c>
      <c r="W8" s="27">
        <v>8.6999999999999993</v>
      </c>
      <c r="X8" s="94">
        <v>897.01</v>
      </c>
      <c r="Y8" s="29">
        <f t="shared" si="0"/>
        <v>897.01</v>
      </c>
      <c r="Z8" s="30">
        <f t="shared" si="1"/>
        <v>103.10459770114943</v>
      </c>
      <c r="AA8" s="30"/>
      <c r="AB8" s="98"/>
      <c r="AC8" s="31">
        <f>Y8/10</f>
        <v>89.700999999999993</v>
      </c>
      <c r="AD8" s="31">
        <f>Y8/5</f>
        <v>179.40199999999999</v>
      </c>
      <c r="AE8" s="31"/>
      <c r="AF8" s="31"/>
      <c r="AG8" s="42"/>
      <c r="AH8" s="88"/>
      <c r="AI8" s="88"/>
      <c r="AJ8" s="88"/>
      <c r="AK8" s="88"/>
      <c r="AL8" s="88"/>
      <c r="AM8" s="37"/>
      <c r="AN8" s="38">
        <f t="shared" si="2"/>
        <v>0</v>
      </c>
      <c r="AP8" s="39">
        <v>32.99</v>
      </c>
      <c r="AQ8" s="39">
        <v>32.99</v>
      </c>
      <c r="AR8" s="39">
        <v>19.559999999999999</v>
      </c>
      <c r="AS8" s="39"/>
    </row>
    <row r="9" spans="1:47" ht="45" customHeight="1" thickTop="1" thickBot="1" x14ac:dyDescent="0.4">
      <c r="A9" s="19" t="s">
        <v>51</v>
      </c>
      <c r="B9" s="19">
        <v>107612</v>
      </c>
      <c r="C9" s="19">
        <v>520.75</v>
      </c>
      <c r="D9" s="19">
        <v>2008.14</v>
      </c>
      <c r="E9" s="19">
        <v>81.290000000000006</v>
      </c>
      <c r="F9" s="20" t="s">
        <v>45</v>
      </c>
      <c r="G9" s="21" t="s">
        <v>36</v>
      </c>
      <c r="H9" s="22"/>
      <c r="I9" s="22"/>
      <c r="J9" s="22"/>
      <c r="K9" s="22"/>
      <c r="L9" s="22"/>
      <c r="M9" s="22" t="s">
        <v>37</v>
      </c>
      <c r="N9" s="40"/>
      <c r="O9" s="24"/>
      <c r="P9" s="24"/>
      <c r="Q9" s="41" t="s">
        <v>46</v>
      </c>
      <c r="R9" s="41" t="s">
        <v>52</v>
      </c>
      <c r="S9" s="24"/>
      <c r="T9" s="24"/>
      <c r="U9" s="24"/>
      <c r="V9" s="26">
        <v>8625</v>
      </c>
      <c r="W9" s="44">
        <v>11.59</v>
      </c>
      <c r="X9" s="94">
        <v>1202.6600000000001</v>
      </c>
      <c r="Y9" s="29">
        <f t="shared" si="0"/>
        <v>1202.6600000000001</v>
      </c>
      <c r="Z9" s="30">
        <f t="shared" si="1"/>
        <v>103.76704055220019</v>
      </c>
      <c r="AA9" s="30"/>
      <c r="AB9" s="98"/>
      <c r="AC9" s="106">
        <f>Y9/10</f>
        <v>120.26600000000001</v>
      </c>
      <c r="AD9" s="31"/>
      <c r="AE9" s="31"/>
      <c r="AF9" s="31"/>
      <c r="AG9" s="42"/>
      <c r="AH9" s="88"/>
      <c r="AI9" s="88"/>
      <c r="AJ9" s="88"/>
      <c r="AK9" s="89">
        <f>AC9/AS9</f>
        <v>0.86935087465664307</v>
      </c>
      <c r="AL9" s="88"/>
      <c r="AM9" s="37"/>
      <c r="AN9" s="38">
        <f t="shared" si="2"/>
        <v>0</v>
      </c>
      <c r="AP9" s="39">
        <v>32.99</v>
      </c>
      <c r="AQ9" s="39">
        <v>32.99</v>
      </c>
      <c r="AR9" s="39">
        <v>19.559999999999999</v>
      </c>
      <c r="AS9" s="39">
        <v>138.34</v>
      </c>
    </row>
    <row r="10" spans="1:47" ht="44.25" customHeight="1" thickTop="1" thickBot="1" x14ac:dyDescent="0.4">
      <c r="A10" s="19" t="s">
        <v>53</v>
      </c>
      <c r="B10" s="19"/>
      <c r="C10" s="19"/>
      <c r="D10" s="19"/>
      <c r="E10" s="19"/>
      <c r="F10" s="20" t="s">
        <v>45</v>
      </c>
      <c r="G10" s="21" t="s">
        <v>36</v>
      </c>
      <c r="H10" s="22"/>
      <c r="I10" s="22"/>
      <c r="J10" s="22"/>
      <c r="K10" s="22"/>
      <c r="L10" s="22"/>
      <c r="M10" s="22" t="s">
        <v>37</v>
      </c>
      <c r="N10" s="40"/>
      <c r="O10" s="24"/>
      <c r="P10" s="24"/>
      <c r="Q10" s="41" t="s">
        <v>46</v>
      </c>
      <c r="R10" s="41" t="s">
        <v>52</v>
      </c>
      <c r="S10" s="24"/>
      <c r="T10" s="24"/>
      <c r="U10" s="24"/>
      <c r="V10" s="26">
        <v>8625</v>
      </c>
      <c r="W10" s="44">
        <v>2.3199999999999998</v>
      </c>
      <c r="X10" s="28"/>
      <c r="Y10" s="29">
        <f t="shared" si="0"/>
        <v>0</v>
      </c>
      <c r="Z10" s="30">
        <f t="shared" si="1"/>
        <v>0</v>
      </c>
      <c r="AA10" s="30"/>
      <c r="AB10" s="30"/>
      <c r="AC10" s="31">
        <f>Y10/2</f>
        <v>0</v>
      </c>
      <c r="AD10" s="31"/>
      <c r="AE10" s="31"/>
      <c r="AF10" s="31"/>
      <c r="AG10" s="42"/>
      <c r="AH10" s="43"/>
      <c r="AI10" s="43"/>
      <c r="AJ10" s="43"/>
      <c r="AK10" s="45">
        <f>AC10/AS10</f>
        <v>0</v>
      </c>
      <c r="AL10" s="43"/>
      <c r="AM10" s="37"/>
      <c r="AN10" s="38">
        <f t="shared" si="2"/>
        <v>0</v>
      </c>
      <c r="AS10" s="39">
        <v>106.94</v>
      </c>
    </row>
    <row r="11" spans="1:47" ht="39" customHeight="1" thickTop="1" thickBot="1" x14ac:dyDescent="0.4">
      <c r="A11" s="19" t="s">
        <v>54</v>
      </c>
      <c r="B11" s="19">
        <v>115400</v>
      </c>
      <c r="C11" s="19">
        <v>66.09</v>
      </c>
      <c r="D11" s="19">
        <v>368.16</v>
      </c>
      <c r="E11" s="19">
        <v>46.2</v>
      </c>
      <c r="F11" s="20" t="s">
        <v>55</v>
      </c>
      <c r="G11" s="21" t="s">
        <v>56</v>
      </c>
      <c r="H11" s="22" t="s">
        <v>37</v>
      </c>
      <c r="I11" s="23" t="s">
        <v>57</v>
      </c>
      <c r="J11" s="24" t="s">
        <v>39</v>
      </c>
      <c r="K11" s="22"/>
      <c r="L11" s="22"/>
      <c r="M11" s="22" t="s">
        <v>37</v>
      </c>
      <c r="N11" s="23" t="s">
        <v>40</v>
      </c>
      <c r="O11" s="46"/>
      <c r="P11" s="46"/>
      <c r="Q11" s="46"/>
      <c r="R11" s="46"/>
      <c r="S11" s="46"/>
      <c r="T11" s="46"/>
      <c r="U11" s="46" t="s">
        <v>37</v>
      </c>
      <c r="V11" s="47">
        <v>4000</v>
      </c>
      <c r="W11" s="44">
        <v>5</v>
      </c>
      <c r="X11" s="28">
        <v>348.27</v>
      </c>
      <c r="Y11" s="29">
        <f t="shared" si="0"/>
        <v>348.27</v>
      </c>
      <c r="Z11" s="30">
        <f t="shared" si="1"/>
        <v>69.653999999999996</v>
      </c>
      <c r="AA11" s="30">
        <f>Y11/10</f>
        <v>34.826999999999998</v>
      </c>
      <c r="AB11" s="99" t="s">
        <v>144</v>
      </c>
      <c r="AC11" s="31"/>
      <c r="AD11" s="31"/>
      <c r="AE11" s="31"/>
      <c r="AF11" s="32">
        <f>Z11/AP11</f>
        <v>2.1113670809336158</v>
      </c>
      <c r="AG11" s="33"/>
      <c r="AH11" s="76"/>
      <c r="AI11" s="76"/>
      <c r="AJ11" s="77">
        <f>AA11/AR11</f>
        <v>1.7805214723926381</v>
      </c>
      <c r="AK11" s="87"/>
      <c r="AL11" s="87"/>
      <c r="AM11" s="37"/>
      <c r="AN11" s="38">
        <f t="shared" si="2"/>
        <v>0</v>
      </c>
      <c r="AP11" s="39">
        <v>32.99</v>
      </c>
      <c r="AQ11" s="39">
        <v>32.99</v>
      </c>
      <c r="AR11" s="39">
        <v>19.559999999999999</v>
      </c>
    </row>
    <row r="12" spans="1:47" ht="38.25" customHeight="1" thickTop="1" thickBot="1" x14ac:dyDescent="0.4">
      <c r="A12" s="19" t="s">
        <v>58</v>
      </c>
      <c r="B12" s="19">
        <v>125286</v>
      </c>
      <c r="C12" s="19"/>
      <c r="D12" s="19"/>
      <c r="E12" s="19">
        <v>0</v>
      </c>
      <c r="F12" s="20" t="s">
        <v>55</v>
      </c>
      <c r="G12" s="21" t="s">
        <v>56</v>
      </c>
      <c r="H12" s="22" t="s">
        <v>37</v>
      </c>
      <c r="I12" s="23" t="s">
        <v>57</v>
      </c>
      <c r="J12" s="24" t="s">
        <v>39</v>
      </c>
      <c r="K12" s="22"/>
      <c r="L12" s="22"/>
      <c r="M12" s="22" t="s">
        <v>37</v>
      </c>
      <c r="N12" s="23" t="s">
        <v>40</v>
      </c>
      <c r="O12" s="46"/>
      <c r="P12" s="46"/>
      <c r="Q12" s="46"/>
      <c r="R12" s="46"/>
      <c r="S12" s="46"/>
      <c r="T12" s="46"/>
      <c r="U12" s="46" t="s">
        <v>37</v>
      </c>
      <c r="V12" s="47">
        <v>4000</v>
      </c>
      <c r="W12" s="44">
        <v>25</v>
      </c>
      <c r="X12" s="28">
        <v>1315.6</v>
      </c>
      <c r="Y12" s="29">
        <f t="shared" si="0"/>
        <v>1315.6</v>
      </c>
      <c r="Z12" s="30">
        <f t="shared" si="1"/>
        <v>52.623999999999995</v>
      </c>
      <c r="AA12" s="30">
        <f>Y12/50</f>
        <v>26.311999999999998</v>
      </c>
      <c r="AB12" s="30"/>
      <c r="AC12" s="31"/>
      <c r="AD12" s="31"/>
      <c r="AE12" s="31"/>
      <c r="AF12" s="32">
        <f>Z12/AP12</f>
        <v>2.1074889867841411</v>
      </c>
      <c r="AG12" s="33"/>
      <c r="AH12" s="34">
        <f t="shared" ref="AH12:AH14" si="3">AA12/AP12</f>
        <v>1.0537444933920705</v>
      </c>
      <c r="AI12" s="35">
        <f t="shared" ref="AI12:AI14" si="4">AA12/AQ12</f>
        <v>0.94173228346456683</v>
      </c>
      <c r="AJ12" s="35"/>
      <c r="AK12" s="36"/>
      <c r="AL12" s="36"/>
      <c r="AM12" s="37"/>
      <c r="AN12" s="38">
        <f t="shared" si="2"/>
        <v>0</v>
      </c>
      <c r="AP12" s="39">
        <v>24.97</v>
      </c>
      <c r="AQ12" s="39">
        <v>27.94</v>
      </c>
      <c r="AR12" s="39"/>
    </row>
    <row r="13" spans="1:47" ht="44.25" customHeight="1" thickTop="1" thickBot="1" x14ac:dyDescent="0.4">
      <c r="A13" s="19" t="s">
        <v>59</v>
      </c>
      <c r="B13" s="19">
        <v>115401</v>
      </c>
      <c r="C13" s="19">
        <v>87.97</v>
      </c>
      <c r="D13" s="19">
        <v>736.33</v>
      </c>
      <c r="E13" s="19">
        <v>0</v>
      </c>
      <c r="F13" s="20" t="s">
        <v>55</v>
      </c>
      <c r="G13" s="21" t="s">
        <v>56</v>
      </c>
      <c r="H13" s="22" t="s">
        <v>37</v>
      </c>
      <c r="I13" s="23" t="s">
        <v>57</v>
      </c>
      <c r="J13" s="22"/>
      <c r="K13" s="24" t="s">
        <v>39</v>
      </c>
      <c r="L13" s="24" t="s">
        <v>39</v>
      </c>
      <c r="M13" s="22" t="s">
        <v>37</v>
      </c>
      <c r="N13" s="23" t="s">
        <v>40</v>
      </c>
      <c r="O13" s="46"/>
      <c r="P13" s="46"/>
      <c r="Q13" s="46"/>
      <c r="R13" s="46"/>
      <c r="S13" s="46"/>
      <c r="T13" s="46"/>
      <c r="U13" s="46" t="s">
        <v>37</v>
      </c>
      <c r="V13" s="47">
        <v>4000</v>
      </c>
      <c r="W13" s="44">
        <v>10</v>
      </c>
      <c r="X13" s="28">
        <v>648.36</v>
      </c>
      <c r="Y13" s="29">
        <f t="shared" si="0"/>
        <v>648.36</v>
      </c>
      <c r="Z13" s="30">
        <f t="shared" si="1"/>
        <v>64.835999999999999</v>
      </c>
      <c r="AA13" s="30">
        <f>Y13/10</f>
        <v>64.835999999999999</v>
      </c>
      <c r="AB13" s="98"/>
      <c r="AC13" s="31"/>
      <c r="AD13" s="31"/>
      <c r="AE13" s="31"/>
      <c r="AF13" s="32">
        <f>Z13/AP13</f>
        <v>1.9653228250985146</v>
      </c>
      <c r="AG13" s="33"/>
      <c r="AH13" s="78">
        <f t="shared" si="3"/>
        <v>1.9653228250985146</v>
      </c>
      <c r="AI13" s="79">
        <f t="shared" si="4"/>
        <v>1.9653228250985146</v>
      </c>
      <c r="AJ13" s="76"/>
      <c r="AK13" s="87"/>
      <c r="AL13" s="87"/>
      <c r="AM13" s="37"/>
      <c r="AN13" s="38">
        <f t="shared" si="2"/>
        <v>0</v>
      </c>
      <c r="AP13" s="39">
        <v>32.99</v>
      </c>
      <c r="AQ13" s="39">
        <v>32.99</v>
      </c>
      <c r="AR13" s="39">
        <v>19.559999999999999</v>
      </c>
    </row>
    <row r="14" spans="1:47" ht="41.25" customHeight="1" thickTop="1" thickBot="1" x14ac:dyDescent="0.4">
      <c r="A14" s="19" t="s">
        <v>60</v>
      </c>
      <c r="B14" s="19">
        <v>125287</v>
      </c>
      <c r="C14" s="19"/>
      <c r="D14" s="19"/>
      <c r="E14" s="19"/>
      <c r="F14" s="20" t="s">
        <v>55</v>
      </c>
      <c r="G14" s="21" t="s">
        <v>56</v>
      </c>
      <c r="H14" s="22" t="s">
        <v>37</v>
      </c>
      <c r="I14" s="23" t="s">
        <v>57</v>
      </c>
      <c r="J14" s="22"/>
      <c r="K14" s="24" t="s">
        <v>39</v>
      </c>
      <c r="L14" s="24" t="s">
        <v>39</v>
      </c>
      <c r="M14" s="22" t="s">
        <v>37</v>
      </c>
      <c r="N14" s="23" t="s">
        <v>40</v>
      </c>
      <c r="O14" s="46"/>
      <c r="P14" s="46"/>
      <c r="Q14" s="46"/>
      <c r="R14" s="46"/>
      <c r="S14" s="46"/>
      <c r="T14" s="46"/>
      <c r="U14" s="46" t="s">
        <v>37</v>
      </c>
      <c r="V14" s="47">
        <v>4000</v>
      </c>
      <c r="W14" s="44">
        <v>50</v>
      </c>
      <c r="X14" s="28">
        <v>1897.5</v>
      </c>
      <c r="Y14" s="29">
        <f t="shared" si="0"/>
        <v>1897.5</v>
      </c>
      <c r="Z14" s="30">
        <f t="shared" si="1"/>
        <v>37.950000000000003</v>
      </c>
      <c r="AA14" s="30">
        <f>Y14/50</f>
        <v>37.950000000000003</v>
      </c>
      <c r="AB14" s="30"/>
      <c r="AC14" s="31"/>
      <c r="AD14" s="31"/>
      <c r="AE14" s="31"/>
      <c r="AF14" s="32">
        <f>Z14/AP14</f>
        <v>1.5198237885462558</v>
      </c>
      <c r="AG14" s="33"/>
      <c r="AH14" s="34">
        <f t="shared" si="3"/>
        <v>1.5198237885462558</v>
      </c>
      <c r="AI14" s="35">
        <f t="shared" si="4"/>
        <v>1.3582677165354331</v>
      </c>
      <c r="AJ14" s="35"/>
      <c r="AK14" s="36"/>
      <c r="AL14" s="36"/>
      <c r="AM14" s="37"/>
      <c r="AN14" s="38">
        <f t="shared" si="2"/>
        <v>0</v>
      </c>
      <c r="AP14" s="39">
        <v>24.97</v>
      </c>
      <c r="AQ14" s="39">
        <v>27.94</v>
      </c>
      <c r="AR14" s="39"/>
    </row>
    <row r="15" spans="1:47" ht="44.25" customHeight="1" thickTop="1" thickBot="1" x14ac:dyDescent="0.4">
      <c r="A15" s="19" t="s">
        <v>59</v>
      </c>
      <c r="B15" s="19">
        <v>115401</v>
      </c>
      <c r="C15" s="19">
        <v>87.97</v>
      </c>
      <c r="D15" s="19">
        <v>736.33</v>
      </c>
      <c r="E15" s="19">
        <v>0</v>
      </c>
      <c r="F15" s="20" t="s">
        <v>55</v>
      </c>
      <c r="G15" s="21" t="s">
        <v>56</v>
      </c>
      <c r="H15" s="22" t="s">
        <v>37</v>
      </c>
      <c r="I15" s="23" t="s">
        <v>57</v>
      </c>
      <c r="J15" s="22"/>
      <c r="K15" s="22"/>
      <c r="L15" s="22"/>
      <c r="M15" s="22" t="s">
        <v>37</v>
      </c>
      <c r="N15" s="40"/>
      <c r="O15" s="41" t="s">
        <v>61</v>
      </c>
      <c r="P15" s="46"/>
      <c r="Q15" s="46"/>
      <c r="R15" s="46"/>
      <c r="S15" s="46"/>
      <c r="T15" s="46"/>
      <c r="U15" s="46" t="s">
        <v>37</v>
      </c>
      <c r="V15" s="47">
        <v>11250</v>
      </c>
      <c r="W15" s="44">
        <v>3.56</v>
      </c>
      <c r="X15" s="28">
        <v>648.36</v>
      </c>
      <c r="Y15" s="29">
        <f t="shared" si="0"/>
        <v>648.36</v>
      </c>
      <c r="Z15" s="30">
        <f t="shared" si="1"/>
        <v>182.12359550561797</v>
      </c>
      <c r="AA15" s="30"/>
      <c r="AB15" s="98"/>
      <c r="AC15" s="31"/>
      <c r="AD15" s="31"/>
      <c r="AE15" s="31">
        <f>Y15/5</f>
        <v>129.672</v>
      </c>
      <c r="AF15" s="32"/>
      <c r="AG15" s="42"/>
      <c r="AH15" s="88"/>
      <c r="AI15" s="88"/>
      <c r="AJ15" s="88"/>
      <c r="AK15" s="88"/>
      <c r="AL15" s="88"/>
      <c r="AM15" s="37"/>
      <c r="AN15" s="38">
        <f t="shared" si="2"/>
        <v>0</v>
      </c>
      <c r="AP15" s="39">
        <v>32.99</v>
      </c>
      <c r="AQ15" s="39">
        <v>32.99</v>
      </c>
      <c r="AR15" s="39">
        <v>19.559999999999999</v>
      </c>
      <c r="AS15" s="39"/>
    </row>
    <row r="16" spans="1:47" ht="41.25" customHeight="1" thickTop="1" thickBot="1" x14ac:dyDescent="0.4">
      <c r="A16" s="19" t="s">
        <v>60</v>
      </c>
      <c r="B16" s="19">
        <v>125287</v>
      </c>
      <c r="C16" s="19"/>
      <c r="D16" s="19"/>
      <c r="E16" s="19"/>
      <c r="F16" s="20" t="s">
        <v>55</v>
      </c>
      <c r="G16" s="21" t="s">
        <v>56</v>
      </c>
      <c r="H16" s="22" t="s">
        <v>37</v>
      </c>
      <c r="I16" s="23" t="s">
        <v>57</v>
      </c>
      <c r="J16" s="22"/>
      <c r="K16" s="22"/>
      <c r="L16" s="22"/>
      <c r="M16" s="22" t="s">
        <v>37</v>
      </c>
      <c r="N16" s="40"/>
      <c r="O16" s="41" t="s">
        <v>61</v>
      </c>
      <c r="P16" s="46"/>
      <c r="Q16" s="46"/>
      <c r="R16" s="46"/>
      <c r="S16" s="46"/>
      <c r="T16" s="46"/>
      <c r="U16" s="46" t="s">
        <v>37</v>
      </c>
      <c r="V16" s="47">
        <v>11250</v>
      </c>
      <c r="W16" s="44">
        <v>17.78</v>
      </c>
      <c r="X16" s="28">
        <v>1897.5</v>
      </c>
      <c r="Y16" s="29">
        <f t="shared" si="0"/>
        <v>1897.5</v>
      </c>
      <c r="Z16" s="30">
        <f t="shared" si="1"/>
        <v>106.72103487064116</v>
      </c>
      <c r="AA16" s="30"/>
      <c r="AB16" s="30"/>
      <c r="AC16" s="31"/>
      <c r="AD16" s="31"/>
      <c r="AE16" s="31">
        <f>Y16/25</f>
        <v>75.900000000000006</v>
      </c>
      <c r="AF16" s="32"/>
      <c r="AG16" s="42"/>
      <c r="AH16" s="43"/>
      <c r="AI16" s="43"/>
      <c r="AJ16" s="43"/>
      <c r="AK16" s="43"/>
      <c r="AL16" s="43"/>
      <c r="AM16" s="37"/>
      <c r="AN16" s="38">
        <f t="shared" si="2"/>
        <v>0</v>
      </c>
      <c r="AP16" s="39"/>
      <c r="AQ16" s="39"/>
      <c r="AR16" s="39"/>
      <c r="AS16" s="39"/>
    </row>
    <row r="17" spans="1:46" ht="52.5" customHeight="1" thickTop="1" thickBot="1" x14ac:dyDescent="0.4">
      <c r="A17" s="19" t="s">
        <v>62</v>
      </c>
      <c r="B17" s="19">
        <v>115402</v>
      </c>
      <c r="C17" s="19">
        <v>77.540000000000006</v>
      </c>
      <c r="D17" s="19">
        <v>923.75</v>
      </c>
      <c r="E17" s="19">
        <v>0</v>
      </c>
      <c r="F17" s="20" t="s">
        <v>55</v>
      </c>
      <c r="G17" s="21" t="s">
        <v>56</v>
      </c>
      <c r="H17" s="22" t="s">
        <v>37</v>
      </c>
      <c r="I17" s="23" t="s">
        <v>57</v>
      </c>
      <c r="J17" s="22"/>
      <c r="K17" s="22"/>
      <c r="L17" s="22"/>
      <c r="M17" s="22" t="s">
        <v>37</v>
      </c>
      <c r="N17" s="40"/>
      <c r="O17" s="48" t="s">
        <v>63</v>
      </c>
      <c r="P17" s="41" t="s">
        <v>61</v>
      </c>
      <c r="Q17" s="46"/>
      <c r="R17" s="46"/>
      <c r="S17" s="46"/>
      <c r="T17" s="46"/>
      <c r="U17" s="46" t="s">
        <v>37</v>
      </c>
      <c r="V17" s="47">
        <v>11250</v>
      </c>
      <c r="W17" s="44">
        <v>5.33</v>
      </c>
      <c r="X17" s="28">
        <v>846.27</v>
      </c>
      <c r="Y17" s="29">
        <f t="shared" si="0"/>
        <v>846.27</v>
      </c>
      <c r="Z17" s="30">
        <f t="shared" si="1"/>
        <v>158.7748592870544</v>
      </c>
      <c r="AA17" s="30"/>
      <c r="AB17" s="98"/>
      <c r="AC17" s="31">
        <f>Y17/10</f>
        <v>84.626999999999995</v>
      </c>
      <c r="AD17" s="31"/>
      <c r="AE17" s="31">
        <f>Y17/5</f>
        <v>169.25399999999999</v>
      </c>
      <c r="AF17" s="31"/>
      <c r="AG17" s="42"/>
      <c r="AH17" s="88"/>
      <c r="AI17" s="88"/>
      <c r="AJ17" s="88"/>
      <c r="AK17" s="88"/>
      <c r="AL17" s="88"/>
      <c r="AM17" s="37"/>
      <c r="AN17" s="38">
        <f t="shared" si="2"/>
        <v>0</v>
      </c>
      <c r="AP17" s="39">
        <v>32.99</v>
      </c>
      <c r="AQ17" s="39">
        <v>32.99</v>
      </c>
      <c r="AR17" s="39">
        <v>19.559999999999999</v>
      </c>
      <c r="AS17" s="39"/>
    </row>
    <row r="18" spans="1:46" ht="55.5" customHeight="1" thickTop="1" thickBot="1" x14ac:dyDescent="0.4">
      <c r="A18" s="19" t="s">
        <v>64</v>
      </c>
      <c r="B18" s="19">
        <v>125288</v>
      </c>
      <c r="C18" s="19"/>
      <c r="D18" s="19"/>
      <c r="E18" s="19"/>
      <c r="F18" s="20" t="s">
        <v>55</v>
      </c>
      <c r="G18" s="21" t="s">
        <v>56</v>
      </c>
      <c r="H18" s="22" t="s">
        <v>37</v>
      </c>
      <c r="I18" s="23" t="s">
        <v>57</v>
      </c>
      <c r="J18" s="22"/>
      <c r="K18" s="22"/>
      <c r="L18" s="22"/>
      <c r="M18" s="22" t="s">
        <v>37</v>
      </c>
      <c r="N18" s="40"/>
      <c r="O18" s="48" t="s">
        <v>63</v>
      </c>
      <c r="P18" s="41" t="s">
        <v>61</v>
      </c>
      <c r="Q18" s="46"/>
      <c r="R18" s="46"/>
      <c r="S18" s="46"/>
      <c r="T18" s="46"/>
      <c r="U18" s="46" t="s">
        <v>37</v>
      </c>
      <c r="V18" s="47">
        <v>11250</v>
      </c>
      <c r="W18" s="44">
        <v>26.6</v>
      </c>
      <c r="X18" s="28">
        <v>2722.5</v>
      </c>
      <c r="Y18" s="29">
        <f t="shared" si="0"/>
        <v>2722.5</v>
      </c>
      <c r="Z18" s="30">
        <f t="shared" si="1"/>
        <v>102.34962406015038</v>
      </c>
      <c r="AA18" s="30"/>
      <c r="AB18" s="30"/>
      <c r="AC18" s="31">
        <f>Y18/50</f>
        <v>54.45</v>
      </c>
      <c r="AD18" s="31"/>
      <c r="AE18" s="31">
        <f>Y18/25</f>
        <v>108.9</v>
      </c>
      <c r="AF18" s="31"/>
      <c r="AG18" s="42"/>
      <c r="AH18" s="43"/>
      <c r="AI18" s="43"/>
      <c r="AJ18" s="43"/>
      <c r="AK18" s="43"/>
      <c r="AL18" s="43"/>
      <c r="AM18" s="37"/>
      <c r="AN18" s="38">
        <f t="shared" si="2"/>
        <v>0</v>
      </c>
      <c r="AS18" s="39"/>
    </row>
    <row r="19" spans="1:46" ht="40.5" customHeight="1" thickTop="1" thickBot="1" x14ac:dyDescent="0.4">
      <c r="A19" s="19" t="s">
        <v>65</v>
      </c>
      <c r="B19" s="19">
        <v>115403</v>
      </c>
      <c r="C19" s="19">
        <v>89.83</v>
      </c>
      <c r="D19" s="19">
        <v>1231.6600000000001</v>
      </c>
      <c r="E19" s="19">
        <v>0</v>
      </c>
      <c r="F19" s="20" t="s">
        <v>55</v>
      </c>
      <c r="G19" s="21" t="s">
        <v>56</v>
      </c>
      <c r="H19" s="22" t="s">
        <v>37</v>
      </c>
      <c r="I19" s="23" t="s">
        <v>57</v>
      </c>
      <c r="J19" s="22"/>
      <c r="K19" s="22"/>
      <c r="L19" s="22"/>
      <c r="M19" s="22" t="s">
        <v>37</v>
      </c>
      <c r="N19" s="40"/>
      <c r="O19" s="48" t="s">
        <v>66</v>
      </c>
      <c r="P19" s="48" t="s">
        <v>67</v>
      </c>
      <c r="Q19" s="41" t="s">
        <v>61</v>
      </c>
      <c r="R19" s="46"/>
      <c r="S19" s="46"/>
      <c r="T19" s="41" t="s">
        <v>68</v>
      </c>
      <c r="U19" s="46" t="s">
        <v>37</v>
      </c>
      <c r="V19" s="47">
        <v>11250</v>
      </c>
      <c r="W19" s="44">
        <v>7.11</v>
      </c>
      <c r="X19" s="28">
        <v>1141.83</v>
      </c>
      <c r="Y19" s="29">
        <f t="shared" si="0"/>
        <v>1141.83</v>
      </c>
      <c r="Z19" s="30">
        <f t="shared" si="1"/>
        <v>160.59493670886073</v>
      </c>
      <c r="AA19" s="30"/>
      <c r="AB19" s="30"/>
      <c r="AC19" s="31">
        <f>Y19/10</f>
        <v>114.18299999999999</v>
      </c>
      <c r="AD19" s="31"/>
      <c r="AE19" s="31">
        <f>Y19/5</f>
        <v>228.36599999999999</v>
      </c>
      <c r="AF19" s="31"/>
      <c r="AG19" s="49">
        <f>Y19/2.5</f>
        <v>456.73199999999997</v>
      </c>
      <c r="AH19" s="50"/>
      <c r="AI19" s="50"/>
      <c r="AJ19" s="50"/>
      <c r="AK19" s="51"/>
      <c r="AL19" s="52">
        <f>AE19/AT19</f>
        <v>2.0195083126989739</v>
      </c>
      <c r="AM19" s="37"/>
      <c r="AN19" s="38">
        <f t="shared" si="2"/>
        <v>0</v>
      </c>
      <c r="AS19" s="39"/>
      <c r="AT19" s="39">
        <v>113.08</v>
      </c>
    </row>
    <row r="20" spans="1:46" ht="30.75" customHeight="1" thickTop="1" thickBot="1" x14ac:dyDescent="0.4">
      <c r="A20" s="19" t="s">
        <v>69</v>
      </c>
      <c r="B20" s="19">
        <v>125289</v>
      </c>
      <c r="C20" s="19"/>
      <c r="D20" s="19"/>
      <c r="E20" s="19"/>
      <c r="F20" s="20" t="s">
        <v>55</v>
      </c>
      <c r="G20" s="21" t="s">
        <v>56</v>
      </c>
      <c r="H20" s="22" t="s">
        <v>37</v>
      </c>
      <c r="I20" s="23" t="s">
        <v>57</v>
      </c>
      <c r="J20" s="22"/>
      <c r="K20" s="22"/>
      <c r="L20" s="22"/>
      <c r="M20" s="22" t="s">
        <v>37</v>
      </c>
      <c r="N20" s="40"/>
      <c r="O20" s="48" t="s">
        <v>66</v>
      </c>
      <c r="P20" s="48" t="s">
        <v>67</v>
      </c>
      <c r="Q20" s="41" t="s">
        <v>61</v>
      </c>
      <c r="R20" s="46"/>
      <c r="S20" s="46"/>
      <c r="T20" s="41" t="s">
        <v>68</v>
      </c>
      <c r="U20" s="46" t="s">
        <v>37</v>
      </c>
      <c r="V20" s="47">
        <v>11250</v>
      </c>
      <c r="W20" s="44">
        <v>35.6</v>
      </c>
      <c r="X20" s="28">
        <v>3685</v>
      </c>
      <c r="Y20" s="29">
        <f t="shared" si="0"/>
        <v>3685</v>
      </c>
      <c r="Z20" s="30">
        <f t="shared" si="1"/>
        <v>103.51123595505618</v>
      </c>
      <c r="AA20" s="30"/>
      <c r="AB20" s="30"/>
      <c r="AC20" s="31">
        <f>Y20/50</f>
        <v>73.7</v>
      </c>
      <c r="AD20" s="31"/>
      <c r="AE20" s="31">
        <f>Y20/25</f>
        <v>147.4</v>
      </c>
      <c r="AF20" s="31"/>
      <c r="AG20" s="49">
        <f>Y20/12.5</f>
        <v>294.8</v>
      </c>
      <c r="AH20" s="50"/>
      <c r="AI20" s="50"/>
      <c r="AJ20" s="50"/>
      <c r="AK20" s="51"/>
      <c r="AL20" s="52">
        <f>AE20/AT20</f>
        <v>1.3035019455252919</v>
      </c>
      <c r="AM20" s="37"/>
      <c r="AN20" s="38">
        <f t="shared" si="2"/>
        <v>0</v>
      </c>
      <c r="AS20" s="39"/>
      <c r="AT20" s="39">
        <v>113.08</v>
      </c>
    </row>
    <row r="21" spans="1:46" ht="55.5" customHeight="1" thickTop="1" thickBot="1" x14ac:dyDescent="0.4">
      <c r="A21" s="19" t="s">
        <v>70</v>
      </c>
      <c r="B21" s="19">
        <v>115404</v>
      </c>
      <c r="C21" s="19">
        <v>301.73</v>
      </c>
      <c r="D21" s="19">
        <v>1539.57</v>
      </c>
      <c r="E21" s="19">
        <v>0</v>
      </c>
      <c r="F21" s="20" t="s">
        <v>55</v>
      </c>
      <c r="G21" s="21" t="s">
        <v>56</v>
      </c>
      <c r="H21" s="22" t="s">
        <v>37</v>
      </c>
      <c r="I21" s="23" t="s">
        <v>57</v>
      </c>
      <c r="J21" s="22"/>
      <c r="K21" s="22"/>
      <c r="L21" s="22"/>
      <c r="M21" s="22" t="s">
        <v>37</v>
      </c>
      <c r="N21" s="40"/>
      <c r="O21" s="46"/>
      <c r="P21" s="48" t="s">
        <v>71</v>
      </c>
      <c r="Q21" s="48" t="s">
        <v>72</v>
      </c>
      <c r="R21" s="41" t="s">
        <v>61</v>
      </c>
      <c r="S21" s="46"/>
      <c r="T21" s="46"/>
      <c r="U21" s="46" t="s">
        <v>37</v>
      </c>
      <c r="V21" s="47">
        <v>11250</v>
      </c>
      <c r="W21" s="44">
        <v>8.89</v>
      </c>
      <c r="X21" s="28">
        <v>1237.83</v>
      </c>
      <c r="Y21" s="29">
        <f t="shared" si="0"/>
        <v>1237.83</v>
      </c>
      <c r="Z21" s="30">
        <f t="shared" si="1"/>
        <v>139.23847019122607</v>
      </c>
      <c r="AA21" s="30"/>
      <c r="AB21" s="98"/>
      <c r="AC21" s="31">
        <f>Y21/10</f>
        <v>123.78299999999999</v>
      </c>
      <c r="AD21" s="31"/>
      <c r="AE21" s="31">
        <f>Y21/5</f>
        <v>247.56599999999997</v>
      </c>
      <c r="AF21" s="31"/>
      <c r="AG21" s="42"/>
      <c r="AH21" s="88"/>
      <c r="AI21" s="88"/>
      <c r="AJ21" s="88"/>
      <c r="AK21" s="90"/>
      <c r="AL21" s="88"/>
      <c r="AM21" s="37"/>
      <c r="AN21" s="38">
        <f t="shared" si="2"/>
        <v>0</v>
      </c>
      <c r="AP21" s="39">
        <v>32.99</v>
      </c>
      <c r="AQ21" s="39">
        <v>32.99</v>
      </c>
      <c r="AR21" s="39">
        <v>19.559999999999999</v>
      </c>
      <c r="AS21" s="39"/>
    </row>
    <row r="22" spans="1:46" ht="54" customHeight="1" thickTop="1" thickBot="1" x14ac:dyDescent="0.4">
      <c r="A22" s="19" t="s">
        <v>73</v>
      </c>
      <c r="B22" s="19">
        <v>125290</v>
      </c>
      <c r="C22" s="19"/>
      <c r="D22" s="19"/>
      <c r="E22" s="19"/>
      <c r="F22" s="20" t="s">
        <v>55</v>
      </c>
      <c r="G22" s="21" t="s">
        <v>56</v>
      </c>
      <c r="H22" s="22" t="s">
        <v>37</v>
      </c>
      <c r="I22" s="23" t="s">
        <v>57</v>
      </c>
      <c r="J22" s="22"/>
      <c r="K22" s="22"/>
      <c r="L22" s="22"/>
      <c r="M22" s="22" t="s">
        <v>37</v>
      </c>
      <c r="N22" s="40"/>
      <c r="O22" s="46"/>
      <c r="P22" s="48" t="s">
        <v>71</v>
      </c>
      <c r="Q22" s="48" t="s">
        <v>72</v>
      </c>
      <c r="R22" s="41" t="s">
        <v>61</v>
      </c>
      <c r="S22" s="46"/>
      <c r="T22" s="46"/>
      <c r="U22" s="46" t="s">
        <v>37</v>
      </c>
      <c r="V22" s="47">
        <v>11250</v>
      </c>
      <c r="W22" s="44">
        <v>44.4</v>
      </c>
      <c r="X22" s="28">
        <v>4455</v>
      </c>
      <c r="Y22" s="29">
        <f t="shared" si="0"/>
        <v>4455</v>
      </c>
      <c r="Z22" s="30">
        <f t="shared" si="1"/>
        <v>100.33783783783784</v>
      </c>
      <c r="AA22" s="30"/>
      <c r="AB22" s="30"/>
      <c r="AC22" s="31">
        <f>Y22/50</f>
        <v>89.1</v>
      </c>
      <c r="AD22" s="31"/>
      <c r="AE22" s="31">
        <f>Y22/25</f>
        <v>178.2</v>
      </c>
      <c r="AF22" s="31"/>
      <c r="AG22" s="42"/>
      <c r="AH22" s="43"/>
      <c r="AI22" s="43"/>
      <c r="AJ22" s="43"/>
      <c r="AK22" s="53"/>
      <c r="AL22" s="43"/>
      <c r="AM22" s="37"/>
      <c r="AN22" s="38">
        <f t="shared" si="2"/>
        <v>0</v>
      </c>
      <c r="AS22" s="39"/>
    </row>
    <row r="23" spans="1:46" ht="53.25" customHeight="1" thickTop="1" thickBot="1" x14ac:dyDescent="0.4">
      <c r="A23" s="19" t="s">
        <v>74</v>
      </c>
      <c r="B23" s="19">
        <v>107950</v>
      </c>
      <c r="C23" s="19">
        <v>361</v>
      </c>
      <c r="D23" s="19">
        <v>1847.49</v>
      </c>
      <c r="E23" s="19">
        <v>99.98</v>
      </c>
      <c r="F23" s="20" t="s">
        <v>75</v>
      </c>
      <c r="G23" s="21" t="s">
        <v>56</v>
      </c>
      <c r="H23" s="22" t="s">
        <v>37</v>
      </c>
      <c r="I23" s="23" t="s">
        <v>57</v>
      </c>
      <c r="J23" s="22"/>
      <c r="K23" s="22"/>
      <c r="L23" s="22"/>
      <c r="M23" s="22" t="s">
        <v>37</v>
      </c>
      <c r="N23" s="40"/>
      <c r="O23" s="46"/>
      <c r="P23" s="46"/>
      <c r="Q23" s="48" t="s">
        <v>76</v>
      </c>
      <c r="R23" s="46"/>
      <c r="S23" s="41" t="s">
        <v>61</v>
      </c>
      <c r="T23" s="24"/>
      <c r="U23" s="46" t="s">
        <v>37</v>
      </c>
      <c r="V23" s="47">
        <v>11250</v>
      </c>
      <c r="W23" s="54">
        <v>10.67</v>
      </c>
      <c r="X23" s="55">
        <v>1586.49</v>
      </c>
      <c r="Y23" s="56">
        <f t="shared" si="0"/>
        <v>1586.49</v>
      </c>
      <c r="Z23" s="30">
        <f t="shared" si="1"/>
        <v>148.68697282099345</v>
      </c>
      <c r="AA23" s="30"/>
      <c r="AB23" s="110" t="s">
        <v>155</v>
      </c>
      <c r="AC23" s="106">
        <f>Y23/10</f>
        <v>158.649</v>
      </c>
      <c r="AD23" s="31"/>
      <c r="AE23" s="31">
        <f>Y23/5</f>
        <v>317.298</v>
      </c>
      <c r="AF23" s="31"/>
      <c r="AG23" s="42"/>
      <c r="AH23" s="88"/>
      <c r="AI23" s="88"/>
      <c r="AJ23" s="88"/>
      <c r="AK23" s="89">
        <f>AC23/AS23</f>
        <v>1.1468049732543011</v>
      </c>
      <c r="AL23" s="88"/>
      <c r="AM23" s="37"/>
      <c r="AN23" s="38">
        <f t="shared" si="2"/>
        <v>0</v>
      </c>
      <c r="AP23" s="39">
        <v>32.99</v>
      </c>
      <c r="AQ23" s="39">
        <v>32.99</v>
      </c>
      <c r="AR23" s="39">
        <v>19.559999999999999</v>
      </c>
      <c r="AS23" s="39">
        <v>138.34</v>
      </c>
    </row>
    <row r="24" spans="1:46" ht="30" customHeight="1" thickTop="1" thickBot="1" x14ac:dyDescent="0.4">
      <c r="A24" s="19" t="s">
        <v>77</v>
      </c>
      <c r="B24" s="19">
        <v>107951</v>
      </c>
      <c r="C24" s="19">
        <v>328.11</v>
      </c>
      <c r="D24" s="19">
        <v>2309.37</v>
      </c>
      <c r="E24" s="19">
        <v>0</v>
      </c>
      <c r="F24" s="20" t="s">
        <v>75</v>
      </c>
      <c r="G24" s="21" t="s">
        <v>56</v>
      </c>
      <c r="H24" s="22" t="s">
        <v>37</v>
      </c>
      <c r="I24" s="23" t="s">
        <v>57</v>
      </c>
      <c r="J24" s="22"/>
      <c r="K24" s="22"/>
      <c r="L24" s="22"/>
      <c r="M24" s="22" t="s">
        <v>37</v>
      </c>
      <c r="N24" s="40"/>
      <c r="O24" s="46"/>
      <c r="P24" s="46"/>
      <c r="Q24" s="46"/>
      <c r="R24" s="48" t="s">
        <v>78</v>
      </c>
      <c r="S24" s="46"/>
      <c r="T24" s="41" t="s">
        <v>79</v>
      </c>
      <c r="U24" s="46" t="s">
        <v>37</v>
      </c>
      <c r="V24" s="47">
        <v>11250</v>
      </c>
      <c r="W24" s="57">
        <v>13.33</v>
      </c>
      <c r="X24" s="55">
        <v>1981.24</v>
      </c>
      <c r="Y24" s="56">
        <f t="shared" si="0"/>
        <v>1981.24</v>
      </c>
      <c r="Z24" s="58">
        <f t="shared" si="1"/>
        <v>148.63015753938484</v>
      </c>
      <c r="AA24" s="58"/>
      <c r="AB24" s="100"/>
      <c r="AC24" s="31">
        <f>Y24/10</f>
        <v>198.124</v>
      </c>
      <c r="AD24" s="31"/>
      <c r="AE24" s="31">
        <f>Y24/5</f>
        <v>396.24799999999999</v>
      </c>
      <c r="AF24" s="59"/>
      <c r="AG24" s="42"/>
      <c r="AH24" s="88"/>
      <c r="AI24" s="88"/>
      <c r="AJ24" s="88"/>
      <c r="AK24" s="88"/>
      <c r="AL24" s="88"/>
      <c r="AM24" s="37"/>
      <c r="AN24" s="38">
        <f t="shared" si="2"/>
        <v>0</v>
      </c>
      <c r="AP24" s="39">
        <v>32.99</v>
      </c>
      <c r="AQ24" s="39">
        <v>32.99</v>
      </c>
      <c r="AR24" s="39">
        <v>19.559999999999999</v>
      </c>
      <c r="AS24" s="39"/>
    </row>
    <row r="25" spans="1:46" ht="39" customHeight="1" thickTop="1" thickBot="1" x14ac:dyDescent="0.4">
      <c r="A25" s="19" t="s">
        <v>80</v>
      </c>
      <c r="B25" s="19">
        <v>219050</v>
      </c>
      <c r="C25" s="19">
        <v>98.8</v>
      </c>
      <c r="D25" s="19">
        <v>368.16</v>
      </c>
      <c r="E25" s="19">
        <v>10.039999999999999</v>
      </c>
      <c r="F25" s="20" t="s">
        <v>55</v>
      </c>
      <c r="G25" s="21" t="s">
        <v>138</v>
      </c>
      <c r="H25" s="22" t="s">
        <v>37</v>
      </c>
      <c r="I25" s="23" t="s">
        <v>57</v>
      </c>
      <c r="J25" s="24" t="s">
        <v>39</v>
      </c>
      <c r="K25" s="22"/>
      <c r="L25" s="22"/>
      <c r="M25" s="22" t="s">
        <v>37</v>
      </c>
      <c r="N25" s="24"/>
      <c r="O25" s="46"/>
      <c r="P25" s="46"/>
      <c r="Q25" s="46"/>
      <c r="R25" s="46"/>
      <c r="S25" s="46"/>
      <c r="T25" s="46"/>
      <c r="U25" s="46" t="s">
        <v>37</v>
      </c>
      <c r="V25" s="47">
        <v>4000</v>
      </c>
      <c r="W25" s="44">
        <v>5</v>
      </c>
      <c r="X25" s="95">
        <v>270.5</v>
      </c>
      <c r="Y25" s="56">
        <f>'Přehled všech '!Y25</f>
        <v>243.45</v>
      </c>
      <c r="Z25" s="58">
        <f t="shared" si="1"/>
        <v>48.69</v>
      </c>
      <c r="AA25" s="72">
        <f>'Přehled všech '!AA25</f>
        <v>24.344999999999999</v>
      </c>
      <c r="AB25" s="99" t="s">
        <v>144</v>
      </c>
      <c r="AC25" s="59"/>
      <c r="AD25" s="59"/>
      <c r="AE25" s="59"/>
      <c r="AF25" s="32">
        <f>Z25/AP25</f>
        <v>1.4759017884207335</v>
      </c>
      <c r="AG25" s="60"/>
      <c r="AH25" s="76"/>
      <c r="AI25" s="80"/>
      <c r="AJ25" s="81">
        <f>AA25/AR25</f>
        <v>1.2446319018404908</v>
      </c>
      <c r="AK25" s="84"/>
      <c r="AL25" s="84"/>
      <c r="AM25" s="37">
        <f>'Přehled všech '!AM25</f>
        <v>0.1</v>
      </c>
      <c r="AN25" s="38">
        <f t="shared" si="2"/>
        <v>27.05</v>
      </c>
      <c r="AP25" s="39">
        <v>32.99</v>
      </c>
      <c r="AQ25" s="39">
        <v>32.99</v>
      </c>
      <c r="AR25" s="39">
        <v>19.559999999999999</v>
      </c>
    </row>
    <row r="26" spans="1:46" ht="1.5" customHeight="1" thickTop="1" thickBot="1" x14ac:dyDescent="0.4">
      <c r="A26" s="19" t="s">
        <v>81</v>
      </c>
      <c r="B26" s="19">
        <v>233119</v>
      </c>
      <c r="C26" s="19"/>
      <c r="D26" s="19"/>
      <c r="E26" s="19"/>
      <c r="F26" s="20" t="s">
        <v>55</v>
      </c>
      <c r="G26" s="21" t="s">
        <v>138</v>
      </c>
      <c r="H26" s="22" t="s">
        <v>37</v>
      </c>
      <c r="I26" s="23" t="s">
        <v>57</v>
      </c>
      <c r="J26" s="24" t="s">
        <v>39</v>
      </c>
      <c r="K26" s="22"/>
      <c r="L26" s="22"/>
      <c r="M26" s="22" t="s">
        <v>37</v>
      </c>
      <c r="N26" s="24"/>
      <c r="O26" s="46"/>
      <c r="P26" s="46"/>
      <c r="Q26" s="46"/>
      <c r="R26" s="46"/>
      <c r="S26" s="46"/>
      <c r="T26" s="46"/>
      <c r="U26" s="46" t="s">
        <v>37</v>
      </c>
      <c r="V26" s="47">
        <v>4000</v>
      </c>
      <c r="W26" s="44">
        <v>25</v>
      </c>
      <c r="X26" s="71" t="s">
        <v>419</v>
      </c>
      <c r="Y26" s="56" t="e">
        <f t="shared" si="0"/>
        <v>#VALUE!</v>
      </c>
      <c r="Z26" s="58" t="e">
        <f t="shared" si="1"/>
        <v>#VALUE!</v>
      </c>
      <c r="AA26" s="30" t="e">
        <f>Y26/50</f>
        <v>#VALUE!</v>
      </c>
      <c r="AB26" s="30"/>
      <c r="AC26" s="59"/>
      <c r="AD26" s="59"/>
      <c r="AE26" s="59"/>
      <c r="AF26" s="32" t="e">
        <f>Z26/AP26</f>
        <v>#VALUE!</v>
      </c>
      <c r="AG26" s="60"/>
      <c r="AH26" s="34" t="e">
        <f t="shared" ref="AH26:AH28" si="5">AA26/AP26</f>
        <v>#VALUE!</v>
      </c>
      <c r="AI26" s="35" t="e">
        <f t="shared" ref="AI26:AI28" si="6">AA26/AQ26</f>
        <v>#VALUE!</v>
      </c>
      <c r="AJ26" s="35"/>
      <c r="AK26" s="61"/>
      <c r="AL26" s="61"/>
      <c r="AM26" s="37">
        <v>0.3</v>
      </c>
      <c r="AN26" s="38" t="e">
        <f t="shared" si="2"/>
        <v>#VALUE!</v>
      </c>
      <c r="AP26" s="39">
        <v>24.97</v>
      </c>
      <c r="AQ26" s="39">
        <v>27.94</v>
      </c>
      <c r="AR26" s="39"/>
    </row>
    <row r="27" spans="1:46" ht="36.75" customHeight="1" thickTop="1" thickBot="1" x14ac:dyDescent="0.4">
      <c r="A27" s="19" t="s">
        <v>82</v>
      </c>
      <c r="B27" s="19">
        <v>219052</v>
      </c>
      <c r="C27" s="19">
        <v>161.03</v>
      </c>
      <c r="D27" s="19">
        <v>736.33</v>
      </c>
      <c r="E27" s="19">
        <v>-103.97</v>
      </c>
      <c r="F27" s="20" t="s">
        <v>55</v>
      </c>
      <c r="G27" s="21" t="s">
        <v>138</v>
      </c>
      <c r="H27" s="22" t="s">
        <v>37</v>
      </c>
      <c r="I27" s="23" t="s">
        <v>57</v>
      </c>
      <c r="J27" s="22"/>
      <c r="K27" s="24" t="s">
        <v>39</v>
      </c>
      <c r="L27" s="24" t="s">
        <v>39</v>
      </c>
      <c r="M27" s="22" t="s">
        <v>37</v>
      </c>
      <c r="N27" s="24"/>
      <c r="O27" s="46"/>
      <c r="P27" s="46"/>
      <c r="Q27" s="46"/>
      <c r="R27" s="46"/>
      <c r="S27" s="46"/>
      <c r="T27" s="46"/>
      <c r="U27" s="46" t="s">
        <v>37</v>
      </c>
      <c r="V27" s="47">
        <v>4000</v>
      </c>
      <c r="W27" s="44">
        <v>10</v>
      </c>
      <c r="X27" s="95">
        <v>562.24</v>
      </c>
      <c r="Y27" s="56">
        <f>'Přehled všech '!Y27</f>
        <v>477.904</v>
      </c>
      <c r="Z27" s="58">
        <f t="shared" si="1"/>
        <v>47.790399999999998</v>
      </c>
      <c r="AA27" s="72">
        <f>'Přehled všech '!AA27</f>
        <v>47.790399999999998</v>
      </c>
      <c r="AB27" s="98"/>
      <c r="AC27" s="59"/>
      <c r="AD27" s="59"/>
      <c r="AE27" s="59"/>
      <c r="AF27" s="32">
        <f>Z27/AP27</f>
        <v>1.4486329190663836</v>
      </c>
      <c r="AG27" s="60"/>
      <c r="AH27" s="82">
        <f t="shared" si="5"/>
        <v>1.4486329190663836</v>
      </c>
      <c r="AI27" s="83">
        <f t="shared" si="6"/>
        <v>1.4486329190663836</v>
      </c>
      <c r="AJ27" s="76"/>
      <c r="AK27" s="84"/>
      <c r="AL27" s="84"/>
      <c r="AM27" s="37">
        <f>'Přehled všech '!AM27</f>
        <v>0.15</v>
      </c>
      <c r="AN27" s="38">
        <f t="shared" si="2"/>
        <v>84.335999999999999</v>
      </c>
      <c r="AP27" s="39">
        <v>32.99</v>
      </c>
      <c r="AQ27" s="39">
        <v>32.99</v>
      </c>
      <c r="AR27" s="39">
        <v>19.559999999999999</v>
      </c>
    </row>
    <row r="28" spans="1:46" ht="38.25" customHeight="1" thickTop="1" thickBot="1" x14ac:dyDescent="0.4">
      <c r="A28" s="19" t="s">
        <v>83</v>
      </c>
      <c r="B28" s="19">
        <v>233123</v>
      </c>
      <c r="C28" s="19"/>
      <c r="D28" s="19"/>
      <c r="E28" s="19"/>
      <c r="F28" s="20" t="s">
        <v>55</v>
      </c>
      <c r="G28" s="21" t="s">
        <v>138</v>
      </c>
      <c r="H28" s="22" t="s">
        <v>37</v>
      </c>
      <c r="I28" s="23" t="s">
        <v>57</v>
      </c>
      <c r="J28" s="22"/>
      <c r="K28" s="24" t="s">
        <v>39</v>
      </c>
      <c r="L28" s="24" t="s">
        <v>39</v>
      </c>
      <c r="M28" s="22" t="s">
        <v>37</v>
      </c>
      <c r="N28" s="24"/>
      <c r="O28" s="46"/>
      <c r="P28" s="46"/>
      <c r="Q28" s="46"/>
      <c r="R28" s="46"/>
      <c r="S28" s="46"/>
      <c r="T28" s="46"/>
      <c r="U28" s="46" t="s">
        <v>37</v>
      </c>
      <c r="V28" s="47">
        <v>4000</v>
      </c>
      <c r="W28" s="44">
        <v>50</v>
      </c>
      <c r="X28" s="71" t="s">
        <v>419</v>
      </c>
      <c r="Y28" s="56" t="e">
        <f t="shared" si="0"/>
        <v>#VALUE!</v>
      </c>
      <c r="Z28" s="58" t="e">
        <f t="shared" si="1"/>
        <v>#VALUE!</v>
      </c>
      <c r="AA28" s="30" t="e">
        <f>Y28/50</f>
        <v>#VALUE!</v>
      </c>
      <c r="AB28" s="30"/>
      <c r="AC28" s="59"/>
      <c r="AD28" s="59"/>
      <c r="AE28" s="59"/>
      <c r="AF28" s="32" t="e">
        <f>Z28/AP28</f>
        <v>#VALUE!</v>
      </c>
      <c r="AG28" s="60"/>
      <c r="AH28" s="34" t="e">
        <f t="shared" si="5"/>
        <v>#VALUE!</v>
      </c>
      <c r="AI28" s="35" t="e">
        <f t="shared" si="6"/>
        <v>#VALUE!</v>
      </c>
      <c r="AJ28" s="35"/>
      <c r="AK28" s="61"/>
      <c r="AL28" s="61"/>
      <c r="AM28" s="37">
        <v>0.3</v>
      </c>
      <c r="AN28" s="38" t="e">
        <f t="shared" si="2"/>
        <v>#VALUE!</v>
      </c>
      <c r="AP28" s="39">
        <v>24.97</v>
      </c>
      <c r="AQ28" s="39">
        <v>27.94</v>
      </c>
      <c r="AR28" s="39"/>
    </row>
    <row r="29" spans="1:46" ht="41.25" customHeight="1" thickTop="1" thickBot="1" x14ac:dyDescent="0.4">
      <c r="A29" s="19" t="s">
        <v>82</v>
      </c>
      <c r="B29" s="19">
        <v>219052</v>
      </c>
      <c r="C29" s="19">
        <v>151.66</v>
      </c>
      <c r="D29" s="19">
        <v>736.33</v>
      </c>
      <c r="E29" s="19">
        <v>-103.97</v>
      </c>
      <c r="F29" s="20" t="s">
        <v>55</v>
      </c>
      <c r="G29" s="21" t="s">
        <v>138</v>
      </c>
      <c r="H29" s="22" t="s">
        <v>37</v>
      </c>
      <c r="I29" s="23" t="s">
        <v>57</v>
      </c>
      <c r="J29" s="22"/>
      <c r="K29" s="22"/>
      <c r="L29" s="22"/>
      <c r="M29" s="22" t="s">
        <v>37</v>
      </c>
      <c r="N29" s="40"/>
      <c r="O29" s="41" t="s">
        <v>61</v>
      </c>
      <c r="P29" s="46"/>
      <c r="Q29" s="46"/>
      <c r="R29" s="46"/>
      <c r="S29" s="46"/>
      <c r="T29" s="46"/>
      <c r="U29" s="46" t="s">
        <v>37</v>
      </c>
      <c r="V29" s="47">
        <v>11250</v>
      </c>
      <c r="W29" s="44">
        <v>3.56</v>
      </c>
      <c r="X29" s="95">
        <v>562.24</v>
      </c>
      <c r="Y29" s="56">
        <f>'Přehled všech '!Y29</f>
        <v>477.904</v>
      </c>
      <c r="Z29" s="58">
        <f t="shared" si="1"/>
        <v>134.24269662921347</v>
      </c>
      <c r="AA29" s="58"/>
      <c r="AB29" s="100"/>
      <c r="AC29" s="59"/>
      <c r="AD29" s="59"/>
      <c r="AE29" s="31">
        <f>'Přehled všech '!AE29</f>
        <v>95.580799999999996</v>
      </c>
      <c r="AF29" s="32"/>
      <c r="AG29" s="42"/>
      <c r="AH29" s="88"/>
      <c r="AI29" s="88"/>
      <c r="AJ29" s="88"/>
      <c r="AK29" s="88"/>
      <c r="AL29" s="88"/>
      <c r="AM29" s="37">
        <f>'Přehled všech '!AM29</f>
        <v>0.15</v>
      </c>
      <c r="AN29" s="38">
        <f t="shared" si="2"/>
        <v>84.335999999999999</v>
      </c>
      <c r="AP29" s="39">
        <v>32.99</v>
      </c>
      <c r="AQ29" s="39">
        <v>32.99</v>
      </c>
      <c r="AR29" s="39">
        <v>19.559999999999999</v>
      </c>
      <c r="AS29" s="39"/>
    </row>
    <row r="30" spans="1:46" ht="45.75" customHeight="1" thickTop="1" thickBot="1" x14ac:dyDescent="0.4">
      <c r="A30" s="19" t="s">
        <v>83</v>
      </c>
      <c r="B30" s="19">
        <v>233123</v>
      </c>
      <c r="C30" s="19"/>
      <c r="D30" s="19"/>
      <c r="E30" s="19"/>
      <c r="F30" s="20" t="s">
        <v>55</v>
      </c>
      <c r="G30" s="21" t="s">
        <v>138</v>
      </c>
      <c r="H30" s="22" t="s">
        <v>37</v>
      </c>
      <c r="I30" s="23" t="s">
        <v>57</v>
      </c>
      <c r="J30" s="22"/>
      <c r="K30" s="22"/>
      <c r="L30" s="22"/>
      <c r="M30" s="22" t="s">
        <v>37</v>
      </c>
      <c r="N30" s="40"/>
      <c r="O30" s="41" t="s">
        <v>61</v>
      </c>
      <c r="P30" s="46"/>
      <c r="Q30" s="46"/>
      <c r="R30" s="46"/>
      <c r="S30" s="46"/>
      <c r="T30" s="46"/>
      <c r="U30" s="46" t="s">
        <v>37</v>
      </c>
      <c r="V30" s="47">
        <v>11250</v>
      </c>
      <c r="W30" s="44">
        <v>17.78</v>
      </c>
      <c r="X30" s="71" t="s">
        <v>419</v>
      </c>
      <c r="Y30" s="56" t="e">
        <f t="shared" si="0"/>
        <v>#VALUE!</v>
      </c>
      <c r="Z30" s="58" t="e">
        <f t="shared" si="1"/>
        <v>#VALUE!</v>
      </c>
      <c r="AA30" s="58"/>
      <c r="AB30" s="58"/>
      <c r="AC30" s="59"/>
      <c r="AD30" s="59"/>
      <c r="AE30" s="31" t="e">
        <f>Y30/25</f>
        <v>#VALUE!</v>
      </c>
      <c r="AF30" s="32"/>
      <c r="AG30" s="42"/>
      <c r="AH30" s="43"/>
      <c r="AI30" s="43"/>
      <c r="AJ30" s="43"/>
      <c r="AK30" s="43"/>
      <c r="AL30" s="43"/>
      <c r="AM30" s="37">
        <v>0.3</v>
      </c>
      <c r="AN30" s="38"/>
      <c r="AP30" s="39"/>
      <c r="AQ30" s="39"/>
      <c r="AR30" s="39"/>
      <c r="AS30" s="39"/>
    </row>
    <row r="31" spans="1:46" ht="54.75" customHeight="1" thickTop="1" thickBot="1" x14ac:dyDescent="0.4">
      <c r="A31" s="19" t="s">
        <v>84</v>
      </c>
      <c r="B31" s="19">
        <v>219054</v>
      </c>
      <c r="C31" s="19">
        <v>181.94</v>
      </c>
      <c r="D31" s="19">
        <v>923.75</v>
      </c>
      <c r="E31" s="19">
        <v>-123.61</v>
      </c>
      <c r="F31" s="20" t="s">
        <v>55</v>
      </c>
      <c r="G31" s="21" t="s">
        <v>138</v>
      </c>
      <c r="H31" s="22" t="s">
        <v>37</v>
      </c>
      <c r="I31" s="23" t="s">
        <v>57</v>
      </c>
      <c r="J31" s="22"/>
      <c r="K31" s="22"/>
      <c r="L31" s="22"/>
      <c r="M31" s="22" t="s">
        <v>37</v>
      </c>
      <c r="N31" s="40"/>
      <c r="O31" s="48" t="s">
        <v>63</v>
      </c>
      <c r="P31" s="41" t="s">
        <v>61</v>
      </c>
      <c r="Q31" s="46"/>
      <c r="R31" s="46"/>
      <c r="S31" s="46"/>
      <c r="T31" s="46"/>
      <c r="U31" s="46" t="s">
        <v>37</v>
      </c>
      <c r="V31" s="47">
        <v>11250</v>
      </c>
      <c r="W31" s="44">
        <v>5.33</v>
      </c>
      <c r="X31" s="95">
        <v>717.67</v>
      </c>
      <c r="Y31" s="56">
        <f>'Přehled všech '!Y31</f>
        <v>610.01949999999999</v>
      </c>
      <c r="Z31" s="58">
        <f t="shared" si="1"/>
        <v>114.45018761726078</v>
      </c>
      <c r="AA31" s="58"/>
      <c r="AB31" s="100"/>
      <c r="AC31" s="72">
        <f>'Přehled všech '!AC31</f>
        <v>61.001950000000001</v>
      </c>
      <c r="AD31" s="31"/>
      <c r="AE31" s="31">
        <f>'Přehled všech '!AE31</f>
        <v>122.0039</v>
      </c>
      <c r="AF31" s="59"/>
      <c r="AG31" s="42"/>
      <c r="AH31" s="88"/>
      <c r="AI31" s="88"/>
      <c r="AJ31" s="88"/>
      <c r="AK31" s="88"/>
      <c r="AL31" s="88"/>
      <c r="AM31" s="37">
        <f>'Přehled všech '!AM31</f>
        <v>0.15</v>
      </c>
      <c r="AN31" s="38">
        <f t="shared" ref="AN31:AN51" si="7">AM31*X31</f>
        <v>107.65049999999999</v>
      </c>
      <c r="AP31" s="39">
        <v>32.99</v>
      </c>
      <c r="AQ31" s="39">
        <v>32.99</v>
      </c>
      <c r="AR31" s="39">
        <v>19.559999999999999</v>
      </c>
      <c r="AS31" s="39"/>
    </row>
    <row r="32" spans="1:46" ht="57" customHeight="1" thickTop="1" thickBot="1" x14ac:dyDescent="0.4">
      <c r="A32" s="19" t="s">
        <v>85</v>
      </c>
      <c r="B32" s="19">
        <v>238548</v>
      </c>
      <c r="C32" s="19"/>
      <c r="D32" s="19"/>
      <c r="E32" s="19"/>
      <c r="F32" s="20" t="s">
        <v>55</v>
      </c>
      <c r="G32" s="21" t="s">
        <v>138</v>
      </c>
      <c r="H32" s="22" t="s">
        <v>37</v>
      </c>
      <c r="I32" s="23" t="s">
        <v>57</v>
      </c>
      <c r="J32" s="22"/>
      <c r="K32" s="22"/>
      <c r="L32" s="22"/>
      <c r="M32" s="22" t="s">
        <v>37</v>
      </c>
      <c r="N32" s="40"/>
      <c r="O32" s="48" t="s">
        <v>63</v>
      </c>
      <c r="P32" s="41" t="s">
        <v>61</v>
      </c>
      <c r="Q32" s="46"/>
      <c r="R32" s="46"/>
      <c r="S32" s="46"/>
      <c r="T32" s="46"/>
      <c r="U32" s="46" t="s">
        <v>37</v>
      </c>
      <c r="V32" s="47">
        <v>11250</v>
      </c>
      <c r="W32" s="44">
        <v>26.6</v>
      </c>
      <c r="X32" s="71" t="s">
        <v>419</v>
      </c>
      <c r="Y32" s="56" t="e">
        <f t="shared" si="0"/>
        <v>#VALUE!</v>
      </c>
      <c r="Z32" s="58" t="e">
        <f t="shared" si="1"/>
        <v>#VALUE!</v>
      </c>
      <c r="AA32" s="58"/>
      <c r="AB32" s="58"/>
      <c r="AC32" s="31" t="e">
        <f>Y32/50</f>
        <v>#VALUE!</v>
      </c>
      <c r="AD32" s="31"/>
      <c r="AE32" s="31" t="e">
        <f>Y32/25</f>
        <v>#VALUE!</v>
      </c>
      <c r="AF32" s="59"/>
      <c r="AG32" s="42"/>
      <c r="AH32" s="43"/>
      <c r="AI32" s="43"/>
      <c r="AJ32" s="43"/>
      <c r="AK32" s="43"/>
      <c r="AL32" s="43"/>
      <c r="AM32" s="37">
        <v>0.3</v>
      </c>
      <c r="AN32" s="38" t="e">
        <f t="shared" si="7"/>
        <v>#VALUE!</v>
      </c>
      <c r="AS32" s="39"/>
    </row>
    <row r="33" spans="1:46" ht="59.25" customHeight="1" thickTop="1" thickBot="1" x14ac:dyDescent="0.4">
      <c r="A33" s="19" t="s">
        <v>86</v>
      </c>
      <c r="B33" s="19">
        <v>219056</v>
      </c>
      <c r="C33" s="19">
        <v>222.64</v>
      </c>
      <c r="D33" s="19">
        <v>1231.6600000000001</v>
      </c>
      <c r="E33" s="19">
        <v>-187.32</v>
      </c>
      <c r="F33" s="20" t="s">
        <v>55</v>
      </c>
      <c r="G33" s="21" t="s">
        <v>138</v>
      </c>
      <c r="H33" s="22" t="s">
        <v>37</v>
      </c>
      <c r="I33" s="23" t="s">
        <v>57</v>
      </c>
      <c r="J33" s="22"/>
      <c r="K33" s="22"/>
      <c r="L33" s="22"/>
      <c r="M33" s="22" t="s">
        <v>37</v>
      </c>
      <c r="N33" s="40"/>
      <c r="O33" s="48" t="s">
        <v>66</v>
      </c>
      <c r="P33" s="48" t="s">
        <v>67</v>
      </c>
      <c r="Q33" s="41" t="s">
        <v>61</v>
      </c>
      <c r="R33" s="46"/>
      <c r="S33" s="46"/>
      <c r="T33" s="41" t="s">
        <v>68</v>
      </c>
      <c r="U33" s="46" t="s">
        <v>37</v>
      </c>
      <c r="V33" s="47">
        <v>11250</v>
      </c>
      <c r="W33" s="44">
        <v>7.11</v>
      </c>
      <c r="X33" s="95">
        <v>973</v>
      </c>
      <c r="Y33" s="56">
        <f>'Přehled všech '!Y33</f>
        <v>827.05</v>
      </c>
      <c r="Z33" s="58">
        <f t="shared" si="1"/>
        <v>116.32208157524612</v>
      </c>
      <c r="AA33" s="58"/>
      <c r="AB33" s="110" t="s">
        <v>156</v>
      </c>
      <c r="AC33" s="31">
        <f>'Přehled všech '!AC33</f>
        <v>82.704999999999998</v>
      </c>
      <c r="AD33" s="31"/>
      <c r="AE33" s="105">
        <f>'Přehled všech '!AE33</f>
        <v>165.41</v>
      </c>
      <c r="AF33" s="59"/>
      <c r="AG33" s="49">
        <f>Y33/2.5</f>
        <v>330.82</v>
      </c>
      <c r="AH33" s="87"/>
      <c r="AI33" s="87"/>
      <c r="AJ33" s="87"/>
      <c r="AK33" s="90"/>
      <c r="AL33" s="104">
        <f t="shared" ref="AL33:AL34" si="8">AE33/AT33</f>
        <v>1.4378477051460361</v>
      </c>
      <c r="AM33" s="37">
        <f>'Přehled všech '!AM33</f>
        <v>0.15</v>
      </c>
      <c r="AN33" s="38">
        <f t="shared" si="7"/>
        <v>145.94999999999999</v>
      </c>
      <c r="AP33" s="39">
        <v>32.99</v>
      </c>
      <c r="AQ33" s="39">
        <v>32.99</v>
      </c>
      <c r="AR33" s="39">
        <v>19.559999999999999</v>
      </c>
      <c r="AS33" s="39"/>
      <c r="AT33" s="39">
        <v>115.04</v>
      </c>
    </row>
    <row r="34" spans="1:46" ht="52.5" customHeight="1" thickTop="1" thickBot="1" x14ac:dyDescent="0.4">
      <c r="A34" s="19" t="s">
        <v>87</v>
      </c>
      <c r="B34" s="19">
        <v>238749</v>
      </c>
      <c r="C34" s="19"/>
      <c r="D34" s="19"/>
      <c r="E34" s="19"/>
      <c r="F34" s="20" t="s">
        <v>55</v>
      </c>
      <c r="G34" s="21" t="s">
        <v>138</v>
      </c>
      <c r="H34" s="22" t="s">
        <v>37</v>
      </c>
      <c r="I34" s="23" t="s">
        <v>57</v>
      </c>
      <c r="J34" s="22"/>
      <c r="K34" s="22"/>
      <c r="L34" s="22"/>
      <c r="M34" s="22" t="s">
        <v>37</v>
      </c>
      <c r="N34" s="40"/>
      <c r="O34" s="48" t="s">
        <v>66</v>
      </c>
      <c r="P34" s="48" t="s">
        <v>67</v>
      </c>
      <c r="Q34" s="41" t="s">
        <v>61</v>
      </c>
      <c r="R34" s="46"/>
      <c r="S34" s="46"/>
      <c r="T34" s="41" t="s">
        <v>68</v>
      </c>
      <c r="U34" s="46" t="s">
        <v>37</v>
      </c>
      <c r="V34" s="47">
        <v>11250</v>
      </c>
      <c r="W34" s="44">
        <v>35.6</v>
      </c>
      <c r="X34" s="71" t="s">
        <v>419</v>
      </c>
      <c r="Y34" s="56" t="e">
        <f t="shared" si="0"/>
        <v>#VALUE!</v>
      </c>
      <c r="Z34" s="58" t="e">
        <f t="shared" si="1"/>
        <v>#VALUE!</v>
      </c>
      <c r="AA34" s="58"/>
      <c r="AB34" s="58"/>
      <c r="AC34" s="31" t="e">
        <f>Y34/50</f>
        <v>#VALUE!</v>
      </c>
      <c r="AD34" s="31"/>
      <c r="AE34" s="31" t="e">
        <f>Y34/25</f>
        <v>#VALUE!</v>
      </c>
      <c r="AF34" s="59"/>
      <c r="AG34" s="49" t="e">
        <f>Y34/12.5</f>
        <v>#VALUE!</v>
      </c>
      <c r="AH34" s="50"/>
      <c r="AI34" s="50"/>
      <c r="AJ34" s="50"/>
      <c r="AK34" s="53"/>
      <c r="AL34" s="52" t="e">
        <f t="shared" si="8"/>
        <v>#VALUE!</v>
      </c>
      <c r="AM34" s="37">
        <v>0.3</v>
      </c>
      <c r="AN34" s="38" t="e">
        <f t="shared" si="7"/>
        <v>#VALUE!</v>
      </c>
      <c r="AS34" s="39"/>
      <c r="AT34" s="39">
        <v>113.08</v>
      </c>
    </row>
    <row r="35" spans="1:46" ht="52.5" customHeight="1" thickTop="1" thickBot="1" x14ac:dyDescent="0.4">
      <c r="A35" s="19" t="s">
        <v>88</v>
      </c>
      <c r="B35" s="19">
        <v>219058</v>
      </c>
      <c r="C35" s="19">
        <v>275.22000000000003</v>
      </c>
      <c r="D35" s="19">
        <v>1539.57</v>
      </c>
      <c r="E35" s="19">
        <v>-179.75</v>
      </c>
      <c r="F35" s="20" t="s">
        <v>55</v>
      </c>
      <c r="G35" s="21" t="s">
        <v>138</v>
      </c>
      <c r="H35" s="22" t="s">
        <v>37</v>
      </c>
      <c r="I35" s="23" t="s">
        <v>57</v>
      </c>
      <c r="J35" s="22"/>
      <c r="K35" s="22"/>
      <c r="L35" s="22"/>
      <c r="M35" s="22" t="s">
        <v>37</v>
      </c>
      <c r="N35" s="40"/>
      <c r="O35" s="46"/>
      <c r="P35" s="48" t="s">
        <v>71</v>
      </c>
      <c r="Q35" s="48" t="s">
        <v>72</v>
      </c>
      <c r="R35" s="41" t="s">
        <v>61</v>
      </c>
      <c r="S35" s="46"/>
      <c r="T35" s="46"/>
      <c r="U35" s="46" t="s">
        <v>37</v>
      </c>
      <c r="V35" s="47">
        <v>11250</v>
      </c>
      <c r="W35" s="44">
        <v>8.89</v>
      </c>
      <c r="X35" s="95">
        <v>1231.78</v>
      </c>
      <c r="Y35" s="56">
        <f>'Přehled všech '!Y35</f>
        <v>1047.0129999999999</v>
      </c>
      <c r="Z35" s="58">
        <f t="shared" si="1"/>
        <v>117.77424071991</v>
      </c>
      <c r="AA35" s="58"/>
      <c r="AB35" s="100"/>
      <c r="AC35" s="31">
        <f>'Přehled všech '!AC35</f>
        <v>104.70129999999999</v>
      </c>
      <c r="AD35" s="31"/>
      <c r="AE35" s="31">
        <f>'Přehled všech '!AE35</f>
        <v>209.40259999999998</v>
      </c>
      <c r="AF35" s="59"/>
      <c r="AG35" s="42"/>
      <c r="AH35" s="88"/>
      <c r="AI35" s="88"/>
      <c r="AJ35" s="88"/>
      <c r="AK35" s="90"/>
      <c r="AL35" s="88"/>
      <c r="AM35" s="37">
        <f>'Přehled všech '!AM35</f>
        <v>0.15</v>
      </c>
      <c r="AN35" s="38">
        <f t="shared" si="7"/>
        <v>184.767</v>
      </c>
      <c r="AP35" s="39">
        <v>32.99</v>
      </c>
      <c r="AQ35" s="39">
        <v>32.99</v>
      </c>
      <c r="AR35" s="39">
        <v>19.559999999999999</v>
      </c>
      <c r="AS35" s="39"/>
      <c r="AT35" s="39"/>
    </row>
    <row r="36" spans="1:46" ht="53.25" customHeight="1" thickTop="1" thickBot="1" x14ac:dyDescent="0.4">
      <c r="A36" s="19" t="s">
        <v>89</v>
      </c>
      <c r="B36" s="19">
        <v>233118</v>
      </c>
      <c r="C36" s="19"/>
      <c r="D36" s="19"/>
      <c r="E36" s="19"/>
      <c r="F36" s="20" t="s">
        <v>55</v>
      </c>
      <c r="G36" s="21" t="s">
        <v>138</v>
      </c>
      <c r="H36" s="22" t="s">
        <v>37</v>
      </c>
      <c r="I36" s="23" t="s">
        <v>57</v>
      </c>
      <c r="J36" s="22"/>
      <c r="K36" s="22"/>
      <c r="L36" s="22"/>
      <c r="M36" s="22" t="s">
        <v>37</v>
      </c>
      <c r="N36" s="40"/>
      <c r="O36" s="46"/>
      <c r="P36" s="48" t="s">
        <v>71</v>
      </c>
      <c r="Q36" s="48" t="s">
        <v>72</v>
      </c>
      <c r="R36" s="41" t="s">
        <v>61</v>
      </c>
      <c r="S36" s="46"/>
      <c r="T36" s="46"/>
      <c r="U36" s="46" t="s">
        <v>37</v>
      </c>
      <c r="V36" s="47">
        <v>11250</v>
      </c>
      <c r="W36" s="44">
        <v>44.4</v>
      </c>
      <c r="X36" s="71" t="s">
        <v>419</v>
      </c>
      <c r="Y36" s="56" t="e">
        <f t="shared" si="0"/>
        <v>#VALUE!</v>
      </c>
      <c r="Z36" s="58" t="e">
        <f t="shared" si="1"/>
        <v>#VALUE!</v>
      </c>
      <c r="AA36" s="58"/>
      <c r="AB36" s="58"/>
      <c r="AC36" s="31" t="e">
        <f>Y36/50</f>
        <v>#VALUE!</v>
      </c>
      <c r="AD36" s="31"/>
      <c r="AE36" s="31" t="e">
        <f>Y36/25</f>
        <v>#VALUE!</v>
      </c>
      <c r="AF36" s="59"/>
      <c r="AG36" s="42"/>
      <c r="AH36" s="43"/>
      <c r="AI36" s="43"/>
      <c r="AJ36" s="43"/>
      <c r="AK36" s="53"/>
      <c r="AL36" s="43"/>
      <c r="AM36" s="37">
        <v>0.3</v>
      </c>
      <c r="AN36" s="38" t="e">
        <f t="shared" si="7"/>
        <v>#VALUE!</v>
      </c>
      <c r="AS36" s="39"/>
      <c r="AT36" s="39"/>
    </row>
    <row r="37" spans="1:46" ht="53.25" customHeight="1" thickTop="1" thickBot="1" x14ac:dyDescent="0.4">
      <c r="A37" s="19" t="s">
        <v>90</v>
      </c>
      <c r="B37" s="19">
        <v>238568</v>
      </c>
      <c r="C37" s="19"/>
      <c r="D37" s="19"/>
      <c r="E37" s="19"/>
      <c r="F37" s="20" t="s">
        <v>75</v>
      </c>
      <c r="G37" s="21" t="s">
        <v>138</v>
      </c>
      <c r="H37" s="22" t="s">
        <v>37</v>
      </c>
      <c r="I37" s="23" t="s">
        <v>57</v>
      </c>
      <c r="J37" s="22"/>
      <c r="K37" s="22"/>
      <c r="L37" s="22"/>
      <c r="M37" s="22" t="s">
        <v>37</v>
      </c>
      <c r="N37" s="40"/>
      <c r="O37" s="46"/>
      <c r="P37" s="46"/>
      <c r="Q37" s="48" t="s">
        <v>76</v>
      </c>
      <c r="R37" s="46"/>
      <c r="S37" s="41" t="s">
        <v>61</v>
      </c>
      <c r="T37" s="24"/>
      <c r="U37" s="46" t="s">
        <v>37</v>
      </c>
      <c r="V37" s="47">
        <v>11250</v>
      </c>
      <c r="W37" s="54">
        <v>10.67</v>
      </c>
      <c r="X37" s="55">
        <v>1493.67</v>
      </c>
      <c r="Y37" s="56">
        <f>'Přehled všech '!Y37</f>
        <v>1344.3030000000001</v>
      </c>
      <c r="Z37" s="58">
        <f t="shared" si="1"/>
        <v>125.98903467666355</v>
      </c>
      <c r="AA37" s="58"/>
      <c r="AB37" s="58"/>
      <c r="AC37" s="31">
        <f>'Přehled všech '!AC37</f>
        <v>134.43030000000002</v>
      </c>
      <c r="AD37" s="31"/>
      <c r="AE37" s="31">
        <f>'Přehled všech '!AE37</f>
        <v>268.86060000000003</v>
      </c>
      <c r="AF37" s="59"/>
      <c r="AG37" s="42"/>
      <c r="AH37" s="43"/>
      <c r="AI37" s="43"/>
      <c r="AJ37" s="43"/>
      <c r="AK37" s="45">
        <f>AC37/AS37</f>
        <v>1.2570628389751264</v>
      </c>
      <c r="AL37" s="43"/>
      <c r="AM37" s="37">
        <f>'Přehled všech '!AM37</f>
        <v>0.1</v>
      </c>
      <c r="AN37" s="38">
        <f t="shared" si="7"/>
        <v>149.36700000000002</v>
      </c>
      <c r="AO37" s="62" t="e">
        <f>(AC37-AC49)/AS37</f>
        <v>#VALUE!</v>
      </c>
      <c r="AS37" s="39">
        <v>106.94</v>
      </c>
      <c r="AT37" s="39"/>
    </row>
    <row r="38" spans="1:46" ht="63" customHeight="1" thickTop="1" thickBot="1" x14ac:dyDescent="0.4">
      <c r="A38" s="19" t="s">
        <v>91</v>
      </c>
      <c r="B38" s="19">
        <v>238571</v>
      </c>
      <c r="C38" s="19"/>
      <c r="D38" s="19"/>
      <c r="E38" s="19"/>
      <c r="F38" s="20" t="s">
        <v>75</v>
      </c>
      <c r="G38" s="21" t="s">
        <v>138</v>
      </c>
      <c r="H38" s="22" t="s">
        <v>37</v>
      </c>
      <c r="I38" s="23" t="s">
        <v>57</v>
      </c>
      <c r="J38" s="22"/>
      <c r="K38" s="22"/>
      <c r="L38" s="22"/>
      <c r="M38" s="22" t="s">
        <v>37</v>
      </c>
      <c r="N38" s="40"/>
      <c r="O38" s="46"/>
      <c r="P38" s="46"/>
      <c r="Q38" s="46"/>
      <c r="R38" s="48" t="s">
        <v>78</v>
      </c>
      <c r="S38" s="46"/>
      <c r="T38" s="41" t="s">
        <v>79</v>
      </c>
      <c r="U38" s="46" t="s">
        <v>37</v>
      </c>
      <c r="V38" s="47">
        <v>11250</v>
      </c>
      <c r="W38" s="54">
        <v>13.33</v>
      </c>
      <c r="X38" s="55">
        <v>1886.49</v>
      </c>
      <c r="Y38" s="56">
        <f>'Přehled všech '!Y38</f>
        <v>1697.8409999999999</v>
      </c>
      <c r="Z38" s="58">
        <f t="shared" si="1"/>
        <v>127.36991747936983</v>
      </c>
      <c r="AA38" s="58"/>
      <c r="AB38" s="58"/>
      <c r="AC38" s="31">
        <f>'Přehled všech '!AC38</f>
        <v>169.7841</v>
      </c>
      <c r="AD38" s="31"/>
      <c r="AE38" s="31">
        <f>'Přehled všech '!AE38</f>
        <v>339.56819999999999</v>
      </c>
      <c r="AF38" s="59"/>
      <c r="AG38" s="42"/>
      <c r="AH38" s="43"/>
      <c r="AI38" s="43"/>
      <c r="AJ38" s="43"/>
      <c r="AK38" s="43"/>
      <c r="AL38" s="43"/>
      <c r="AM38" s="37">
        <f>'Přehled všech '!AM38</f>
        <v>0.1</v>
      </c>
      <c r="AN38" s="63">
        <f t="shared" si="7"/>
        <v>188.649</v>
      </c>
      <c r="AO38" s="64"/>
      <c r="AP38" s="64"/>
      <c r="AQ38" s="64"/>
      <c r="AR38" s="64"/>
      <c r="AS38" s="65"/>
    </row>
    <row r="39" spans="1:46" ht="38.25" customHeight="1" thickTop="1" thickBot="1" x14ac:dyDescent="0.4">
      <c r="A39" s="19" t="s">
        <v>92</v>
      </c>
      <c r="B39" s="19">
        <v>258276</v>
      </c>
      <c r="C39" s="19">
        <v>120.23</v>
      </c>
      <c r="D39" s="19">
        <v>368.16</v>
      </c>
      <c r="E39" s="19">
        <v>101.8</v>
      </c>
      <c r="F39" s="20" t="s">
        <v>93</v>
      </c>
      <c r="G39" s="21" t="s">
        <v>137</v>
      </c>
      <c r="H39" s="22" t="s">
        <v>37</v>
      </c>
      <c r="I39" s="23" t="s">
        <v>94</v>
      </c>
      <c r="J39" s="24" t="s">
        <v>46</v>
      </c>
      <c r="K39" s="24" t="s">
        <v>95</v>
      </c>
      <c r="L39" s="22"/>
      <c r="M39" s="22" t="s">
        <v>37</v>
      </c>
      <c r="N39" s="23" t="s">
        <v>40</v>
      </c>
      <c r="O39" s="46"/>
      <c r="P39" s="46"/>
      <c r="Q39" s="46"/>
      <c r="R39" s="46"/>
      <c r="S39" s="46"/>
      <c r="T39" s="46"/>
      <c r="U39" s="46" t="s">
        <v>37</v>
      </c>
      <c r="V39" s="47">
        <v>5700</v>
      </c>
      <c r="W39" s="54">
        <v>5</v>
      </c>
      <c r="X39" s="95">
        <v>434.05</v>
      </c>
      <c r="Y39" s="56">
        <f t="shared" si="0"/>
        <v>381.964</v>
      </c>
      <c r="Z39" s="58">
        <f t="shared" si="1"/>
        <v>76.392799999999994</v>
      </c>
      <c r="AA39" s="30">
        <f>Y39/10</f>
        <v>38.196399999999997</v>
      </c>
      <c r="AB39" s="101" t="s">
        <v>147</v>
      </c>
      <c r="AC39" s="59"/>
      <c r="AD39" s="59"/>
      <c r="AE39" s="59"/>
      <c r="AF39" s="32">
        <f>Z39/AP39</f>
        <v>2.315635040921491</v>
      </c>
      <c r="AG39" s="60"/>
      <c r="AH39" s="80"/>
      <c r="AI39" s="84"/>
      <c r="AJ39" s="77">
        <f t="shared" ref="AJ39" si="9">AA39/AR39</f>
        <v>1.9527811860940696</v>
      </c>
      <c r="AK39" s="84"/>
      <c r="AL39" s="84"/>
      <c r="AM39" s="37">
        <v>0.12</v>
      </c>
      <c r="AN39" s="63">
        <f t="shared" si="7"/>
        <v>52.085999999999999</v>
      </c>
      <c r="AO39" s="64"/>
      <c r="AP39" s="39">
        <v>32.99</v>
      </c>
      <c r="AQ39" s="39">
        <v>32.99</v>
      </c>
      <c r="AR39" s="39">
        <v>19.559999999999999</v>
      </c>
      <c r="AS39" s="64"/>
    </row>
    <row r="40" spans="1:46" ht="39" customHeight="1" thickTop="1" thickBot="1" x14ac:dyDescent="0.4">
      <c r="A40" s="19" t="s">
        <v>96</v>
      </c>
      <c r="B40" s="19">
        <v>258283</v>
      </c>
      <c r="C40" s="19">
        <v>141.61000000000001</v>
      </c>
      <c r="D40" s="19">
        <v>490.89</v>
      </c>
      <c r="E40" s="19">
        <v>89.53</v>
      </c>
      <c r="F40" s="20" t="s">
        <v>93</v>
      </c>
      <c r="G40" s="21" t="s">
        <v>137</v>
      </c>
      <c r="H40" s="22" t="s">
        <v>37</v>
      </c>
      <c r="I40" s="23" t="s">
        <v>97</v>
      </c>
      <c r="J40" s="22"/>
      <c r="K40" s="24" t="s">
        <v>98</v>
      </c>
      <c r="L40" s="24" t="s">
        <v>99</v>
      </c>
      <c r="M40" s="22" t="s">
        <v>37</v>
      </c>
      <c r="N40" s="23" t="s">
        <v>40</v>
      </c>
      <c r="O40" s="46"/>
      <c r="P40" s="46"/>
      <c r="Q40" s="46"/>
      <c r="R40" s="46"/>
      <c r="S40" s="46"/>
      <c r="T40" s="46"/>
      <c r="U40" s="46" t="s">
        <v>37</v>
      </c>
      <c r="V40" s="47">
        <v>5700</v>
      </c>
      <c r="W40" s="54">
        <v>6.67</v>
      </c>
      <c r="X40" s="95">
        <v>512.89</v>
      </c>
      <c r="Y40" s="56">
        <f t="shared" si="0"/>
        <v>451.34319999999997</v>
      </c>
      <c r="Z40" s="58">
        <f t="shared" si="1"/>
        <v>67.667646176911546</v>
      </c>
      <c r="AA40" s="30">
        <f>Y40/10</f>
        <v>45.134319999999995</v>
      </c>
      <c r="AB40" s="102" t="s">
        <v>152</v>
      </c>
      <c r="AC40" s="59"/>
      <c r="AD40" s="59"/>
      <c r="AE40" s="59"/>
      <c r="AF40" s="32">
        <f>Z40/AP40</f>
        <v>2.0511562951473641</v>
      </c>
      <c r="AG40" s="60"/>
      <c r="AH40" s="85">
        <f t="shared" ref="AH40" si="10">AA40/AP40</f>
        <v>1.3681212488632917</v>
      </c>
      <c r="AI40" s="79">
        <f>AA40/AQ40</f>
        <v>1.3681212488632917</v>
      </c>
      <c r="AJ40" s="76"/>
      <c r="AK40" s="84"/>
      <c r="AL40" s="84"/>
      <c r="AM40" s="37">
        <v>0.12</v>
      </c>
      <c r="AN40" s="38">
        <f t="shared" si="7"/>
        <v>61.546799999999998</v>
      </c>
      <c r="AP40" s="39">
        <v>32.99</v>
      </c>
      <c r="AQ40" s="39">
        <v>32.99</v>
      </c>
      <c r="AR40" s="39">
        <v>19.559999999999999</v>
      </c>
    </row>
    <row r="41" spans="1:46" ht="39" customHeight="1" thickTop="1" thickBot="1" x14ac:dyDescent="0.4">
      <c r="A41" s="19" t="s">
        <v>96</v>
      </c>
      <c r="B41" s="19">
        <v>258283</v>
      </c>
      <c r="C41" s="19">
        <v>141.61000000000001</v>
      </c>
      <c r="D41" s="19">
        <v>490.89</v>
      </c>
      <c r="E41" s="19">
        <v>89.53</v>
      </c>
      <c r="F41" s="20" t="s">
        <v>93</v>
      </c>
      <c r="G41" s="21" t="s">
        <v>137</v>
      </c>
      <c r="H41" s="22" t="s">
        <v>37</v>
      </c>
      <c r="I41" s="23" t="s">
        <v>97</v>
      </c>
      <c r="J41" s="22"/>
      <c r="K41" s="22"/>
      <c r="L41" s="22"/>
      <c r="M41" s="22" t="s">
        <v>37</v>
      </c>
      <c r="N41" s="40"/>
      <c r="O41" s="46"/>
      <c r="P41" s="41" t="s">
        <v>100</v>
      </c>
      <c r="Q41" s="46"/>
      <c r="R41" s="46"/>
      <c r="S41" s="46"/>
      <c r="T41" s="46"/>
      <c r="U41" s="46" t="s">
        <v>37</v>
      </c>
      <c r="V41" s="47">
        <v>14250</v>
      </c>
      <c r="W41" s="54">
        <v>2.67</v>
      </c>
      <c r="X41" s="95">
        <v>512.89</v>
      </c>
      <c r="Y41" s="56">
        <f t="shared" si="0"/>
        <v>451.34319999999997</v>
      </c>
      <c r="Z41" s="58">
        <f t="shared" si="1"/>
        <v>169.04239700374532</v>
      </c>
      <c r="AA41" s="58"/>
      <c r="AB41" s="100"/>
      <c r="AC41" s="59"/>
      <c r="AD41" s="59"/>
      <c r="AE41" s="72">
        <f>Y41/5</f>
        <v>90.268639999999991</v>
      </c>
      <c r="AF41" s="59"/>
      <c r="AG41" s="42"/>
      <c r="AH41" s="88"/>
      <c r="AI41" s="88"/>
      <c r="AJ41" s="88"/>
      <c r="AK41" s="88"/>
      <c r="AL41" s="88"/>
      <c r="AM41" s="37">
        <v>0.12</v>
      </c>
      <c r="AN41" s="38">
        <f t="shared" si="7"/>
        <v>61.546799999999998</v>
      </c>
      <c r="AP41" s="39">
        <v>32.99</v>
      </c>
      <c r="AQ41" s="39">
        <v>32.99</v>
      </c>
      <c r="AR41" s="39">
        <v>19.559999999999999</v>
      </c>
      <c r="AS41" s="39"/>
    </row>
    <row r="42" spans="1:46" ht="39" customHeight="1" thickTop="1" thickBot="1" x14ac:dyDescent="0.4">
      <c r="A42" s="19" t="s">
        <v>101</v>
      </c>
      <c r="B42" s="19">
        <v>258278</v>
      </c>
      <c r="C42" s="19">
        <v>173.67</v>
      </c>
      <c r="D42" s="19">
        <v>736.33</v>
      </c>
      <c r="E42" s="19">
        <v>14.24</v>
      </c>
      <c r="F42" s="20" t="s">
        <v>93</v>
      </c>
      <c r="G42" s="21" t="s">
        <v>137</v>
      </c>
      <c r="H42" s="22" t="s">
        <v>37</v>
      </c>
      <c r="I42" s="23" t="s">
        <v>102</v>
      </c>
      <c r="J42" s="22"/>
      <c r="K42" s="24" t="s">
        <v>103</v>
      </c>
      <c r="L42" s="24" t="s">
        <v>104</v>
      </c>
      <c r="M42" s="22" t="s">
        <v>37</v>
      </c>
      <c r="N42" s="23" t="s">
        <v>40</v>
      </c>
      <c r="O42" s="46"/>
      <c r="P42" s="46"/>
      <c r="Q42" s="46"/>
      <c r="R42" s="46"/>
      <c r="S42" s="46"/>
      <c r="T42" s="46"/>
      <c r="U42" s="46" t="s">
        <v>37</v>
      </c>
      <c r="V42" s="47">
        <v>5700</v>
      </c>
      <c r="W42" s="54">
        <v>10</v>
      </c>
      <c r="X42" s="95">
        <v>688.17</v>
      </c>
      <c r="Y42" s="56">
        <f t="shared" si="0"/>
        <v>605.58960000000002</v>
      </c>
      <c r="Z42" s="58">
        <f t="shared" si="1"/>
        <v>60.558959999999999</v>
      </c>
      <c r="AA42" s="30">
        <f>Y42/10</f>
        <v>60.558959999999999</v>
      </c>
      <c r="AB42" s="102" t="s">
        <v>153</v>
      </c>
      <c r="AC42" s="59"/>
      <c r="AD42" s="59"/>
      <c r="AE42" s="59"/>
      <c r="AF42" s="32">
        <f>Z42/AP42</f>
        <v>1.8356762655350105</v>
      </c>
      <c r="AG42" s="60"/>
      <c r="AH42" s="86"/>
      <c r="AI42" s="79">
        <f>AA42/AQ42</f>
        <v>1.8356762655350105</v>
      </c>
      <c r="AJ42" s="76"/>
      <c r="AK42" s="84"/>
      <c r="AL42" s="84"/>
      <c r="AM42" s="37">
        <v>0.12</v>
      </c>
      <c r="AN42" s="38">
        <f t="shared" si="7"/>
        <v>82.580399999999997</v>
      </c>
      <c r="AP42" s="39">
        <v>32.99</v>
      </c>
      <c r="AQ42" s="39">
        <v>32.99</v>
      </c>
      <c r="AR42" s="39">
        <v>19.559999999999999</v>
      </c>
    </row>
    <row r="43" spans="1:46" ht="43.5" customHeight="1" thickTop="1" thickBot="1" x14ac:dyDescent="0.4">
      <c r="A43" s="19" t="s">
        <v>101</v>
      </c>
      <c r="B43" s="19">
        <v>258278</v>
      </c>
      <c r="C43" s="19">
        <v>173.67</v>
      </c>
      <c r="D43" s="19">
        <v>736.33</v>
      </c>
      <c r="E43" s="19">
        <v>14.24</v>
      </c>
      <c r="F43" s="20" t="s">
        <v>93</v>
      </c>
      <c r="G43" s="21" t="s">
        <v>137</v>
      </c>
      <c r="H43" s="22" t="s">
        <v>37</v>
      </c>
      <c r="I43" s="23" t="s">
        <v>102</v>
      </c>
      <c r="J43" s="22"/>
      <c r="K43" s="22"/>
      <c r="L43" s="22"/>
      <c r="M43" s="22" t="s">
        <v>37</v>
      </c>
      <c r="N43" s="40"/>
      <c r="O43" s="46"/>
      <c r="P43" s="41" t="s">
        <v>105</v>
      </c>
      <c r="Q43" s="41" t="s">
        <v>106</v>
      </c>
      <c r="R43" s="46"/>
      <c r="S43" s="41" t="s">
        <v>107</v>
      </c>
      <c r="T43" s="41" t="s">
        <v>108</v>
      </c>
      <c r="U43" s="46" t="s">
        <v>37</v>
      </c>
      <c r="V43" s="47">
        <v>14250</v>
      </c>
      <c r="W43" s="54">
        <v>4</v>
      </c>
      <c r="X43" s="95">
        <v>688.17</v>
      </c>
      <c r="Y43" s="56">
        <f t="shared" si="0"/>
        <v>605.58960000000002</v>
      </c>
      <c r="Z43" s="58">
        <f t="shared" si="1"/>
        <v>151.3974</v>
      </c>
      <c r="AA43" s="58"/>
      <c r="AB43" s="100"/>
      <c r="AC43" s="59"/>
      <c r="AD43" s="59"/>
      <c r="AE43" s="31">
        <f>Y43/5</f>
        <v>121.11792</v>
      </c>
      <c r="AF43" s="59"/>
      <c r="AG43" s="111">
        <f>Y43/2.5</f>
        <v>242.23584</v>
      </c>
      <c r="AH43" s="92"/>
      <c r="AI43" s="92"/>
      <c r="AJ43" s="92"/>
      <c r="AK43" s="93"/>
      <c r="AL43" s="92"/>
      <c r="AM43" s="37">
        <v>0.12</v>
      </c>
      <c r="AN43" s="38">
        <f t="shared" si="7"/>
        <v>82.580399999999997</v>
      </c>
      <c r="AP43" s="39">
        <v>32.99</v>
      </c>
      <c r="AQ43" s="39">
        <v>32.99</v>
      </c>
      <c r="AR43" s="39">
        <v>19.559999999999999</v>
      </c>
      <c r="AS43" s="39"/>
      <c r="AT43" s="39"/>
    </row>
    <row r="44" spans="1:46" ht="45.75" customHeight="1" thickTop="1" thickBot="1" x14ac:dyDescent="0.4">
      <c r="A44" s="19" t="s">
        <v>109</v>
      </c>
      <c r="B44" s="19">
        <v>258274</v>
      </c>
      <c r="C44" s="19">
        <v>242.19</v>
      </c>
      <c r="D44" s="19">
        <v>923.75</v>
      </c>
      <c r="E44" s="19">
        <v>237.91</v>
      </c>
      <c r="F44" s="20" t="s">
        <v>93</v>
      </c>
      <c r="G44" s="21" t="s">
        <v>137</v>
      </c>
      <c r="H44" s="22" t="s">
        <v>37</v>
      </c>
      <c r="I44" s="23"/>
      <c r="J44" s="22"/>
      <c r="K44" s="22"/>
      <c r="L44" s="22"/>
      <c r="M44" s="22" t="s">
        <v>37</v>
      </c>
      <c r="N44" s="40"/>
      <c r="O44" s="46"/>
      <c r="P44" s="46"/>
      <c r="Q44" s="41" t="s">
        <v>110</v>
      </c>
      <c r="R44" s="41" t="s">
        <v>111</v>
      </c>
      <c r="S44" s="46"/>
      <c r="T44" s="24"/>
      <c r="U44" s="46" t="s">
        <v>37</v>
      </c>
      <c r="V44" s="47">
        <v>14250</v>
      </c>
      <c r="W44" s="54">
        <v>5.33</v>
      </c>
      <c r="X44" s="55">
        <v>841.28</v>
      </c>
      <c r="Y44" s="56">
        <f t="shared" si="0"/>
        <v>740.32639999999992</v>
      </c>
      <c r="Z44" s="58">
        <f t="shared" si="1"/>
        <v>138.89801125703562</v>
      </c>
      <c r="AA44" s="58"/>
      <c r="AB44" s="100"/>
      <c r="AC44" s="59"/>
      <c r="AD44" s="59"/>
      <c r="AE44" s="106">
        <f>Y44/5</f>
        <v>148.06527999999997</v>
      </c>
      <c r="AF44" s="59"/>
      <c r="AG44" s="42"/>
      <c r="AH44" s="88"/>
      <c r="AI44" s="88"/>
      <c r="AJ44" s="88"/>
      <c r="AK44" s="90"/>
      <c r="AL44" s="91">
        <f>AE44/AT44</f>
        <v>1.2870764951321276</v>
      </c>
      <c r="AM44" s="37">
        <v>0.12</v>
      </c>
      <c r="AN44" s="38">
        <f t="shared" si="7"/>
        <v>100.95359999999999</v>
      </c>
      <c r="AP44" s="39">
        <v>32.99</v>
      </c>
      <c r="AQ44" s="39">
        <v>32.99</v>
      </c>
      <c r="AR44" s="39">
        <v>19.559999999999999</v>
      </c>
      <c r="AS44" s="39"/>
      <c r="AT44" s="39">
        <v>115.04</v>
      </c>
    </row>
    <row r="45" spans="1:46" ht="45.75" customHeight="1" thickTop="1" thickBot="1" x14ac:dyDescent="0.4">
      <c r="A45" s="19" t="s">
        <v>112</v>
      </c>
      <c r="B45" s="19">
        <v>258279</v>
      </c>
      <c r="C45" s="19">
        <v>277.27999999999997</v>
      </c>
      <c r="D45" s="19">
        <v>1154.68</v>
      </c>
      <c r="E45" s="19">
        <v>217.51</v>
      </c>
      <c r="F45" s="20" t="s">
        <v>93</v>
      </c>
      <c r="G45" s="21" t="s">
        <v>137</v>
      </c>
      <c r="H45" s="22" t="s">
        <v>37</v>
      </c>
      <c r="I45" s="23"/>
      <c r="J45" s="22"/>
      <c r="K45" s="22"/>
      <c r="L45" s="22"/>
      <c r="M45" s="22" t="s">
        <v>37</v>
      </c>
      <c r="N45" s="40"/>
      <c r="O45" s="46"/>
      <c r="P45" s="46"/>
      <c r="Q45" s="46"/>
      <c r="R45" s="41" t="s">
        <v>113</v>
      </c>
      <c r="S45" s="41" t="s">
        <v>114</v>
      </c>
      <c r="T45" s="46"/>
      <c r="U45" s="46" t="s">
        <v>37</v>
      </c>
      <c r="V45" s="47">
        <v>14250</v>
      </c>
      <c r="W45" s="54">
        <v>6.67</v>
      </c>
      <c r="X45" s="55">
        <v>1097.8599999999999</v>
      </c>
      <c r="Y45" s="56">
        <f t="shared" si="0"/>
        <v>966.1167999999999</v>
      </c>
      <c r="Z45" s="58">
        <f t="shared" si="1"/>
        <v>144.84509745127434</v>
      </c>
      <c r="AA45" s="58"/>
      <c r="AB45" s="100"/>
      <c r="AC45" s="59"/>
      <c r="AD45" s="59"/>
      <c r="AE45" s="31">
        <f>Y45/5</f>
        <v>193.22335999999999</v>
      </c>
      <c r="AF45" s="59"/>
      <c r="AG45" s="42"/>
      <c r="AH45" s="88"/>
      <c r="AI45" s="88"/>
      <c r="AJ45" s="88"/>
      <c r="AK45" s="88"/>
      <c r="AL45" s="88"/>
      <c r="AM45" s="37">
        <v>0.12</v>
      </c>
      <c r="AN45" s="38">
        <f t="shared" si="7"/>
        <v>131.74319999999997</v>
      </c>
      <c r="AP45" s="39">
        <v>32.99</v>
      </c>
      <c r="AQ45" s="39">
        <v>32.99</v>
      </c>
      <c r="AR45" s="39">
        <v>19.559999999999999</v>
      </c>
      <c r="AS45" s="39"/>
    </row>
    <row r="46" spans="1:46" ht="45" customHeight="1" thickTop="1" thickBot="1" x14ac:dyDescent="0.4">
      <c r="A46" s="19" t="s">
        <v>115</v>
      </c>
      <c r="B46" s="19">
        <v>258287</v>
      </c>
      <c r="C46" s="19">
        <v>299.13</v>
      </c>
      <c r="D46" s="19">
        <v>1385.62</v>
      </c>
      <c r="E46" s="19">
        <v>136.06</v>
      </c>
      <c r="F46" s="20" t="s">
        <v>116</v>
      </c>
      <c r="G46" s="21" t="s">
        <v>137</v>
      </c>
      <c r="H46" s="22"/>
      <c r="I46" s="22"/>
      <c r="J46" s="22"/>
      <c r="K46" s="22"/>
      <c r="L46" s="22"/>
      <c r="M46" s="22" t="s">
        <v>37</v>
      </c>
      <c r="N46" s="40"/>
      <c r="O46" s="46"/>
      <c r="P46" s="41" t="s">
        <v>117</v>
      </c>
      <c r="Q46" s="41" t="s">
        <v>118</v>
      </c>
      <c r="R46" s="46"/>
      <c r="S46" s="41" t="s">
        <v>119</v>
      </c>
      <c r="T46" s="41" t="s">
        <v>120</v>
      </c>
      <c r="U46" s="46" t="s">
        <v>37</v>
      </c>
      <c r="V46" s="47">
        <v>14250</v>
      </c>
      <c r="W46" s="27">
        <v>8</v>
      </c>
      <c r="X46" s="66">
        <v>1112.67</v>
      </c>
      <c r="Y46" s="56">
        <f t="shared" si="0"/>
        <v>979.14960000000008</v>
      </c>
      <c r="Z46" s="58">
        <f t="shared" si="1"/>
        <v>122.39370000000001</v>
      </c>
      <c r="AA46" s="58"/>
      <c r="AB46" s="100"/>
      <c r="AC46" s="31">
        <f>Y46/10</f>
        <v>97.914960000000008</v>
      </c>
      <c r="AD46" s="72">
        <f>Y46/5</f>
        <v>195.82992000000002</v>
      </c>
      <c r="AE46" s="59"/>
      <c r="AF46" s="59"/>
      <c r="AG46" s="42"/>
      <c r="AH46" s="88"/>
      <c r="AI46" s="88"/>
      <c r="AJ46" s="88"/>
      <c r="AK46" s="90"/>
      <c r="AL46" s="88"/>
      <c r="AM46" s="37">
        <v>0.12</v>
      </c>
      <c r="AN46" s="38">
        <f t="shared" si="7"/>
        <v>133.5204</v>
      </c>
      <c r="AP46" s="39">
        <v>32.99</v>
      </c>
      <c r="AQ46" s="39">
        <v>32.99</v>
      </c>
      <c r="AR46" s="39">
        <v>19.559999999999999</v>
      </c>
      <c r="AS46" s="39"/>
      <c r="AT46" s="39"/>
    </row>
    <row r="47" spans="1:46" ht="43.5" customHeight="1" thickTop="1" thickBot="1" x14ac:dyDescent="0.4">
      <c r="A47" s="19" t="s">
        <v>121</v>
      </c>
      <c r="B47" s="19">
        <v>213479</v>
      </c>
      <c r="C47" s="19">
        <v>108.41</v>
      </c>
      <c r="D47" s="19">
        <v>277.13</v>
      </c>
      <c r="E47" s="19">
        <v>139.79</v>
      </c>
      <c r="F47" s="20" t="s">
        <v>116</v>
      </c>
      <c r="G47" s="21" t="s">
        <v>137</v>
      </c>
      <c r="H47" s="22"/>
      <c r="I47" s="22"/>
      <c r="J47" s="22"/>
      <c r="K47" s="22"/>
      <c r="L47" s="22"/>
      <c r="M47" s="22" t="s">
        <v>37</v>
      </c>
      <c r="N47" s="40"/>
      <c r="O47" s="46"/>
      <c r="P47" s="41" t="s">
        <v>117</v>
      </c>
      <c r="Q47" s="41" t="s">
        <v>118</v>
      </c>
      <c r="R47" s="46"/>
      <c r="S47" s="41" t="s">
        <v>119</v>
      </c>
      <c r="T47" s="41" t="s">
        <v>120</v>
      </c>
      <c r="U47" s="46" t="s">
        <v>37</v>
      </c>
      <c r="V47" s="47">
        <v>14250</v>
      </c>
      <c r="W47" s="27">
        <v>1.6</v>
      </c>
      <c r="X47" s="243" t="s">
        <v>419</v>
      </c>
      <c r="Y47" s="56" t="e">
        <f t="shared" si="0"/>
        <v>#VALUE!</v>
      </c>
      <c r="Z47" s="58" t="e">
        <f t="shared" si="1"/>
        <v>#VALUE!</v>
      </c>
      <c r="AA47" s="58"/>
      <c r="AB47" s="100"/>
      <c r="AC47" s="31" t="e">
        <f>Y47/2</f>
        <v>#VALUE!</v>
      </c>
      <c r="AD47" s="31" t="e">
        <f>Y47</f>
        <v>#VALUE!</v>
      </c>
      <c r="AE47" s="59"/>
      <c r="AF47" s="59"/>
      <c r="AG47" s="42"/>
      <c r="AH47" s="88"/>
      <c r="AI47" s="88"/>
      <c r="AJ47" s="88"/>
      <c r="AK47" s="90"/>
      <c r="AL47" s="88"/>
      <c r="AM47" s="37">
        <v>0.12</v>
      </c>
      <c r="AN47" s="38" t="e">
        <f t="shared" si="7"/>
        <v>#VALUE!</v>
      </c>
      <c r="AP47" s="39">
        <v>32.99</v>
      </c>
      <c r="AQ47" s="39">
        <v>32.99</v>
      </c>
      <c r="AR47" s="39">
        <v>19.559999999999999</v>
      </c>
      <c r="AS47" s="39"/>
      <c r="AT47" s="39"/>
    </row>
    <row r="48" spans="1:46" ht="43.5" customHeight="1" thickTop="1" thickBot="1" x14ac:dyDescent="0.4">
      <c r="A48" s="19" t="s">
        <v>122</v>
      </c>
      <c r="B48" s="19">
        <v>258289</v>
      </c>
      <c r="C48" s="19">
        <v>359.53</v>
      </c>
      <c r="D48" s="19">
        <v>1847.49</v>
      </c>
      <c r="E48" s="19">
        <v>89.88</v>
      </c>
      <c r="F48" s="20" t="s">
        <v>116</v>
      </c>
      <c r="G48" s="21" t="s">
        <v>137</v>
      </c>
      <c r="H48" s="22"/>
      <c r="I48" s="22"/>
      <c r="J48" s="22"/>
      <c r="K48" s="22"/>
      <c r="L48" s="22"/>
      <c r="M48" s="22" t="s">
        <v>37</v>
      </c>
      <c r="N48" s="40"/>
      <c r="O48" s="46"/>
      <c r="P48" s="46"/>
      <c r="Q48" s="41" t="s">
        <v>123</v>
      </c>
      <c r="R48" s="41" t="s">
        <v>124</v>
      </c>
      <c r="S48" s="46"/>
      <c r="T48" s="46"/>
      <c r="U48" s="46" t="s">
        <v>37</v>
      </c>
      <c r="V48" s="47">
        <v>14250</v>
      </c>
      <c r="W48" s="27">
        <v>10.67</v>
      </c>
      <c r="X48" s="66">
        <v>1509.72</v>
      </c>
      <c r="Y48" s="56">
        <f t="shared" si="0"/>
        <v>1328.5536</v>
      </c>
      <c r="Z48" s="58">
        <f t="shared" si="1"/>
        <v>124.51298969072165</v>
      </c>
      <c r="AA48" s="58"/>
      <c r="AB48" s="100"/>
      <c r="AC48" s="106">
        <f>Y48/10</f>
        <v>132.85535999999999</v>
      </c>
      <c r="AD48" s="31"/>
      <c r="AE48" s="59"/>
      <c r="AF48" s="59"/>
      <c r="AG48" s="42"/>
      <c r="AH48" s="88"/>
      <c r="AI48" s="88"/>
      <c r="AJ48" s="88"/>
      <c r="AK48" s="89">
        <f t="shared" ref="AK48" si="11">AC48/AS48</f>
        <v>0.96035391065490805</v>
      </c>
      <c r="AL48" s="88"/>
      <c r="AM48" s="37">
        <v>0.12</v>
      </c>
      <c r="AN48" s="38">
        <f t="shared" si="7"/>
        <v>181.16640000000001</v>
      </c>
      <c r="AP48" s="39">
        <v>32.99</v>
      </c>
      <c r="AQ48" s="39">
        <v>32.99</v>
      </c>
      <c r="AR48" s="39">
        <v>19.559999999999999</v>
      </c>
      <c r="AS48" s="39">
        <v>138.34</v>
      </c>
      <c r="AT48" s="39"/>
    </row>
    <row r="49" spans="1:46" ht="43.5" customHeight="1" thickTop="1" thickBot="1" x14ac:dyDescent="0.4">
      <c r="A49" s="19" t="s">
        <v>125</v>
      </c>
      <c r="B49" s="19">
        <v>213481</v>
      </c>
      <c r="C49" s="19">
        <v>110.34</v>
      </c>
      <c r="D49" s="19">
        <v>369.49</v>
      </c>
      <c r="E49" s="19">
        <v>55.26</v>
      </c>
      <c r="F49" s="20" t="s">
        <v>116</v>
      </c>
      <c r="G49" s="21" t="s">
        <v>137</v>
      </c>
      <c r="H49" s="22"/>
      <c r="I49" s="22"/>
      <c r="J49" s="22"/>
      <c r="K49" s="22"/>
      <c r="L49" s="22"/>
      <c r="M49" s="22" t="s">
        <v>37</v>
      </c>
      <c r="N49" s="40"/>
      <c r="O49" s="46"/>
      <c r="P49" s="46"/>
      <c r="Q49" s="41" t="s">
        <v>123</v>
      </c>
      <c r="R49" s="41" t="s">
        <v>126</v>
      </c>
      <c r="S49" s="46"/>
      <c r="T49" s="46"/>
      <c r="U49" s="46" t="s">
        <v>37</v>
      </c>
      <c r="V49" s="47">
        <v>14250</v>
      </c>
      <c r="W49" s="27">
        <v>2.13</v>
      </c>
      <c r="X49" s="243" t="s">
        <v>419</v>
      </c>
      <c r="Y49" s="56" t="e">
        <f t="shared" si="0"/>
        <v>#VALUE!</v>
      </c>
      <c r="Z49" s="58" t="e">
        <f t="shared" si="1"/>
        <v>#VALUE!</v>
      </c>
      <c r="AA49" s="58"/>
      <c r="AB49" s="100"/>
      <c r="AC49" s="105" t="e">
        <f>Y49/2</f>
        <v>#VALUE!</v>
      </c>
      <c r="AD49" s="31"/>
      <c r="AE49" s="59"/>
      <c r="AF49" s="59"/>
      <c r="AG49" s="42"/>
      <c r="AH49" s="88"/>
      <c r="AI49" s="88"/>
      <c r="AJ49" s="88"/>
      <c r="AK49" s="103" t="e">
        <f>AC49/AS49</f>
        <v>#VALUE!</v>
      </c>
      <c r="AL49" s="88"/>
      <c r="AM49" s="37">
        <v>0.12</v>
      </c>
      <c r="AN49" s="38" t="e">
        <f t="shared" si="7"/>
        <v>#VALUE!</v>
      </c>
      <c r="AP49" s="39">
        <v>32.99</v>
      </c>
      <c r="AQ49" s="39">
        <v>32.99</v>
      </c>
      <c r="AR49" s="39">
        <v>19.559999999999999</v>
      </c>
      <c r="AS49" s="39">
        <v>138.34</v>
      </c>
      <c r="AT49" s="39"/>
    </row>
    <row r="50" spans="1:46" ht="42" customHeight="1" thickTop="1" thickBot="1" x14ac:dyDescent="0.4">
      <c r="A50" s="19" t="s">
        <v>127</v>
      </c>
      <c r="B50" s="19">
        <v>258291</v>
      </c>
      <c r="C50" s="19">
        <v>419.93</v>
      </c>
      <c r="D50" s="19">
        <v>2309.37</v>
      </c>
      <c r="E50" s="19">
        <v>43.69</v>
      </c>
      <c r="F50" s="20" t="s">
        <v>116</v>
      </c>
      <c r="G50" s="21" t="s">
        <v>137</v>
      </c>
      <c r="H50" s="22"/>
      <c r="I50" s="22"/>
      <c r="J50" s="22"/>
      <c r="K50" s="22"/>
      <c r="L50" s="22"/>
      <c r="M50" s="22" t="s">
        <v>37</v>
      </c>
      <c r="N50" s="40"/>
      <c r="O50" s="46"/>
      <c r="P50" s="46"/>
      <c r="Q50" s="46"/>
      <c r="R50" s="41" t="s">
        <v>128</v>
      </c>
      <c r="S50" s="41" t="s">
        <v>129</v>
      </c>
      <c r="T50" s="46"/>
      <c r="U50" s="46" t="s">
        <v>37</v>
      </c>
      <c r="V50" s="47">
        <v>14250</v>
      </c>
      <c r="W50" s="54">
        <v>13.33</v>
      </c>
      <c r="X50" s="66">
        <v>1906.77</v>
      </c>
      <c r="Y50" s="56">
        <f t="shared" si="0"/>
        <v>1677.9576</v>
      </c>
      <c r="Z50" s="58">
        <f t="shared" si="1"/>
        <v>125.8782895723931</v>
      </c>
      <c r="AA50" s="58"/>
      <c r="AB50" s="100"/>
      <c r="AC50" s="31">
        <f>Y50/10</f>
        <v>167.79576</v>
      </c>
      <c r="AD50" s="31"/>
      <c r="AE50" s="59"/>
      <c r="AF50" s="59"/>
      <c r="AG50" s="42"/>
      <c r="AH50" s="88"/>
      <c r="AI50" s="88"/>
      <c r="AJ50" s="88"/>
      <c r="AK50" s="88"/>
      <c r="AL50" s="88"/>
      <c r="AM50" s="37">
        <v>0.12</v>
      </c>
      <c r="AN50" s="38">
        <f t="shared" si="7"/>
        <v>228.8124</v>
      </c>
      <c r="AP50" s="39">
        <v>32.99</v>
      </c>
      <c r="AQ50" s="39">
        <v>32.99</v>
      </c>
      <c r="AR50" s="39">
        <v>19.559999999999999</v>
      </c>
      <c r="AS50" s="39"/>
    </row>
    <row r="51" spans="1:46" ht="51.75" customHeight="1" thickTop="1" thickBot="1" x14ac:dyDescent="0.4">
      <c r="A51" s="19" t="s">
        <v>130</v>
      </c>
      <c r="B51" s="19">
        <v>26409</v>
      </c>
      <c r="C51" s="19">
        <v>400.03</v>
      </c>
      <c r="D51" s="19">
        <v>736.33</v>
      </c>
      <c r="E51" s="19">
        <v>100.08</v>
      </c>
      <c r="F51" s="19" t="s">
        <v>131</v>
      </c>
      <c r="G51" s="21" t="s">
        <v>137</v>
      </c>
      <c r="H51" s="22"/>
      <c r="I51" s="22"/>
      <c r="J51" s="22"/>
      <c r="K51" s="24" t="s">
        <v>39</v>
      </c>
      <c r="L51" s="24" t="s">
        <v>39</v>
      </c>
      <c r="M51" s="67"/>
      <c r="N51" s="24" t="s">
        <v>39</v>
      </c>
      <c r="O51" s="68"/>
      <c r="P51" s="68"/>
      <c r="Q51" s="68"/>
      <c r="R51" s="68"/>
      <c r="S51" s="68"/>
      <c r="T51" s="68"/>
      <c r="U51" s="68"/>
      <c r="V51" s="54">
        <v>2.5</v>
      </c>
      <c r="W51" s="54">
        <v>10</v>
      </c>
      <c r="X51" s="66">
        <v>564.54</v>
      </c>
      <c r="Y51" s="56">
        <f t="shared" si="0"/>
        <v>496.79519999999997</v>
      </c>
      <c r="Z51" s="58">
        <f t="shared" si="1"/>
        <v>49.679519999999997</v>
      </c>
      <c r="AA51" s="30">
        <f>Y51/10</f>
        <v>49.679519999999997</v>
      </c>
      <c r="AB51" s="102" t="s">
        <v>148</v>
      </c>
      <c r="AC51" s="59"/>
      <c r="AD51" s="59"/>
      <c r="AE51" s="59"/>
      <c r="AF51" s="32">
        <f>Z51/AP51</f>
        <v>1.5058963322218852</v>
      </c>
      <c r="AG51" s="60"/>
      <c r="AH51" s="78">
        <f>AA51/AP51</f>
        <v>1.5058963322218852</v>
      </c>
      <c r="AI51" s="79">
        <f>AA51/AQ51</f>
        <v>1.5058963322218852</v>
      </c>
      <c r="AJ51" s="76"/>
      <c r="AK51" s="84"/>
      <c r="AL51" s="84"/>
      <c r="AM51" s="37">
        <v>0.12</v>
      </c>
      <c r="AN51" s="38">
        <f t="shared" si="7"/>
        <v>67.744799999999998</v>
      </c>
      <c r="AP51" s="39">
        <v>32.99</v>
      </c>
      <c r="AQ51" s="39">
        <v>32.99</v>
      </c>
      <c r="AR51" s="39">
        <v>19.559999999999999</v>
      </c>
    </row>
    <row r="52" spans="1:46" ht="9" customHeight="1" thickTop="1" x14ac:dyDescent="0.35">
      <c r="G52" s="69"/>
      <c r="H52" s="69"/>
      <c r="I52" s="69"/>
      <c r="J52" s="69"/>
      <c r="K52" s="69"/>
      <c r="L52" s="69"/>
      <c r="O52" s="64"/>
      <c r="P52" s="64"/>
      <c r="Q52" s="64"/>
      <c r="R52" s="64"/>
      <c r="S52" s="64"/>
      <c r="T52" s="64"/>
    </row>
    <row r="53" spans="1:46" ht="15" thickBot="1" x14ac:dyDescent="0.4"/>
    <row r="54" spans="1:46" x14ac:dyDescent="0.35">
      <c r="A54" s="112" t="s">
        <v>227</v>
      </c>
      <c r="B54" s="121"/>
      <c r="C54" s="121"/>
      <c r="D54" s="122"/>
      <c r="E54" s="70"/>
    </row>
    <row r="55" spans="1:46" ht="16" thickBot="1" x14ac:dyDescent="0.4">
      <c r="A55" s="113" t="s">
        <v>298</v>
      </c>
      <c r="B55" s="123"/>
      <c r="C55" s="123"/>
      <c r="D55" s="124"/>
      <c r="E55" s="70"/>
    </row>
    <row r="56" spans="1:46" ht="15" thickBot="1" x14ac:dyDescent="0.4">
      <c r="A56" s="171" t="s">
        <v>163</v>
      </c>
      <c r="B56" s="172" t="s">
        <v>230</v>
      </c>
      <c r="C56" s="163" t="s">
        <v>162</v>
      </c>
      <c r="D56" s="125"/>
    </row>
    <row r="57" spans="1:46" ht="15" thickBot="1" x14ac:dyDescent="0.4">
      <c r="A57" s="114" t="s">
        <v>171</v>
      </c>
      <c r="B57" s="126" t="s">
        <v>160</v>
      </c>
      <c r="C57" s="132">
        <f>AA25*11</f>
        <v>267.79499999999996</v>
      </c>
      <c r="D57" s="127">
        <v>0.2</v>
      </c>
    </row>
    <row r="58" spans="1:46" ht="15" thickBot="1" x14ac:dyDescent="0.4">
      <c r="A58" s="146" t="s">
        <v>215</v>
      </c>
      <c r="B58" s="134" t="s">
        <v>165</v>
      </c>
      <c r="C58" s="135">
        <f>AA27*11</f>
        <v>525.69439999999997</v>
      </c>
      <c r="D58" s="161">
        <v>0.5</v>
      </c>
    </row>
    <row r="59" spans="1:46" ht="15" customHeight="1" thickBot="1" x14ac:dyDescent="0.4">
      <c r="A59" s="143" t="s">
        <v>172</v>
      </c>
      <c r="B59" s="134" t="s">
        <v>161</v>
      </c>
      <c r="C59" s="135">
        <f>AA27*29</f>
        <v>1385.9215999999999</v>
      </c>
      <c r="D59" s="136">
        <v>0.15</v>
      </c>
    </row>
    <row r="60" spans="1:46" ht="17.25" customHeight="1" thickBot="1" x14ac:dyDescent="0.4">
      <c r="A60" s="143" t="s">
        <v>216</v>
      </c>
      <c r="B60" s="134" t="s">
        <v>217</v>
      </c>
      <c r="C60" s="135">
        <f>AA27*29*2</f>
        <v>2771.8431999999998</v>
      </c>
      <c r="D60" s="136">
        <v>0.15</v>
      </c>
    </row>
    <row r="61" spans="1:46" ht="15" thickBot="1" x14ac:dyDescent="0.4">
      <c r="A61" s="115" t="s">
        <v>391</v>
      </c>
      <c r="B61" s="128"/>
      <c r="C61" s="133">
        <f>((100*D57*C57)+(100*D58*C58)+(100*D59*C59)+(100*D60*C60))*0.15</f>
        <v>14101.063799999996</v>
      </c>
      <c r="D61" s="129"/>
    </row>
    <row r="62" spans="1:46" ht="15" thickBot="1" x14ac:dyDescent="0.4">
      <c r="A62" s="116"/>
      <c r="B62" s="116"/>
      <c r="C62" s="116"/>
      <c r="D62" s="117"/>
    </row>
    <row r="63" spans="1:46" x14ac:dyDescent="0.35">
      <c r="A63" s="137" t="s">
        <v>167</v>
      </c>
      <c r="B63" s="138"/>
      <c r="C63" s="138"/>
      <c r="D63" s="139"/>
    </row>
    <row r="64" spans="1:46" ht="16" thickBot="1" x14ac:dyDescent="0.4">
      <c r="A64" s="140" t="s">
        <v>218</v>
      </c>
      <c r="B64" s="141"/>
      <c r="C64" s="141"/>
      <c r="D64" s="142"/>
    </row>
    <row r="65" spans="1:5" ht="16" thickBot="1" x14ac:dyDescent="0.4">
      <c r="A65" s="162" t="s">
        <v>166</v>
      </c>
      <c r="B65" s="172" t="s">
        <v>232</v>
      </c>
      <c r="C65" s="163" t="s">
        <v>162</v>
      </c>
      <c r="D65" s="125"/>
    </row>
    <row r="66" spans="1:5" ht="15" thickBot="1" x14ac:dyDescent="0.4">
      <c r="A66" s="114" t="s">
        <v>173</v>
      </c>
      <c r="B66" s="134" t="s">
        <v>175</v>
      </c>
      <c r="C66" s="132">
        <f>AA27*28</f>
        <v>1338.1312</v>
      </c>
      <c r="D66" s="127">
        <v>0.48</v>
      </c>
    </row>
    <row r="67" spans="1:5" ht="15" thickBot="1" x14ac:dyDescent="0.4">
      <c r="A67" s="146" t="s">
        <v>219</v>
      </c>
      <c r="B67" s="134" t="s">
        <v>220</v>
      </c>
      <c r="C67" s="132">
        <f>AA27*28*2</f>
        <v>2676.2624000000001</v>
      </c>
      <c r="D67" s="127">
        <v>0.32</v>
      </c>
    </row>
    <row r="68" spans="1:5" ht="18" customHeight="1" thickBot="1" x14ac:dyDescent="0.4">
      <c r="A68" s="143" t="s">
        <v>164</v>
      </c>
      <c r="B68" s="134" t="s">
        <v>165</v>
      </c>
      <c r="C68" s="135">
        <f>AA27*10</f>
        <v>477.904</v>
      </c>
      <c r="D68" s="136">
        <v>0.12</v>
      </c>
    </row>
    <row r="69" spans="1:5" ht="18" customHeight="1" thickBot="1" x14ac:dyDescent="0.4">
      <c r="A69" s="143" t="s">
        <v>221</v>
      </c>
      <c r="B69" s="134" t="s">
        <v>222</v>
      </c>
      <c r="C69" s="135">
        <f>AA27*10*2</f>
        <v>955.80799999999999</v>
      </c>
      <c r="D69" s="136">
        <v>0.08</v>
      </c>
    </row>
    <row r="70" spans="1:5" ht="15" thickBot="1" x14ac:dyDescent="0.4">
      <c r="A70" s="115" t="s">
        <v>392</v>
      </c>
      <c r="B70" s="128"/>
      <c r="C70" s="133">
        <f>((100*D66*C66)+(100*D67*C67)+(100*D68*C68)+(100*D69*C69))*0.1</f>
        <v>16325.200640000003</v>
      </c>
      <c r="D70" s="129"/>
    </row>
    <row r="71" spans="1:5" ht="15" thickBot="1" x14ac:dyDescent="0.4"/>
    <row r="72" spans="1:5" x14ac:dyDescent="0.35">
      <c r="A72" s="257" t="s">
        <v>344</v>
      </c>
      <c r="B72" s="258"/>
      <c r="C72" s="258"/>
      <c r="D72" s="259"/>
      <c r="E72" s="165"/>
    </row>
    <row r="73" spans="1:5" ht="15" thickBot="1" x14ac:dyDescent="0.4">
      <c r="A73" s="260" t="s">
        <v>191</v>
      </c>
      <c r="B73" s="261"/>
      <c r="C73" s="261"/>
      <c r="D73" s="262"/>
      <c r="E73" s="166"/>
    </row>
    <row r="74" spans="1:5" ht="15" thickBot="1" x14ac:dyDescent="0.4">
      <c r="A74" s="167" t="s">
        <v>182</v>
      </c>
      <c r="B74" s="168" t="s">
        <v>183</v>
      </c>
      <c r="C74" s="169" t="s">
        <v>162</v>
      </c>
      <c r="D74" s="125"/>
    </row>
    <row r="75" spans="1:5" ht="15" thickBot="1" x14ac:dyDescent="0.4">
      <c r="A75" s="149" t="s">
        <v>176</v>
      </c>
      <c r="B75" s="150" t="s">
        <v>177</v>
      </c>
      <c r="C75" s="154">
        <f>AA27*7</f>
        <v>334.53280000000001</v>
      </c>
      <c r="D75" s="151">
        <v>0.5</v>
      </c>
    </row>
    <row r="76" spans="1:5" ht="15" thickBot="1" x14ac:dyDescent="0.4">
      <c r="A76" s="147" t="s">
        <v>184</v>
      </c>
      <c r="B76" s="148" t="s">
        <v>195</v>
      </c>
      <c r="C76" s="132">
        <f>AA27*14</f>
        <v>669.06560000000002</v>
      </c>
      <c r="D76" s="151">
        <v>0.03</v>
      </c>
    </row>
    <row r="77" spans="1:5" ht="15" thickBot="1" x14ac:dyDescent="0.4">
      <c r="A77" s="147" t="s">
        <v>200</v>
      </c>
      <c r="B77" s="148" t="s">
        <v>194</v>
      </c>
      <c r="C77" s="132">
        <f>AE33*7</f>
        <v>1157.8699999999999</v>
      </c>
      <c r="D77" s="151">
        <v>0.03</v>
      </c>
    </row>
    <row r="78" spans="1:5" ht="15" thickBot="1" x14ac:dyDescent="0.4">
      <c r="A78" s="152" t="s">
        <v>185</v>
      </c>
      <c r="B78" s="150" t="s">
        <v>192</v>
      </c>
      <c r="C78" s="200"/>
      <c r="D78" s="199"/>
    </row>
    <row r="79" spans="1:5" ht="15" thickBot="1" x14ac:dyDescent="0.4">
      <c r="A79" s="155" t="s">
        <v>186</v>
      </c>
      <c r="B79" s="150" t="s">
        <v>199</v>
      </c>
      <c r="C79" s="132">
        <f>AE29*42</f>
        <v>4014.3935999999999</v>
      </c>
      <c r="D79" s="160">
        <v>0.1</v>
      </c>
    </row>
    <row r="80" spans="1:5" ht="15" thickBot="1" x14ac:dyDescent="0.4">
      <c r="A80" s="155" t="s">
        <v>196</v>
      </c>
      <c r="B80" s="150" t="s">
        <v>201</v>
      </c>
      <c r="C80" s="132">
        <f>AE31*42</f>
        <v>5124.1638000000003</v>
      </c>
      <c r="D80" s="160">
        <v>0.2</v>
      </c>
    </row>
    <row r="81" spans="1:4" ht="15" thickBot="1" x14ac:dyDescent="0.4">
      <c r="A81" s="155" t="s">
        <v>197</v>
      </c>
      <c r="B81" s="150" t="s">
        <v>202</v>
      </c>
      <c r="C81" s="132">
        <f>AE33*42</f>
        <v>6947.22</v>
      </c>
      <c r="D81" s="160">
        <v>0.03</v>
      </c>
    </row>
    <row r="82" spans="1:4" ht="15" thickBot="1" x14ac:dyDescent="0.4">
      <c r="A82" s="155" t="s">
        <v>198</v>
      </c>
      <c r="B82" s="150" t="s">
        <v>203</v>
      </c>
      <c r="C82" s="132">
        <f>AE35*42</f>
        <v>8794.9091999999982</v>
      </c>
      <c r="D82" s="160">
        <v>0.01</v>
      </c>
    </row>
    <row r="83" spans="1:4" ht="15" thickBot="1" x14ac:dyDescent="0.4">
      <c r="A83" s="146" t="s">
        <v>187</v>
      </c>
      <c r="B83" s="134" t="s">
        <v>205</v>
      </c>
      <c r="C83" s="154">
        <f>AA27*140</f>
        <v>6690.6559999999999</v>
      </c>
      <c r="D83" s="127">
        <v>0.24</v>
      </c>
    </row>
    <row r="84" spans="1:4" ht="15" thickBot="1" x14ac:dyDescent="0.4">
      <c r="A84" s="146" t="s">
        <v>204</v>
      </c>
      <c r="B84" s="134" t="s">
        <v>206</v>
      </c>
      <c r="C84" s="154">
        <f>AA27*280</f>
        <v>13381.312</v>
      </c>
      <c r="D84" s="127">
        <v>0.36</v>
      </c>
    </row>
    <row r="85" spans="1:4" ht="18.75" customHeight="1" thickBot="1" x14ac:dyDescent="0.4">
      <c r="A85" s="143" t="s">
        <v>188</v>
      </c>
      <c r="B85" s="134" t="s">
        <v>207</v>
      </c>
      <c r="C85" s="154">
        <f>AA27*280</f>
        <v>13381.312</v>
      </c>
      <c r="D85" s="127">
        <v>0.01</v>
      </c>
    </row>
    <row r="86" spans="1:4" ht="15" thickBot="1" x14ac:dyDescent="0.4">
      <c r="A86" s="146" t="s">
        <v>180</v>
      </c>
      <c r="B86" s="134" t="s">
        <v>208</v>
      </c>
      <c r="C86" s="154">
        <f>AA27*280*2</f>
        <v>26762.624</v>
      </c>
      <c r="D86" s="127">
        <v>0.02</v>
      </c>
    </row>
    <row r="87" spans="1:4" ht="15" thickBot="1" x14ac:dyDescent="0.4">
      <c r="A87" s="153" t="s">
        <v>181</v>
      </c>
      <c r="B87" s="134" t="s">
        <v>250</v>
      </c>
      <c r="C87" s="200"/>
      <c r="D87" s="199"/>
    </row>
    <row r="88" spans="1:4" ht="15" thickBot="1" x14ac:dyDescent="0.4">
      <c r="A88" s="158" t="s">
        <v>186</v>
      </c>
      <c r="B88" s="159" t="s">
        <v>209</v>
      </c>
      <c r="C88" s="132">
        <f>AE29*280</f>
        <v>26762.624</v>
      </c>
      <c r="D88" s="156">
        <v>0.1</v>
      </c>
    </row>
    <row r="89" spans="1:4" ht="15" thickBot="1" x14ac:dyDescent="0.4">
      <c r="A89" s="158" t="s">
        <v>196</v>
      </c>
      <c r="B89" s="159" t="s">
        <v>210</v>
      </c>
      <c r="C89" s="132">
        <f>AE31*280</f>
        <v>34161.091999999997</v>
      </c>
      <c r="D89" s="156">
        <v>0.15</v>
      </c>
    </row>
    <row r="90" spans="1:4" ht="15" thickBot="1" x14ac:dyDescent="0.4">
      <c r="A90" s="158" t="s">
        <v>197</v>
      </c>
      <c r="B90" s="159" t="s">
        <v>211</v>
      </c>
      <c r="C90" s="132">
        <f>AE33*280</f>
        <v>46314.799999999996</v>
      </c>
      <c r="D90" s="156">
        <v>0.03</v>
      </c>
    </row>
    <row r="91" spans="1:4" ht="15" thickBot="1" x14ac:dyDescent="0.4">
      <c r="A91" s="158" t="s">
        <v>198</v>
      </c>
      <c r="B91" s="159" t="s">
        <v>212</v>
      </c>
      <c r="C91" s="132">
        <f>AE35*280</f>
        <v>58632.727999999996</v>
      </c>
      <c r="D91" s="222">
        <v>5.0000000000000001E-3</v>
      </c>
    </row>
    <row r="92" spans="1:4" ht="15" thickBot="1" x14ac:dyDescent="0.4">
      <c r="A92" s="115" t="s">
        <v>393</v>
      </c>
      <c r="B92" s="128"/>
      <c r="C92" s="133">
        <f>((100*D83*C83)+(100*D84*C84)+(100*D85*C85)+(100*D86*C86)+(100*D88*C88)+(100*D89*C89)+(100*D90*C90)+(100*D91*C91))*0.03</f>
        <v>49725.387599999995</v>
      </c>
      <c r="D92" s="129"/>
    </row>
    <row r="93" spans="1:4" ht="15" thickBot="1" x14ac:dyDescent="0.4">
      <c r="A93" s="115" t="s">
        <v>394</v>
      </c>
      <c r="B93" s="128"/>
      <c r="C93" s="133">
        <f>((100*D75*C75)+(100*D76*C76)+(100*D77*C77)+(100*D79*C79)+(100*D80*C80)+(100*D81*C81)+(100*D82*C82))*0.02</f>
        <v>3889.4245600000008</v>
      </c>
      <c r="D93" s="129"/>
    </row>
    <row r="94" spans="1:4" ht="15" thickBot="1" x14ac:dyDescent="0.4">
      <c r="A94" s="118"/>
      <c r="B94" s="118"/>
      <c r="C94" s="118"/>
      <c r="D94" s="118"/>
    </row>
    <row r="95" spans="1:4" x14ac:dyDescent="0.35">
      <c r="A95" s="137" t="s">
        <v>343</v>
      </c>
      <c r="B95" s="138"/>
      <c r="C95" s="138"/>
      <c r="D95" s="139"/>
    </row>
    <row r="96" spans="1:4" ht="16" thickBot="1" x14ac:dyDescent="0.4">
      <c r="A96" s="140" t="s">
        <v>218</v>
      </c>
      <c r="B96" s="141"/>
      <c r="C96" s="141"/>
      <c r="D96" s="142"/>
    </row>
    <row r="97" spans="1:4" ht="16" thickBot="1" x14ac:dyDescent="0.4">
      <c r="A97" s="162" t="s">
        <v>169</v>
      </c>
      <c r="B97" s="172" t="s">
        <v>231</v>
      </c>
      <c r="C97" s="163" t="s">
        <v>162</v>
      </c>
      <c r="D97" s="125"/>
    </row>
    <row r="98" spans="1:4" ht="31.5" customHeight="1" thickBot="1" x14ac:dyDescent="0.4">
      <c r="A98" s="143" t="s">
        <v>170</v>
      </c>
      <c r="B98" s="134" t="s">
        <v>168</v>
      </c>
      <c r="C98" s="135">
        <f>AA27*45</f>
        <v>2150.5679999999998</v>
      </c>
      <c r="D98" s="145">
        <v>0.95</v>
      </c>
    </row>
    <row r="99" spans="1:4" ht="28.5" customHeight="1" thickBot="1" x14ac:dyDescent="0.4">
      <c r="A99" s="143" t="s">
        <v>223</v>
      </c>
      <c r="B99" s="134" t="s">
        <v>224</v>
      </c>
      <c r="C99" s="135">
        <f>AA27*45*2</f>
        <v>4301.1359999999995</v>
      </c>
      <c r="D99" s="170">
        <v>0.05</v>
      </c>
    </row>
    <row r="100" spans="1:4" ht="15" thickBot="1" x14ac:dyDescent="0.4">
      <c r="A100" s="144" t="s">
        <v>395</v>
      </c>
      <c r="B100" s="128"/>
      <c r="C100" s="133">
        <f>((100*D98*C98)+(100*D99*C99))*0.05</f>
        <v>11290.481999999998</v>
      </c>
      <c r="D100" s="129"/>
    </row>
    <row r="101" spans="1:4" ht="15" thickBot="1" x14ac:dyDescent="0.4">
      <c r="A101" s="118"/>
      <c r="B101" s="118"/>
      <c r="C101" s="118"/>
      <c r="D101" s="118"/>
    </row>
    <row r="102" spans="1:4" x14ac:dyDescent="0.35">
      <c r="A102" s="112" t="s">
        <v>237</v>
      </c>
      <c r="B102" s="121"/>
      <c r="C102" s="121"/>
      <c r="D102" s="122"/>
    </row>
    <row r="103" spans="1:4" ht="16" thickBot="1" x14ac:dyDescent="0.4">
      <c r="A103" s="113" t="s">
        <v>214</v>
      </c>
      <c r="B103" s="123"/>
      <c r="C103" s="123"/>
      <c r="D103" s="124"/>
    </row>
    <row r="104" spans="1:4" ht="15" thickBot="1" x14ac:dyDescent="0.4">
      <c r="A104" s="171" t="s">
        <v>229</v>
      </c>
      <c r="B104" s="172" t="s">
        <v>230</v>
      </c>
      <c r="C104" s="163" t="s">
        <v>162</v>
      </c>
      <c r="D104" s="125"/>
    </row>
    <row r="105" spans="1:4" ht="15" thickBot="1" x14ac:dyDescent="0.4">
      <c r="A105" s="114" t="s">
        <v>396</v>
      </c>
      <c r="B105" s="126" t="s">
        <v>397</v>
      </c>
      <c r="C105" s="132">
        <f>AA25*6</f>
        <v>146.07</v>
      </c>
      <c r="D105" s="191">
        <v>0.1</v>
      </c>
    </row>
    <row r="106" spans="1:4" ht="15" thickBot="1" x14ac:dyDescent="0.4">
      <c r="A106" s="114" t="s">
        <v>233</v>
      </c>
      <c r="B106" s="126" t="s">
        <v>238</v>
      </c>
      <c r="C106" s="132">
        <f>AA27*6</f>
        <v>286.74239999999998</v>
      </c>
      <c r="D106" s="191">
        <v>0.3</v>
      </c>
    </row>
    <row r="107" spans="1:4" ht="15" thickBot="1" x14ac:dyDescent="0.4">
      <c r="A107" s="146" t="s">
        <v>234</v>
      </c>
      <c r="B107" s="134" t="s">
        <v>239</v>
      </c>
      <c r="C107" s="135">
        <f>AA27*6*2</f>
        <v>573.48479999999995</v>
      </c>
      <c r="D107" s="191">
        <v>0.1</v>
      </c>
    </row>
    <row r="108" spans="1:4" ht="15" thickBot="1" x14ac:dyDescent="0.4">
      <c r="A108" s="114" t="s">
        <v>398</v>
      </c>
      <c r="B108" s="126" t="s">
        <v>399</v>
      </c>
      <c r="C108" s="132">
        <f>AA25*14</f>
        <v>340.83</v>
      </c>
      <c r="D108" s="191">
        <v>0.1</v>
      </c>
    </row>
    <row r="109" spans="1:4" ht="15" thickBot="1" x14ac:dyDescent="0.4">
      <c r="A109" s="114" t="s">
        <v>235</v>
      </c>
      <c r="B109" s="134" t="s">
        <v>240</v>
      </c>
      <c r="C109" s="132">
        <f>AA27*14</f>
        <v>669.06560000000002</v>
      </c>
      <c r="D109" s="170">
        <v>0.3</v>
      </c>
    </row>
    <row r="110" spans="1:4" ht="15" thickBot="1" x14ac:dyDescent="0.4">
      <c r="A110" s="146" t="s">
        <v>236</v>
      </c>
      <c r="B110" s="134" t="s">
        <v>241</v>
      </c>
      <c r="C110" s="135">
        <f>AA27*14*2</f>
        <v>1338.1312</v>
      </c>
      <c r="D110" s="170">
        <v>0.1</v>
      </c>
    </row>
    <row r="111" spans="1:4" ht="15" thickBot="1" x14ac:dyDescent="0.4">
      <c r="A111" s="115" t="s">
        <v>400</v>
      </c>
      <c r="B111" s="128"/>
      <c r="C111" s="133">
        <f>((100*D105*C105)+(100*D106*C106)+(100*D107*C107)+(100*D108*C108)+(100*D109*C109)+(100*D110*C110))*0.25</f>
        <v>13164.85</v>
      </c>
      <c r="D111" s="129"/>
    </row>
    <row r="112" spans="1:4" ht="15" thickBot="1" x14ac:dyDescent="0.4">
      <c r="A112" s="118"/>
      <c r="B112" s="118"/>
      <c r="C112" s="118"/>
      <c r="D112" s="118"/>
    </row>
    <row r="113" spans="1:4" x14ac:dyDescent="0.35">
      <c r="A113" s="137" t="s">
        <v>243</v>
      </c>
      <c r="B113" s="138"/>
      <c r="C113" s="138"/>
      <c r="D113" s="139"/>
    </row>
    <row r="114" spans="1:4" ht="15.5" x14ac:dyDescent="0.35">
      <c r="A114" s="164" t="s">
        <v>362</v>
      </c>
      <c r="B114" s="173"/>
      <c r="C114" s="173"/>
      <c r="D114" s="174"/>
    </row>
    <row r="115" spans="1:4" ht="16" thickBot="1" x14ac:dyDescent="0.4">
      <c r="A115" s="140" t="s">
        <v>218</v>
      </c>
      <c r="B115" s="141"/>
      <c r="C115" s="141"/>
      <c r="D115" s="142"/>
    </row>
    <row r="116" spans="1:4" ht="33.75" customHeight="1" thickBot="1" x14ac:dyDescent="0.4">
      <c r="A116" s="171" t="s">
        <v>242</v>
      </c>
      <c r="B116" s="175" t="s">
        <v>245</v>
      </c>
      <c r="C116" s="176" t="s">
        <v>162</v>
      </c>
      <c r="D116" s="125"/>
    </row>
    <row r="117" spans="1:4" ht="15" thickBot="1" x14ac:dyDescent="0.4">
      <c r="A117" s="143" t="s">
        <v>246</v>
      </c>
      <c r="B117" s="134" t="s">
        <v>248</v>
      </c>
      <c r="C117" s="135">
        <f>AA27*182</f>
        <v>8697.8528000000006</v>
      </c>
      <c r="D117" s="145">
        <v>0.9</v>
      </c>
    </row>
    <row r="118" spans="1:4" ht="15" thickBot="1" x14ac:dyDescent="0.4">
      <c r="A118" s="143" t="s">
        <v>247</v>
      </c>
      <c r="B118" s="134" t="s">
        <v>249</v>
      </c>
      <c r="C118" s="135">
        <f>AA27*182*2</f>
        <v>17395.705600000001</v>
      </c>
      <c r="D118" s="170">
        <v>0.1</v>
      </c>
    </row>
    <row r="119" spans="1:4" ht="15" thickBot="1" x14ac:dyDescent="0.4">
      <c r="A119" s="144" t="s">
        <v>401</v>
      </c>
      <c r="B119" s="128"/>
      <c r="C119" s="133">
        <f>((100*D117*C117)+(100*D118*C118))*0.1</f>
        <v>95676.380800000014</v>
      </c>
      <c r="D119" s="129"/>
    </row>
    <row r="120" spans="1:4" ht="15" thickBot="1" x14ac:dyDescent="0.4">
      <c r="A120" s="118"/>
      <c r="B120" s="118"/>
      <c r="C120" s="118"/>
      <c r="D120" s="118"/>
    </row>
    <row r="121" spans="1:4" x14ac:dyDescent="0.35">
      <c r="A121" s="251" t="s">
        <v>251</v>
      </c>
      <c r="B121" s="252"/>
      <c r="C121" s="252"/>
      <c r="D121" s="253"/>
    </row>
    <row r="122" spans="1:4" ht="15" thickBot="1" x14ac:dyDescent="0.4">
      <c r="A122" s="254" t="s">
        <v>253</v>
      </c>
      <c r="B122" s="255"/>
      <c r="C122" s="255"/>
      <c r="D122" s="256"/>
    </row>
    <row r="123" spans="1:4" ht="15" thickBot="1" x14ac:dyDescent="0.4">
      <c r="A123" s="167" t="s">
        <v>258</v>
      </c>
      <c r="B123" s="168" t="s">
        <v>252</v>
      </c>
      <c r="C123" s="169" t="s">
        <v>162</v>
      </c>
      <c r="D123" s="125"/>
    </row>
    <row r="124" spans="1:4" ht="15" thickBot="1" x14ac:dyDescent="0.4">
      <c r="A124" s="153" t="s">
        <v>254</v>
      </c>
      <c r="B124" s="134" t="s">
        <v>256</v>
      </c>
      <c r="C124" s="201"/>
      <c r="D124" s="207"/>
    </row>
    <row r="125" spans="1:4" ht="15" thickBot="1" x14ac:dyDescent="0.4">
      <c r="A125" s="158" t="s">
        <v>186</v>
      </c>
      <c r="B125" s="159">
        <v>0.4</v>
      </c>
      <c r="C125" s="132">
        <f>AA27</f>
        <v>47.790399999999998</v>
      </c>
      <c r="D125" s="156">
        <v>0.05</v>
      </c>
    </row>
    <row r="126" spans="1:4" ht="15" thickBot="1" x14ac:dyDescent="0.4">
      <c r="A126" s="158" t="s">
        <v>196</v>
      </c>
      <c r="B126" s="159">
        <v>0.6</v>
      </c>
      <c r="C126" s="132">
        <f>AC31</f>
        <v>61.001950000000001</v>
      </c>
      <c r="D126" s="156">
        <v>0.2</v>
      </c>
    </row>
    <row r="127" spans="1:4" ht="15" thickBot="1" x14ac:dyDescent="0.4">
      <c r="A127" s="158" t="s">
        <v>197</v>
      </c>
      <c r="B127" s="159">
        <v>0.8</v>
      </c>
      <c r="C127" s="132">
        <f>AC33</f>
        <v>82.704999999999998</v>
      </c>
      <c r="D127" s="156">
        <v>0.05</v>
      </c>
    </row>
    <row r="128" spans="1:4" ht="15" thickBot="1" x14ac:dyDescent="0.4">
      <c r="A128" s="158" t="s">
        <v>198</v>
      </c>
      <c r="B128" s="180">
        <v>1</v>
      </c>
      <c r="C128" s="132">
        <f>AC35</f>
        <v>104.70129999999999</v>
      </c>
      <c r="D128" s="157">
        <v>0.01</v>
      </c>
    </row>
    <row r="129" spans="1:4" ht="15" thickBot="1" x14ac:dyDescent="0.4">
      <c r="A129" s="177" t="s">
        <v>255</v>
      </c>
      <c r="B129" s="178" t="s">
        <v>257</v>
      </c>
      <c r="C129" s="201"/>
      <c r="D129" s="207"/>
    </row>
    <row r="130" spans="1:4" ht="15" thickBot="1" x14ac:dyDescent="0.4">
      <c r="A130" s="155" t="s">
        <v>186</v>
      </c>
      <c r="B130" s="150">
        <v>0.2</v>
      </c>
      <c r="C130" s="132">
        <f>AA25</f>
        <v>24.344999999999999</v>
      </c>
      <c r="D130" s="151">
        <v>0.1</v>
      </c>
    </row>
    <row r="131" spans="1:4" ht="15" thickBot="1" x14ac:dyDescent="0.4">
      <c r="A131" s="155" t="s">
        <v>196</v>
      </c>
      <c r="B131" s="150">
        <v>0.3</v>
      </c>
      <c r="C131" s="132">
        <f>AA27</f>
        <v>47.790399999999998</v>
      </c>
      <c r="D131" s="151">
        <v>0.05</v>
      </c>
    </row>
    <row r="132" spans="1:4" ht="15" thickBot="1" x14ac:dyDescent="0.4">
      <c r="A132" s="155" t="s">
        <v>197</v>
      </c>
      <c r="B132" s="150">
        <v>0.4</v>
      </c>
      <c r="C132" s="132">
        <f>AA27</f>
        <v>47.790399999999998</v>
      </c>
      <c r="D132" s="151">
        <v>0.35</v>
      </c>
    </row>
    <row r="133" spans="1:4" ht="15" thickBot="1" x14ac:dyDescent="0.4">
      <c r="A133" s="155" t="s">
        <v>198</v>
      </c>
      <c r="B133" s="150">
        <v>0.5</v>
      </c>
      <c r="C133" s="132">
        <f>AC31</f>
        <v>61.001950000000001</v>
      </c>
      <c r="D133" s="179">
        <v>0.15</v>
      </c>
    </row>
    <row r="134" spans="1:4" ht="15" thickBot="1" x14ac:dyDescent="0.4">
      <c r="A134" s="115" t="s">
        <v>402</v>
      </c>
      <c r="B134" s="128"/>
      <c r="C134" s="133">
        <f>((100*D125*C125)+(100*D126*C126)+(100*D127*C127)+(100*D128*C128)+(100*D130*C130)+(100*D131*C131)+(100*D132*C132)+(100*D133*C133))*0.05</f>
        <v>252.36562750000004</v>
      </c>
      <c r="D134" s="118"/>
    </row>
    <row r="135" spans="1:4" x14ac:dyDescent="0.35">
      <c r="A135" s="118"/>
      <c r="B135" s="118"/>
      <c r="C135" s="118"/>
      <c r="D135" s="118"/>
    </row>
    <row r="136" spans="1:4" ht="15" thickBot="1" x14ac:dyDescent="0.4">
      <c r="A136" s="118"/>
      <c r="B136" s="118"/>
      <c r="C136" s="118"/>
      <c r="D136" s="118"/>
    </row>
    <row r="137" spans="1:4" x14ac:dyDescent="0.35">
      <c r="A137" s="119" t="s">
        <v>260</v>
      </c>
      <c r="B137" s="130"/>
      <c r="C137" s="121"/>
      <c r="D137" s="122"/>
    </row>
    <row r="138" spans="1:4" ht="15" thickBot="1" x14ac:dyDescent="0.4">
      <c r="A138" s="113" t="s">
        <v>276</v>
      </c>
      <c r="B138" s="123"/>
      <c r="C138" s="123"/>
      <c r="D138" s="124"/>
    </row>
    <row r="139" spans="1:4" ht="15" thickBot="1" x14ac:dyDescent="0.4">
      <c r="A139" s="167" t="s">
        <v>258</v>
      </c>
      <c r="B139" s="172" t="s">
        <v>259</v>
      </c>
      <c r="C139" s="181" t="s">
        <v>158</v>
      </c>
      <c r="D139" s="131" t="s">
        <v>159</v>
      </c>
    </row>
    <row r="140" spans="1:4" ht="28.5" customHeight="1" thickBot="1" x14ac:dyDescent="0.4">
      <c r="A140" s="153" t="s">
        <v>261</v>
      </c>
      <c r="B140" s="184" t="s">
        <v>262</v>
      </c>
      <c r="C140" s="201"/>
      <c r="D140" s="207"/>
    </row>
    <row r="141" spans="1:4" ht="15" thickBot="1" x14ac:dyDescent="0.4">
      <c r="A141" s="158" t="s">
        <v>271</v>
      </c>
      <c r="B141" s="159" t="s">
        <v>269</v>
      </c>
      <c r="C141" s="132">
        <f>AC31*10</f>
        <v>610.01949999999999</v>
      </c>
      <c r="D141" s="156">
        <v>0.01</v>
      </c>
    </row>
    <row r="142" spans="1:4" ht="15" thickBot="1" x14ac:dyDescent="0.4">
      <c r="A142" s="158" t="s">
        <v>270</v>
      </c>
      <c r="B142" s="159" t="s">
        <v>272</v>
      </c>
      <c r="C142" s="132">
        <f>AC33*10</f>
        <v>827.05</v>
      </c>
      <c r="D142" s="156">
        <v>0.02</v>
      </c>
    </row>
    <row r="143" spans="1:4" ht="15" thickBot="1" x14ac:dyDescent="0.4">
      <c r="A143" s="158" t="s">
        <v>274</v>
      </c>
      <c r="B143" s="159" t="s">
        <v>273</v>
      </c>
      <c r="C143" s="132">
        <f>AC35*10</f>
        <v>1047.0129999999999</v>
      </c>
      <c r="D143" s="156">
        <v>0.06</v>
      </c>
    </row>
    <row r="144" spans="1:4" ht="15" thickBot="1" x14ac:dyDescent="0.4">
      <c r="A144" s="158" t="s">
        <v>277</v>
      </c>
      <c r="B144" s="159" t="s">
        <v>275</v>
      </c>
      <c r="C144" s="132">
        <f>AC37*10</f>
        <v>1344.3030000000001</v>
      </c>
      <c r="D144" s="186">
        <v>0.05</v>
      </c>
    </row>
    <row r="145" spans="1:4" ht="15" thickBot="1" x14ac:dyDescent="0.4">
      <c r="A145" s="158" t="s">
        <v>278</v>
      </c>
      <c r="B145" s="159" t="s">
        <v>279</v>
      </c>
      <c r="C145" s="132">
        <f>AC38*10</f>
        <v>1697.8409999999999</v>
      </c>
      <c r="D145" s="157">
        <v>0.02</v>
      </c>
    </row>
    <row r="146" spans="1:4" ht="27.75" customHeight="1" thickBot="1" x14ac:dyDescent="0.4">
      <c r="A146" s="185" t="s">
        <v>263</v>
      </c>
      <c r="B146" s="184" t="s">
        <v>264</v>
      </c>
      <c r="C146" s="201"/>
      <c r="D146" s="207"/>
    </row>
    <row r="147" spans="1:4" ht="15" thickBot="1" x14ac:dyDescent="0.4">
      <c r="A147" s="158" t="s">
        <v>186</v>
      </c>
      <c r="B147" s="159" t="s">
        <v>265</v>
      </c>
      <c r="C147" s="132">
        <f>AE29*10</f>
        <v>955.80799999999999</v>
      </c>
      <c r="D147" s="156">
        <v>0.2</v>
      </c>
    </row>
    <row r="148" spans="1:4" ht="15" thickBot="1" x14ac:dyDescent="0.4">
      <c r="A148" s="158" t="s">
        <v>196</v>
      </c>
      <c r="B148" s="159" t="s">
        <v>266</v>
      </c>
      <c r="C148" s="132">
        <f>AE31*10</f>
        <v>1220.039</v>
      </c>
      <c r="D148" s="156">
        <v>0.3</v>
      </c>
    </row>
    <row r="149" spans="1:4" ht="15" thickBot="1" x14ac:dyDescent="0.4">
      <c r="A149" s="158" t="s">
        <v>197</v>
      </c>
      <c r="B149" s="159" t="s">
        <v>267</v>
      </c>
      <c r="C149" s="132">
        <f>AE33*10</f>
        <v>1654.1</v>
      </c>
      <c r="D149" s="156">
        <v>0.25</v>
      </c>
    </row>
    <row r="150" spans="1:4" ht="15" thickBot="1" x14ac:dyDescent="0.4">
      <c r="A150" s="158" t="s">
        <v>198</v>
      </c>
      <c r="B150" s="159" t="s">
        <v>268</v>
      </c>
      <c r="C150" s="132">
        <f>AE35*10</f>
        <v>2094.0259999999998</v>
      </c>
      <c r="D150" s="157">
        <v>0.1</v>
      </c>
    </row>
    <row r="151" spans="1:4" ht="15" thickBot="1" x14ac:dyDescent="0.4">
      <c r="A151" s="115" t="s">
        <v>403</v>
      </c>
      <c r="B151" s="128"/>
      <c r="C151" s="133">
        <f>((100*D141*C141)+(100*D142*C142)+(100*D143*C143)+(100*D144*C144)+(100*D145*C145)+(100*D147*C147)+(100*D148*C148)+(100*D149*C149)+(100*D150*C150))*0.2</f>
        <v>27334.696899999999</v>
      </c>
      <c r="D151" s="129"/>
    </row>
    <row r="152" spans="1:4" ht="15" thickBot="1" x14ac:dyDescent="0.4">
      <c r="A152" s="182"/>
      <c r="B152" s="129"/>
      <c r="C152" s="117"/>
      <c r="D152" s="129"/>
    </row>
    <row r="153" spans="1:4" x14ac:dyDescent="0.35">
      <c r="A153" s="119" t="s">
        <v>290</v>
      </c>
      <c r="B153" s="130"/>
      <c r="C153" s="121"/>
      <c r="D153" s="122"/>
    </row>
    <row r="154" spans="1:4" ht="15" thickBot="1" x14ac:dyDescent="0.4">
      <c r="A154" s="113" t="s">
        <v>280</v>
      </c>
      <c r="B154" s="123"/>
      <c r="C154" s="123"/>
      <c r="D154" s="124"/>
    </row>
    <row r="155" spans="1:4" ht="15" thickBot="1" x14ac:dyDescent="0.4">
      <c r="A155" s="167" t="s">
        <v>157</v>
      </c>
      <c r="B155" s="172" t="s">
        <v>259</v>
      </c>
      <c r="C155" s="181" t="s">
        <v>158</v>
      </c>
      <c r="D155" s="131" t="s">
        <v>159</v>
      </c>
    </row>
    <row r="156" spans="1:4" ht="15.75" customHeight="1" thickBot="1" x14ac:dyDescent="0.4">
      <c r="A156" s="120"/>
      <c r="B156" s="187" t="s">
        <v>281</v>
      </c>
      <c r="C156" s="201"/>
      <c r="D156" s="207"/>
    </row>
    <row r="157" spans="1:4" ht="15" thickBot="1" x14ac:dyDescent="0.4">
      <c r="A157" s="158" t="s">
        <v>186</v>
      </c>
      <c r="B157" s="159" t="s">
        <v>282</v>
      </c>
      <c r="C157" s="132">
        <f>AE29*3</f>
        <v>286.74239999999998</v>
      </c>
      <c r="D157" s="156">
        <v>0.12</v>
      </c>
    </row>
    <row r="158" spans="1:4" ht="15" thickBot="1" x14ac:dyDescent="0.4">
      <c r="A158" s="158" t="s">
        <v>186</v>
      </c>
      <c r="B158" s="159" t="s">
        <v>283</v>
      </c>
      <c r="C158" s="132">
        <f>AE29*8</f>
        <v>764.64639999999997</v>
      </c>
      <c r="D158" s="156">
        <v>0.18</v>
      </c>
    </row>
    <row r="159" spans="1:4" ht="15" thickBot="1" x14ac:dyDescent="0.4">
      <c r="A159" s="158" t="s">
        <v>196</v>
      </c>
      <c r="B159" s="159" t="s">
        <v>284</v>
      </c>
      <c r="C159" s="132">
        <f>AE31*3</f>
        <v>366.01170000000002</v>
      </c>
      <c r="D159" s="156">
        <v>0.12</v>
      </c>
    </row>
    <row r="160" spans="1:4" ht="15" thickBot="1" x14ac:dyDescent="0.4">
      <c r="A160" s="158" t="s">
        <v>196</v>
      </c>
      <c r="B160" s="159" t="s">
        <v>285</v>
      </c>
      <c r="C160" s="132">
        <f>AE31*8</f>
        <v>976.03120000000001</v>
      </c>
      <c r="D160" s="157">
        <v>0.18</v>
      </c>
    </row>
    <row r="161" spans="1:4" ht="15" thickBot="1" x14ac:dyDescent="0.4">
      <c r="A161" s="158" t="s">
        <v>197</v>
      </c>
      <c r="B161" s="159" t="s">
        <v>286</v>
      </c>
      <c r="C161" s="132">
        <f>AE33*3</f>
        <v>496.23</v>
      </c>
      <c r="D161" s="156">
        <v>0.14000000000000001</v>
      </c>
    </row>
    <row r="162" spans="1:4" ht="15" thickBot="1" x14ac:dyDescent="0.4">
      <c r="A162" s="158" t="s">
        <v>197</v>
      </c>
      <c r="B162" s="159" t="s">
        <v>287</v>
      </c>
      <c r="C162" s="132">
        <f>AE33*8</f>
        <v>1323.28</v>
      </c>
      <c r="D162" s="156">
        <v>0.21</v>
      </c>
    </row>
    <row r="163" spans="1:4" ht="15" thickBot="1" x14ac:dyDescent="0.4">
      <c r="A163" s="158" t="s">
        <v>198</v>
      </c>
      <c r="B163" s="159" t="s">
        <v>289</v>
      </c>
      <c r="C163" s="132">
        <f>AE35*3</f>
        <v>628.20779999999991</v>
      </c>
      <c r="D163" s="156">
        <v>0.02</v>
      </c>
    </row>
    <row r="164" spans="1:4" ht="15" thickBot="1" x14ac:dyDescent="0.4">
      <c r="A164" s="158" t="s">
        <v>198</v>
      </c>
      <c r="B164" s="159" t="s">
        <v>288</v>
      </c>
      <c r="C164" s="132">
        <f>AE35*8</f>
        <v>1675.2207999999998</v>
      </c>
      <c r="D164" s="157">
        <v>0.03</v>
      </c>
    </row>
    <row r="165" spans="1:4" ht="15" thickBot="1" x14ac:dyDescent="0.4">
      <c r="A165" s="115" t="s">
        <v>404</v>
      </c>
      <c r="B165" s="128"/>
      <c r="C165" s="214">
        <f>((100*D157*C157)+(100*D158*C158)+(100*D159*C159)+(100*D160*C160)+(100*D161*C161)+(100*D162*C162)+(100*D163*C163)+(100*D164*C164))*0.05</f>
        <v>4009.1712000000002</v>
      </c>
    </row>
    <row r="166" spans="1:4" ht="16.5" customHeight="1" x14ac:dyDescent="0.35">
      <c r="A166" s="249" t="s">
        <v>381</v>
      </c>
      <c r="B166" s="210" t="s">
        <v>382</v>
      </c>
      <c r="C166" s="212">
        <f>C165*0.37</f>
        <v>1483.3933440000001</v>
      </c>
    </row>
    <row r="167" spans="1:4" ht="14.25" customHeight="1" thickBot="1" x14ac:dyDescent="0.4">
      <c r="A167" s="250"/>
      <c r="B167" s="211" t="s">
        <v>383</v>
      </c>
      <c r="C167" s="213">
        <f>C165*0.63</f>
        <v>2525.7778560000002</v>
      </c>
    </row>
    <row r="168" spans="1:4" ht="21" customHeight="1" thickBot="1" x14ac:dyDescent="0.4"/>
    <row r="169" spans="1:4" ht="24" customHeight="1" thickTop="1" thickBot="1" x14ac:dyDescent="0.4">
      <c r="A169" s="223" t="s">
        <v>405</v>
      </c>
      <c r="B169" s="224">
        <f>C61+C70+C92+C93+C100+C111+C119+C134+C151+C165</f>
        <v>235769.02312750003</v>
      </c>
    </row>
    <row r="170" spans="1:4" ht="21" customHeight="1" thickTop="1" x14ac:dyDescent="0.35"/>
    <row r="171" spans="1:4" ht="15.75" customHeight="1" x14ac:dyDescent="0.35"/>
    <row r="172" spans="1:4" x14ac:dyDescent="0.35">
      <c r="A172" s="69" t="s">
        <v>213</v>
      </c>
    </row>
    <row r="173" spans="1:4" x14ac:dyDescent="0.35">
      <c r="A173" s="69" t="s">
        <v>291</v>
      </c>
    </row>
    <row r="174" spans="1:4" x14ac:dyDescent="0.35">
      <c r="A174" s="69" t="s">
        <v>178</v>
      </c>
    </row>
    <row r="175" spans="1:4" x14ac:dyDescent="0.35">
      <c r="A175" s="69" t="s">
        <v>179</v>
      </c>
    </row>
    <row r="176" spans="1:4" x14ac:dyDescent="0.35">
      <c r="A176" s="69" t="s">
        <v>174</v>
      </c>
    </row>
    <row r="177" spans="1:1" x14ac:dyDescent="0.35">
      <c r="A177" s="69" t="s">
        <v>189</v>
      </c>
    </row>
    <row r="178" spans="1:1" x14ac:dyDescent="0.35">
      <c r="A178" s="69" t="s">
        <v>190</v>
      </c>
    </row>
    <row r="179" spans="1:1" x14ac:dyDescent="0.35">
      <c r="A179" s="69" t="s">
        <v>193</v>
      </c>
    </row>
    <row r="180" spans="1:1" x14ac:dyDescent="0.35">
      <c r="A180" s="69" t="s">
        <v>225</v>
      </c>
    </row>
    <row r="181" spans="1:1" x14ac:dyDescent="0.35">
      <c r="A181" s="69" t="s">
        <v>226</v>
      </c>
    </row>
    <row r="182" spans="1:1" x14ac:dyDescent="0.35">
      <c r="A182" s="69" t="s">
        <v>228</v>
      </c>
    </row>
    <row r="183" spans="1:1" x14ac:dyDescent="0.35">
      <c r="A183" s="69" t="s">
        <v>244</v>
      </c>
    </row>
    <row r="184" spans="1:1" x14ac:dyDescent="0.35">
      <c r="A184" s="69" t="s">
        <v>292</v>
      </c>
    </row>
    <row r="185" spans="1:1" x14ac:dyDescent="0.35">
      <c r="A185" s="69" t="s">
        <v>293</v>
      </c>
    </row>
    <row r="186" spans="1:1" x14ac:dyDescent="0.35">
      <c r="A186" s="209" t="s">
        <v>379</v>
      </c>
    </row>
  </sheetData>
  <autoFilter ref="A3:AT51" xr:uid="{00000000-0009-0000-0000-000004000000}"/>
  <mergeCells count="6">
    <mergeCell ref="A166:A167"/>
    <mergeCell ref="A122:D122"/>
    <mergeCell ref="H2:U2"/>
    <mergeCell ref="A72:D72"/>
    <mergeCell ref="A73:D73"/>
    <mergeCell ref="A121:D121"/>
  </mergeCells>
  <pageMargins left="0.25" right="0.25" top="0.75" bottom="0.75" header="0.3" footer="0.3"/>
  <pageSetup paperSize="8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206"/>
  <sheetViews>
    <sheetView zoomScale="90" zoomScaleNormal="90" workbookViewId="0">
      <pane xSplit="5" ySplit="1" topLeftCell="U2" activePane="bottomRight" state="frozen"/>
      <selection pane="topRight" activeCell="F1" sqref="F1"/>
      <selection pane="bottomLeft" activeCell="A2" sqref="A2"/>
      <selection pane="bottomRight" activeCell="X4" sqref="X4"/>
    </sheetView>
  </sheetViews>
  <sheetFormatPr defaultRowHeight="14.5" x14ac:dyDescent="0.35"/>
  <cols>
    <col min="1" max="1" width="59.453125" customWidth="1"/>
    <col min="2" max="2" width="34.26953125" customWidth="1"/>
    <col min="3" max="3" width="13.26953125" customWidth="1"/>
    <col min="4" max="4" width="10" customWidth="1"/>
    <col min="5" max="5" width="9.453125" customWidth="1"/>
    <col min="6" max="6" width="13" customWidth="1"/>
    <col min="7" max="7" width="8.453125" customWidth="1"/>
    <col min="8" max="8" width="7.7265625" customWidth="1"/>
    <col min="9" max="9" width="12.26953125" customWidth="1"/>
    <col min="10" max="10" width="13" customWidth="1"/>
    <col min="11" max="11" width="20.81640625" customWidth="1"/>
    <col min="12" max="12" width="14.26953125" customWidth="1"/>
    <col min="13" max="13" width="9.7265625" customWidth="1"/>
    <col min="14" max="14" width="12.1796875" customWidth="1"/>
    <col min="15" max="15" width="12.54296875" customWidth="1"/>
    <col min="16" max="16" width="12.453125" customWidth="1"/>
    <col min="17" max="17" width="12.26953125" customWidth="1"/>
    <col min="18" max="18" width="13.7265625" customWidth="1"/>
    <col min="19" max="19" width="12.7265625" customWidth="1"/>
    <col min="20" max="20" width="11.453125" customWidth="1"/>
    <col min="21" max="21" width="10.54296875" customWidth="1"/>
    <col min="22" max="22" width="5" hidden="1" customWidth="1"/>
    <col min="23" max="23" width="0.453125" hidden="1" customWidth="1"/>
    <col min="24" max="24" width="11.54296875" customWidth="1"/>
    <col min="25" max="25" width="10.81640625" customWidth="1"/>
    <col min="26" max="26" width="5.453125" hidden="1" customWidth="1"/>
    <col min="27" max="27" width="10.453125" customWidth="1"/>
    <col min="28" max="28" width="9.26953125" customWidth="1"/>
    <col min="29" max="29" width="12.54296875" customWidth="1"/>
    <col min="30" max="30" width="11.54296875" customWidth="1"/>
    <col min="31" max="31" width="11.81640625" customWidth="1"/>
    <col min="32" max="32" width="8.81640625" hidden="1" customWidth="1"/>
    <col min="33" max="33" width="13.54296875" customWidth="1"/>
    <col min="34" max="34" width="11.453125" customWidth="1"/>
    <col min="35" max="35" width="11.81640625" customWidth="1"/>
    <col min="36" max="36" width="12" customWidth="1"/>
    <col min="37" max="38" width="11.1796875" customWidth="1"/>
    <col min="39" max="39" width="8.7265625" customWidth="1"/>
    <col min="40" max="40" width="9.1796875" customWidth="1"/>
    <col min="41" max="41" width="5" bestFit="1" customWidth="1"/>
    <col min="42" max="44" width="11.453125" customWidth="1"/>
    <col min="45" max="45" width="10.54296875" customWidth="1"/>
    <col min="46" max="46" width="10.7265625" customWidth="1"/>
  </cols>
  <sheetData>
    <row r="1" spans="1:47" ht="7.5" customHeight="1" thickBot="1" x14ac:dyDescent="0.4"/>
    <row r="2" spans="1:47" ht="17.25" customHeight="1" thickTop="1" thickBot="1" x14ac:dyDescent="0.4">
      <c r="A2" s="282" t="s">
        <v>412</v>
      </c>
      <c r="B2" s="283"/>
      <c r="C2" s="283"/>
      <c r="D2" s="283"/>
      <c r="E2" s="283"/>
      <c r="F2" s="283"/>
      <c r="G2" s="284"/>
      <c r="H2" s="245" t="s">
        <v>0</v>
      </c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6"/>
    </row>
    <row r="3" spans="1:47" ht="69.75" customHeight="1" thickTop="1" thickBot="1" x14ac:dyDescent="0.4">
      <c r="A3" s="225" t="s">
        <v>1</v>
      </c>
      <c r="B3" s="225" t="s">
        <v>139</v>
      </c>
      <c r="C3" s="225" t="s">
        <v>140</v>
      </c>
      <c r="D3" s="225" t="s">
        <v>142</v>
      </c>
      <c r="E3" s="226" t="s">
        <v>141</v>
      </c>
      <c r="F3" s="225" t="s">
        <v>2</v>
      </c>
      <c r="G3" s="226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5" t="s">
        <v>9</v>
      </c>
      <c r="N3" s="5" t="s">
        <v>10</v>
      </c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  <c r="U3" s="3" t="s">
        <v>17</v>
      </c>
      <c r="V3" s="1" t="s">
        <v>18</v>
      </c>
      <c r="W3" s="1" t="s">
        <v>19</v>
      </c>
      <c r="X3" s="7" t="s">
        <v>413</v>
      </c>
      <c r="Y3" s="8" t="s">
        <v>154</v>
      </c>
      <c r="Z3" s="9" t="s">
        <v>20</v>
      </c>
      <c r="AA3" s="10" t="s">
        <v>21</v>
      </c>
      <c r="AB3" s="73" t="s">
        <v>143</v>
      </c>
      <c r="AC3" s="11" t="s">
        <v>22</v>
      </c>
      <c r="AD3" s="11" t="s">
        <v>23</v>
      </c>
      <c r="AE3" s="11" t="s">
        <v>24</v>
      </c>
      <c r="AF3" s="12" t="s">
        <v>25</v>
      </c>
      <c r="AG3" s="13" t="s">
        <v>26</v>
      </c>
      <c r="AH3" s="14" t="s">
        <v>149</v>
      </c>
      <c r="AI3" s="14" t="s">
        <v>150</v>
      </c>
      <c r="AJ3" s="74" t="s">
        <v>151</v>
      </c>
      <c r="AK3" s="108" t="s">
        <v>27</v>
      </c>
      <c r="AL3" s="108" t="s">
        <v>28</v>
      </c>
      <c r="AM3" s="15" t="s">
        <v>29</v>
      </c>
      <c r="AN3" s="16"/>
      <c r="AO3" s="16"/>
      <c r="AP3" s="17" t="s">
        <v>30</v>
      </c>
      <c r="AQ3" s="17" t="s">
        <v>31</v>
      </c>
      <c r="AR3" s="75" t="s">
        <v>146</v>
      </c>
      <c r="AS3" s="109" t="s">
        <v>32</v>
      </c>
      <c r="AT3" s="109" t="s">
        <v>33</v>
      </c>
      <c r="AU3" s="18"/>
    </row>
    <row r="4" spans="1:47" ht="42.75" customHeight="1" thickTop="1" thickBot="1" x14ac:dyDescent="0.4">
      <c r="A4" s="19" t="s">
        <v>34</v>
      </c>
      <c r="B4" s="19">
        <v>30521</v>
      </c>
      <c r="C4" s="19">
        <v>185.89</v>
      </c>
      <c r="D4" s="19">
        <v>525.95000000000005</v>
      </c>
      <c r="E4" s="19">
        <v>152.76</v>
      </c>
      <c r="F4" s="20" t="s">
        <v>35</v>
      </c>
      <c r="G4" s="21" t="s">
        <v>36</v>
      </c>
      <c r="H4" s="22" t="s">
        <v>37</v>
      </c>
      <c r="I4" s="23" t="s">
        <v>38</v>
      </c>
      <c r="J4" s="24" t="s">
        <v>39</v>
      </c>
      <c r="K4" s="22"/>
      <c r="L4" s="23" t="s">
        <v>40</v>
      </c>
      <c r="M4" s="22" t="s">
        <v>37</v>
      </c>
      <c r="N4" s="23" t="s">
        <v>40</v>
      </c>
      <c r="O4" s="25"/>
      <c r="P4" s="25"/>
      <c r="Q4" s="25"/>
      <c r="R4" s="25"/>
      <c r="S4" s="25"/>
      <c r="T4" s="25"/>
      <c r="U4" s="25"/>
      <c r="V4" s="26">
        <v>3500</v>
      </c>
      <c r="W4" s="27">
        <v>7.14</v>
      </c>
      <c r="X4" s="94">
        <v>348.47</v>
      </c>
      <c r="Y4" s="29">
        <f t="shared" ref="Y4:Y51" si="0">X4-AN4</f>
        <v>348.47</v>
      </c>
      <c r="Z4" s="30">
        <f t="shared" ref="Z4:Z51" si="1">Y4/W4</f>
        <v>48.805322128851543</v>
      </c>
      <c r="AA4" s="30">
        <f>Y4/10</f>
        <v>34.847000000000001</v>
      </c>
      <c r="AB4" s="96" t="s">
        <v>144</v>
      </c>
      <c r="AC4" s="31"/>
      <c r="AD4" s="31"/>
      <c r="AE4" s="31"/>
      <c r="AF4" s="32">
        <f>Z4/AP4</f>
        <v>1.4793974576796465</v>
      </c>
      <c r="AG4" s="33"/>
      <c r="AH4" s="76"/>
      <c r="AI4" s="76"/>
      <c r="AJ4" s="77">
        <f>AA4/AR4</f>
        <v>1.7815439672801638</v>
      </c>
      <c r="AK4" s="87"/>
      <c r="AL4" s="87"/>
      <c r="AM4" s="37"/>
      <c r="AN4" s="38">
        <f t="shared" ref="AN4:AN51" si="2">AM4*X4</f>
        <v>0</v>
      </c>
      <c r="AP4" s="39">
        <v>32.99</v>
      </c>
      <c r="AQ4" s="39">
        <v>32.99</v>
      </c>
      <c r="AR4" s="39">
        <v>19.559999999999999</v>
      </c>
    </row>
    <row r="5" spans="1:47" ht="42" customHeight="1" thickTop="1" thickBot="1" x14ac:dyDescent="0.4">
      <c r="A5" s="19" t="s">
        <v>41</v>
      </c>
      <c r="B5" s="19">
        <v>30526</v>
      </c>
      <c r="C5" s="19">
        <v>195.83</v>
      </c>
      <c r="D5" s="19">
        <v>736.33</v>
      </c>
      <c r="E5" s="19">
        <v>102.09</v>
      </c>
      <c r="F5" s="20" t="s">
        <v>42</v>
      </c>
      <c r="G5" s="21" t="s">
        <v>36</v>
      </c>
      <c r="H5" s="22" t="s">
        <v>37</v>
      </c>
      <c r="I5" s="23" t="s">
        <v>43</v>
      </c>
      <c r="J5" s="22"/>
      <c r="K5" s="24" t="s">
        <v>39</v>
      </c>
      <c r="L5" s="23" t="s">
        <v>40</v>
      </c>
      <c r="M5" s="22" t="s">
        <v>37</v>
      </c>
      <c r="N5" s="23" t="s">
        <v>40</v>
      </c>
      <c r="O5" s="25"/>
      <c r="P5" s="25"/>
      <c r="Q5" s="25"/>
      <c r="R5" s="25"/>
      <c r="S5" s="25"/>
      <c r="T5" s="25"/>
      <c r="U5" s="25"/>
      <c r="V5" s="26">
        <v>3500</v>
      </c>
      <c r="W5" s="27">
        <v>10</v>
      </c>
      <c r="X5" s="94">
        <v>373.27</v>
      </c>
      <c r="Y5" s="29">
        <f t="shared" si="0"/>
        <v>373.27</v>
      </c>
      <c r="Z5" s="30">
        <f t="shared" si="1"/>
        <v>37.326999999999998</v>
      </c>
      <c r="AA5" s="30">
        <f>Y5/10</f>
        <v>37.326999999999998</v>
      </c>
      <c r="AB5" s="97" t="s">
        <v>145</v>
      </c>
      <c r="AC5" s="31"/>
      <c r="AD5" s="31"/>
      <c r="AE5" s="31"/>
      <c r="AF5" s="32">
        <f>Z5/AP5</f>
        <v>1.1314640800242497</v>
      </c>
      <c r="AG5" s="33"/>
      <c r="AH5" s="76"/>
      <c r="AI5" s="76"/>
      <c r="AJ5" s="77">
        <f>AA5/AR5</f>
        <v>1.9083333333333334</v>
      </c>
      <c r="AK5" s="87"/>
      <c r="AL5" s="87"/>
      <c r="AM5" s="37"/>
      <c r="AN5" s="38">
        <f t="shared" si="2"/>
        <v>0</v>
      </c>
      <c r="AP5" s="39">
        <v>32.99</v>
      </c>
      <c r="AQ5" s="39">
        <v>32.99</v>
      </c>
      <c r="AR5" s="39">
        <v>19.559999999999999</v>
      </c>
    </row>
    <row r="6" spans="1:47" ht="42.75" customHeight="1" thickTop="1" thickBot="1" x14ac:dyDescent="0.4">
      <c r="A6" s="19" t="s">
        <v>44</v>
      </c>
      <c r="B6" s="19">
        <v>107605</v>
      </c>
      <c r="C6" s="19">
        <v>210.84</v>
      </c>
      <c r="D6" s="19">
        <v>1004.04</v>
      </c>
      <c r="E6" s="19">
        <v>65.64</v>
      </c>
      <c r="F6" s="20" t="s">
        <v>45</v>
      </c>
      <c r="G6" s="21" t="s">
        <v>36</v>
      </c>
      <c r="H6" s="22"/>
      <c r="I6" s="22"/>
      <c r="J6" s="22"/>
      <c r="K6" s="22"/>
      <c r="L6" s="22"/>
      <c r="M6" s="22" t="s">
        <v>37</v>
      </c>
      <c r="N6" s="40"/>
      <c r="O6" s="41" t="s">
        <v>46</v>
      </c>
      <c r="P6" s="24"/>
      <c r="Q6" s="24"/>
      <c r="R6" s="24"/>
      <c r="S6" s="24"/>
      <c r="T6" s="24"/>
      <c r="U6" s="24"/>
      <c r="V6" s="26">
        <v>8625</v>
      </c>
      <c r="W6" s="27">
        <v>5.8</v>
      </c>
      <c r="X6" s="94">
        <v>635.91</v>
      </c>
      <c r="Y6" s="29">
        <f t="shared" si="0"/>
        <v>635.91</v>
      </c>
      <c r="Z6" s="30">
        <f t="shared" si="1"/>
        <v>109.6396551724138</v>
      </c>
      <c r="AA6" s="30"/>
      <c r="AB6" s="98"/>
      <c r="AC6" s="31">
        <f>Y6/10</f>
        <v>63.590999999999994</v>
      </c>
      <c r="AD6" s="31"/>
      <c r="AE6" s="31"/>
      <c r="AF6" s="31"/>
      <c r="AG6" s="42"/>
      <c r="AH6" s="88"/>
      <c r="AI6" s="88"/>
      <c r="AJ6" s="88"/>
      <c r="AK6" s="88"/>
      <c r="AL6" s="88"/>
      <c r="AM6" s="37"/>
      <c r="AN6" s="38">
        <f t="shared" si="2"/>
        <v>0</v>
      </c>
      <c r="AP6" s="39">
        <v>32.99</v>
      </c>
      <c r="AQ6" s="39">
        <v>32.99</v>
      </c>
      <c r="AR6" s="39">
        <v>19.559999999999999</v>
      </c>
      <c r="AS6" s="39"/>
    </row>
    <row r="7" spans="1:47" ht="42.75" customHeight="1" thickTop="1" thickBot="1" x14ac:dyDescent="0.4">
      <c r="A7" s="19" t="s">
        <v>47</v>
      </c>
      <c r="B7" s="19"/>
      <c r="C7" s="19"/>
      <c r="D7" s="19"/>
      <c r="E7" s="19"/>
      <c r="F7" s="20" t="s">
        <v>45</v>
      </c>
      <c r="G7" s="21" t="s">
        <v>36</v>
      </c>
      <c r="H7" s="22"/>
      <c r="I7" s="22"/>
      <c r="J7" s="22"/>
      <c r="K7" s="22"/>
      <c r="L7" s="22"/>
      <c r="M7" s="22" t="s">
        <v>37</v>
      </c>
      <c r="N7" s="40"/>
      <c r="O7" s="41" t="s">
        <v>46</v>
      </c>
      <c r="P7" s="24"/>
      <c r="Q7" s="24"/>
      <c r="R7" s="24"/>
      <c r="S7" s="24"/>
      <c r="T7" s="24"/>
      <c r="U7" s="24"/>
      <c r="V7" s="26">
        <v>8625</v>
      </c>
      <c r="W7" s="27">
        <v>1.1599999999999999</v>
      </c>
      <c r="X7" s="28"/>
      <c r="Y7" s="29">
        <f t="shared" si="0"/>
        <v>0</v>
      </c>
      <c r="Z7" s="30">
        <f t="shared" si="1"/>
        <v>0</v>
      </c>
      <c r="AA7" s="30"/>
      <c r="AB7" s="30"/>
      <c r="AC7" s="31">
        <f>Y7/2</f>
        <v>0</v>
      </c>
      <c r="AD7" s="31"/>
      <c r="AE7" s="31"/>
      <c r="AF7" s="31"/>
      <c r="AG7" s="42"/>
      <c r="AH7" s="43"/>
      <c r="AI7" s="43"/>
      <c r="AJ7" s="43"/>
      <c r="AK7" s="43"/>
      <c r="AL7" s="43"/>
      <c r="AM7" s="37"/>
      <c r="AN7" s="38">
        <f t="shared" si="2"/>
        <v>0</v>
      </c>
      <c r="AS7" s="39"/>
    </row>
    <row r="8" spans="1:47" ht="43.5" customHeight="1" thickTop="1" thickBot="1" x14ac:dyDescent="0.4">
      <c r="A8" s="19" t="s">
        <v>48</v>
      </c>
      <c r="B8" s="19">
        <v>108382</v>
      </c>
      <c r="C8" s="19">
        <v>284.02</v>
      </c>
      <c r="D8" s="19">
        <v>1506.09</v>
      </c>
      <c r="E8" s="19">
        <v>75.55</v>
      </c>
      <c r="F8" s="20" t="s">
        <v>45</v>
      </c>
      <c r="G8" s="21" t="s">
        <v>36</v>
      </c>
      <c r="H8" s="22"/>
      <c r="I8" s="22"/>
      <c r="J8" s="22"/>
      <c r="K8" s="22"/>
      <c r="L8" s="22"/>
      <c r="M8" s="22" t="s">
        <v>37</v>
      </c>
      <c r="N8" s="40"/>
      <c r="O8" s="24"/>
      <c r="P8" s="41" t="s">
        <v>46</v>
      </c>
      <c r="Q8" s="24"/>
      <c r="R8" s="24"/>
      <c r="S8" s="41" t="s">
        <v>49</v>
      </c>
      <c r="T8" s="41" t="s">
        <v>50</v>
      </c>
      <c r="U8" s="24"/>
      <c r="V8" s="26">
        <v>8625</v>
      </c>
      <c r="W8" s="27">
        <v>8.6999999999999993</v>
      </c>
      <c r="X8" s="94">
        <v>897.01</v>
      </c>
      <c r="Y8" s="29">
        <f t="shared" si="0"/>
        <v>897.01</v>
      </c>
      <c r="Z8" s="30">
        <f t="shared" si="1"/>
        <v>103.10459770114943</v>
      </c>
      <c r="AA8" s="30"/>
      <c r="AB8" s="98"/>
      <c r="AC8" s="31">
        <f>Y8/10</f>
        <v>89.700999999999993</v>
      </c>
      <c r="AD8" s="31">
        <f>Y8/5</f>
        <v>179.40199999999999</v>
      </c>
      <c r="AE8" s="31"/>
      <c r="AF8" s="31"/>
      <c r="AG8" s="42"/>
      <c r="AH8" s="88"/>
      <c r="AI8" s="88"/>
      <c r="AJ8" s="88"/>
      <c r="AK8" s="88"/>
      <c r="AL8" s="88"/>
      <c r="AM8" s="37"/>
      <c r="AN8" s="38">
        <f t="shared" si="2"/>
        <v>0</v>
      </c>
      <c r="AP8" s="39">
        <v>32.99</v>
      </c>
      <c r="AQ8" s="39">
        <v>32.99</v>
      </c>
      <c r="AR8" s="39">
        <v>19.559999999999999</v>
      </c>
      <c r="AS8" s="39"/>
    </row>
    <row r="9" spans="1:47" ht="45" customHeight="1" thickTop="1" thickBot="1" x14ac:dyDescent="0.4">
      <c r="A9" s="19" t="s">
        <v>51</v>
      </c>
      <c r="B9" s="19">
        <v>107612</v>
      </c>
      <c r="C9" s="19">
        <v>520.75</v>
      </c>
      <c r="D9" s="19">
        <v>2008.14</v>
      </c>
      <c r="E9" s="19">
        <v>81.290000000000006</v>
      </c>
      <c r="F9" s="20" t="s">
        <v>45</v>
      </c>
      <c r="G9" s="21" t="s">
        <v>36</v>
      </c>
      <c r="H9" s="22"/>
      <c r="I9" s="22"/>
      <c r="J9" s="22"/>
      <c r="K9" s="22"/>
      <c r="L9" s="22"/>
      <c r="M9" s="22" t="s">
        <v>37</v>
      </c>
      <c r="N9" s="40"/>
      <c r="O9" s="24"/>
      <c r="P9" s="24"/>
      <c r="Q9" s="41" t="s">
        <v>46</v>
      </c>
      <c r="R9" s="41" t="s">
        <v>52</v>
      </c>
      <c r="S9" s="24"/>
      <c r="T9" s="24"/>
      <c r="U9" s="24"/>
      <c r="V9" s="26">
        <v>8625</v>
      </c>
      <c r="W9" s="44">
        <v>11.59</v>
      </c>
      <c r="X9" s="94">
        <v>1202.6600000000001</v>
      </c>
      <c r="Y9" s="29">
        <f t="shared" si="0"/>
        <v>1202.6600000000001</v>
      </c>
      <c r="Z9" s="30">
        <f t="shared" si="1"/>
        <v>103.76704055220019</v>
      </c>
      <c r="AA9" s="30"/>
      <c r="AB9" s="98"/>
      <c r="AC9" s="106">
        <f>Y9/10</f>
        <v>120.26600000000001</v>
      </c>
      <c r="AD9" s="31"/>
      <c r="AE9" s="31"/>
      <c r="AF9" s="31"/>
      <c r="AG9" s="42"/>
      <c r="AH9" s="88"/>
      <c r="AI9" s="88"/>
      <c r="AJ9" s="88"/>
      <c r="AK9" s="89">
        <f>AC9/AS9</f>
        <v>0.86935087465664307</v>
      </c>
      <c r="AL9" s="88"/>
      <c r="AM9" s="37"/>
      <c r="AN9" s="38">
        <f t="shared" si="2"/>
        <v>0</v>
      </c>
      <c r="AP9" s="39">
        <v>32.99</v>
      </c>
      <c r="AQ9" s="39">
        <v>32.99</v>
      </c>
      <c r="AR9" s="39">
        <v>19.559999999999999</v>
      </c>
      <c r="AS9" s="39">
        <v>138.34</v>
      </c>
    </row>
    <row r="10" spans="1:47" ht="44.25" customHeight="1" thickTop="1" thickBot="1" x14ac:dyDescent="0.4">
      <c r="A10" s="19" t="s">
        <v>53</v>
      </c>
      <c r="B10" s="19"/>
      <c r="C10" s="19"/>
      <c r="D10" s="19"/>
      <c r="E10" s="19"/>
      <c r="F10" s="20" t="s">
        <v>45</v>
      </c>
      <c r="G10" s="21" t="s">
        <v>36</v>
      </c>
      <c r="H10" s="22"/>
      <c r="I10" s="22"/>
      <c r="J10" s="22"/>
      <c r="K10" s="22"/>
      <c r="L10" s="22"/>
      <c r="M10" s="22" t="s">
        <v>37</v>
      </c>
      <c r="N10" s="40"/>
      <c r="O10" s="24"/>
      <c r="P10" s="24"/>
      <c r="Q10" s="41" t="s">
        <v>46</v>
      </c>
      <c r="R10" s="41" t="s">
        <v>52</v>
      </c>
      <c r="S10" s="24"/>
      <c r="T10" s="24"/>
      <c r="U10" s="24"/>
      <c r="V10" s="26">
        <v>8625</v>
      </c>
      <c r="W10" s="44">
        <v>2.3199999999999998</v>
      </c>
      <c r="X10" s="28"/>
      <c r="Y10" s="29">
        <f t="shared" si="0"/>
        <v>0</v>
      </c>
      <c r="Z10" s="30">
        <f t="shared" si="1"/>
        <v>0</v>
      </c>
      <c r="AA10" s="30"/>
      <c r="AB10" s="30"/>
      <c r="AC10" s="31">
        <f>Y10/2</f>
        <v>0</v>
      </c>
      <c r="AD10" s="31"/>
      <c r="AE10" s="31"/>
      <c r="AF10" s="31"/>
      <c r="AG10" s="42"/>
      <c r="AH10" s="43"/>
      <c r="AI10" s="43"/>
      <c r="AJ10" s="43"/>
      <c r="AK10" s="45">
        <f>AC10/AS10</f>
        <v>0</v>
      </c>
      <c r="AL10" s="43"/>
      <c r="AM10" s="37"/>
      <c r="AN10" s="38">
        <f t="shared" si="2"/>
        <v>0</v>
      </c>
      <c r="AS10" s="39">
        <v>106.94</v>
      </c>
    </row>
    <row r="11" spans="1:47" ht="39" customHeight="1" thickTop="1" thickBot="1" x14ac:dyDescent="0.4">
      <c r="A11" s="19" t="s">
        <v>54</v>
      </c>
      <c r="B11" s="19">
        <v>115400</v>
      </c>
      <c r="C11" s="19">
        <v>66.09</v>
      </c>
      <c r="D11" s="19">
        <v>368.16</v>
      </c>
      <c r="E11" s="19">
        <v>46.2</v>
      </c>
      <c r="F11" s="20" t="s">
        <v>55</v>
      </c>
      <c r="G11" s="21" t="s">
        <v>56</v>
      </c>
      <c r="H11" s="22" t="s">
        <v>37</v>
      </c>
      <c r="I11" s="23" t="s">
        <v>57</v>
      </c>
      <c r="J11" s="24" t="s">
        <v>39</v>
      </c>
      <c r="K11" s="22"/>
      <c r="L11" s="22"/>
      <c r="M11" s="22" t="s">
        <v>37</v>
      </c>
      <c r="N11" s="23" t="s">
        <v>40</v>
      </c>
      <c r="O11" s="46"/>
      <c r="P11" s="46"/>
      <c r="Q11" s="46"/>
      <c r="R11" s="46"/>
      <c r="S11" s="46"/>
      <c r="T11" s="46"/>
      <c r="U11" s="46" t="s">
        <v>37</v>
      </c>
      <c r="V11" s="47">
        <v>4000</v>
      </c>
      <c r="W11" s="44">
        <v>5</v>
      </c>
      <c r="X11" s="28">
        <v>348.27</v>
      </c>
      <c r="Y11" s="29">
        <f t="shared" si="0"/>
        <v>348.27</v>
      </c>
      <c r="Z11" s="30">
        <f t="shared" si="1"/>
        <v>69.653999999999996</v>
      </c>
      <c r="AA11" s="30">
        <f>Y11/10</f>
        <v>34.826999999999998</v>
      </c>
      <c r="AB11" s="99" t="s">
        <v>144</v>
      </c>
      <c r="AC11" s="31"/>
      <c r="AD11" s="31"/>
      <c r="AE11" s="31"/>
      <c r="AF11" s="32">
        <f>Z11/AP11</f>
        <v>2.1113670809336158</v>
      </c>
      <c r="AG11" s="33"/>
      <c r="AH11" s="76"/>
      <c r="AI11" s="76"/>
      <c r="AJ11" s="77">
        <f>AA11/AR11</f>
        <v>1.7805214723926381</v>
      </c>
      <c r="AK11" s="87"/>
      <c r="AL11" s="87"/>
      <c r="AM11" s="37"/>
      <c r="AN11" s="38">
        <f t="shared" si="2"/>
        <v>0</v>
      </c>
      <c r="AP11" s="39">
        <v>32.99</v>
      </c>
      <c r="AQ11" s="39">
        <v>32.99</v>
      </c>
      <c r="AR11" s="39">
        <v>19.559999999999999</v>
      </c>
    </row>
    <row r="12" spans="1:47" ht="38.25" customHeight="1" thickTop="1" thickBot="1" x14ac:dyDescent="0.4">
      <c r="A12" s="19" t="s">
        <v>58</v>
      </c>
      <c r="B12" s="19">
        <v>125286</v>
      </c>
      <c r="C12" s="19"/>
      <c r="D12" s="19"/>
      <c r="E12" s="19">
        <v>0</v>
      </c>
      <c r="F12" s="20" t="s">
        <v>55</v>
      </c>
      <c r="G12" s="21" t="s">
        <v>56</v>
      </c>
      <c r="H12" s="22" t="s">
        <v>37</v>
      </c>
      <c r="I12" s="23" t="s">
        <v>57</v>
      </c>
      <c r="J12" s="24" t="s">
        <v>39</v>
      </c>
      <c r="K12" s="22"/>
      <c r="L12" s="22"/>
      <c r="M12" s="22" t="s">
        <v>37</v>
      </c>
      <c r="N12" s="23" t="s">
        <v>40</v>
      </c>
      <c r="O12" s="46"/>
      <c r="P12" s="46"/>
      <c r="Q12" s="46"/>
      <c r="R12" s="46"/>
      <c r="S12" s="46"/>
      <c r="T12" s="46"/>
      <c r="U12" s="46" t="s">
        <v>37</v>
      </c>
      <c r="V12" s="47">
        <v>4000</v>
      </c>
      <c r="W12" s="44">
        <v>25</v>
      </c>
      <c r="X12" s="28">
        <v>1315.6</v>
      </c>
      <c r="Y12" s="29">
        <f t="shared" si="0"/>
        <v>1315.6</v>
      </c>
      <c r="Z12" s="30">
        <f t="shared" si="1"/>
        <v>52.623999999999995</v>
      </c>
      <c r="AA12" s="30">
        <f>Y12/50</f>
        <v>26.311999999999998</v>
      </c>
      <c r="AB12" s="30"/>
      <c r="AC12" s="31"/>
      <c r="AD12" s="31"/>
      <c r="AE12" s="31"/>
      <c r="AF12" s="32">
        <f>Z12/AP12</f>
        <v>2.1074889867841411</v>
      </c>
      <c r="AG12" s="33"/>
      <c r="AH12" s="34">
        <f t="shared" ref="AH12:AH14" si="3">AA12/AP12</f>
        <v>1.0537444933920705</v>
      </c>
      <c r="AI12" s="35">
        <f t="shared" ref="AI12:AI14" si="4">AA12/AQ12</f>
        <v>0.94173228346456683</v>
      </c>
      <c r="AJ12" s="35"/>
      <c r="AK12" s="36"/>
      <c r="AL12" s="36"/>
      <c r="AM12" s="37"/>
      <c r="AN12" s="38">
        <f t="shared" si="2"/>
        <v>0</v>
      </c>
      <c r="AP12" s="39">
        <v>24.97</v>
      </c>
      <c r="AQ12" s="39">
        <v>27.94</v>
      </c>
      <c r="AR12" s="39"/>
    </row>
    <row r="13" spans="1:47" ht="44.25" customHeight="1" thickTop="1" thickBot="1" x14ac:dyDescent="0.4">
      <c r="A13" s="19" t="s">
        <v>59</v>
      </c>
      <c r="B13" s="19">
        <v>115401</v>
      </c>
      <c r="C13" s="19">
        <v>87.97</v>
      </c>
      <c r="D13" s="19">
        <v>736.33</v>
      </c>
      <c r="E13" s="19">
        <v>0</v>
      </c>
      <c r="F13" s="20" t="s">
        <v>55</v>
      </c>
      <c r="G13" s="21" t="s">
        <v>56</v>
      </c>
      <c r="H13" s="22" t="s">
        <v>37</v>
      </c>
      <c r="I13" s="23" t="s">
        <v>57</v>
      </c>
      <c r="J13" s="22"/>
      <c r="K13" s="24" t="s">
        <v>39</v>
      </c>
      <c r="L13" s="24" t="s">
        <v>39</v>
      </c>
      <c r="M13" s="22" t="s">
        <v>37</v>
      </c>
      <c r="N13" s="23" t="s">
        <v>40</v>
      </c>
      <c r="O13" s="46"/>
      <c r="P13" s="46"/>
      <c r="Q13" s="46"/>
      <c r="R13" s="46"/>
      <c r="S13" s="46"/>
      <c r="T13" s="46"/>
      <c r="U13" s="46" t="s">
        <v>37</v>
      </c>
      <c r="V13" s="47">
        <v>4000</v>
      </c>
      <c r="W13" s="44">
        <v>10</v>
      </c>
      <c r="X13" s="28">
        <v>648.36</v>
      </c>
      <c r="Y13" s="29">
        <f t="shared" si="0"/>
        <v>648.36</v>
      </c>
      <c r="Z13" s="30">
        <f t="shared" si="1"/>
        <v>64.835999999999999</v>
      </c>
      <c r="AA13" s="30">
        <f>Y13/10</f>
        <v>64.835999999999999</v>
      </c>
      <c r="AB13" s="98"/>
      <c r="AC13" s="31"/>
      <c r="AD13" s="31"/>
      <c r="AE13" s="31"/>
      <c r="AF13" s="32">
        <f>Z13/AP13</f>
        <v>1.9653228250985146</v>
      </c>
      <c r="AG13" s="33"/>
      <c r="AH13" s="78">
        <f t="shared" si="3"/>
        <v>1.9653228250985146</v>
      </c>
      <c r="AI13" s="79">
        <f t="shared" si="4"/>
        <v>1.9653228250985146</v>
      </c>
      <c r="AJ13" s="76"/>
      <c r="AK13" s="87"/>
      <c r="AL13" s="87"/>
      <c r="AM13" s="37"/>
      <c r="AN13" s="38">
        <f t="shared" si="2"/>
        <v>0</v>
      </c>
      <c r="AP13" s="39">
        <v>32.99</v>
      </c>
      <c r="AQ13" s="39">
        <v>32.99</v>
      </c>
      <c r="AR13" s="39">
        <v>19.559999999999999</v>
      </c>
    </row>
    <row r="14" spans="1:47" ht="41.25" customHeight="1" thickTop="1" thickBot="1" x14ac:dyDescent="0.4">
      <c r="A14" s="19" t="s">
        <v>60</v>
      </c>
      <c r="B14" s="19">
        <v>125287</v>
      </c>
      <c r="C14" s="19"/>
      <c r="D14" s="19"/>
      <c r="E14" s="19"/>
      <c r="F14" s="20" t="s">
        <v>55</v>
      </c>
      <c r="G14" s="21" t="s">
        <v>56</v>
      </c>
      <c r="H14" s="22" t="s">
        <v>37</v>
      </c>
      <c r="I14" s="23" t="s">
        <v>57</v>
      </c>
      <c r="J14" s="22"/>
      <c r="K14" s="24" t="s">
        <v>39</v>
      </c>
      <c r="L14" s="24" t="s">
        <v>39</v>
      </c>
      <c r="M14" s="22" t="s">
        <v>37</v>
      </c>
      <c r="N14" s="23" t="s">
        <v>40</v>
      </c>
      <c r="O14" s="46"/>
      <c r="P14" s="46"/>
      <c r="Q14" s="46"/>
      <c r="R14" s="46"/>
      <c r="S14" s="46"/>
      <c r="T14" s="46"/>
      <c r="U14" s="46" t="s">
        <v>37</v>
      </c>
      <c r="V14" s="47">
        <v>4000</v>
      </c>
      <c r="W14" s="44">
        <v>50</v>
      </c>
      <c r="X14" s="28">
        <v>1897.5</v>
      </c>
      <c r="Y14" s="29">
        <f t="shared" si="0"/>
        <v>1897.5</v>
      </c>
      <c r="Z14" s="30">
        <f t="shared" si="1"/>
        <v>37.950000000000003</v>
      </c>
      <c r="AA14" s="30">
        <f>Y14/50</f>
        <v>37.950000000000003</v>
      </c>
      <c r="AB14" s="30"/>
      <c r="AC14" s="31"/>
      <c r="AD14" s="31"/>
      <c r="AE14" s="31"/>
      <c r="AF14" s="32">
        <f>Z14/AP14</f>
        <v>1.5198237885462558</v>
      </c>
      <c r="AG14" s="33"/>
      <c r="AH14" s="34">
        <f t="shared" si="3"/>
        <v>1.5198237885462558</v>
      </c>
      <c r="AI14" s="35">
        <f t="shared" si="4"/>
        <v>1.3582677165354331</v>
      </c>
      <c r="AJ14" s="35"/>
      <c r="AK14" s="36"/>
      <c r="AL14" s="36"/>
      <c r="AM14" s="37"/>
      <c r="AN14" s="38">
        <f t="shared" si="2"/>
        <v>0</v>
      </c>
      <c r="AP14" s="39">
        <v>24.97</v>
      </c>
      <c r="AQ14" s="39">
        <v>27.94</v>
      </c>
      <c r="AR14" s="39"/>
    </row>
    <row r="15" spans="1:47" ht="44.25" customHeight="1" thickTop="1" thickBot="1" x14ac:dyDescent="0.4">
      <c r="A15" s="19" t="s">
        <v>59</v>
      </c>
      <c r="B15" s="19">
        <v>115401</v>
      </c>
      <c r="C15" s="19">
        <v>87.97</v>
      </c>
      <c r="D15" s="19">
        <v>736.33</v>
      </c>
      <c r="E15" s="19">
        <v>0</v>
      </c>
      <c r="F15" s="20" t="s">
        <v>55</v>
      </c>
      <c r="G15" s="21" t="s">
        <v>56</v>
      </c>
      <c r="H15" s="22" t="s">
        <v>37</v>
      </c>
      <c r="I15" s="23" t="s">
        <v>57</v>
      </c>
      <c r="J15" s="22"/>
      <c r="K15" s="22"/>
      <c r="L15" s="22"/>
      <c r="M15" s="22" t="s">
        <v>37</v>
      </c>
      <c r="N15" s="40"/>
      <c r="O15" s="41" t="s">
        <v>61</v>
      </c>
      <c r="P15" s="46"/>
      <c r="Q15" s="46"/>
      <c r="R15" s="46"/>
      <c r="S15" s="46"/>
      <c r="T15" s="46"/>
      <c r="U15" s="46" t="s">
        <v>37</v>
      </c>
      <c r="V15" s="47">
        <v>11250</v>
      </c>
      <c r="W15" s="44">
        <v>3.56</v>
      </c>
      <c r="X15" s="28">
        <v>648.36</v>
      </c>
      <c r="Y15" s="29">
        <f t="shared" si="0"/>
        <v>648.36</v>
      </c>
      <c r="Z15" s="30">
        <f t="shared" si="1"/>
        <v>182.12359550561797</v>
      </c>
      <c r="AA15" s="30"/>
      <c r="AB15" s="98"/>
      <c r="AC15" s="31"/>
      <c r="AD15" s="31"/>
      <c r="AE15" s="31">
        <f>Y15/5</f>
        <v>129.672</v>
      </c>
      <c r="AF15" s="32"/>
      <c r="AG15" s="42"/>
      <c r="AH15" s="88"/>
      <c r="AI15" s="88"/>
      <c r="AJ15" s="88"/>
      <c r="AK15" s="88"/>
      <c r="AL15" s="88"/>
      <c r="AM15" s="37"/>
      <c r="AN15" s="38">
        <f t="shared" si="2"/>
        <v>0</v>
      </c>
      <c r="AP15" s="39">
        <v>32.99</v>
      </c>
      <c r="AQ15" s="39">
        <v>32.99</v>
      </c>
      <c r="AR15" s="39">
        <v>19.559999999999999</v>
      </c>
      <c r="AS15" s="39"/>
    </row>
    <row r="16" spans="1:47" ht="41.25" customHeight="1" thickTop="1" thickBot="1" x14ac:dyDescent="0.4">
      <c r="A16" s="19" t="s">
        <v>60</v>
      </c>
      <c r="B16" s="19">
        <v>125287</v>
      </c>
      <c r="C16" s="19"/>
      <c r="D16" s="19"/>
      <c r="E16" s="19"/>
      <c r="F16" s="20" t="s">
        <v>55</v>
      </c>
      <c r="G16" s="21" t="s">
        <v>56</v>
      </c>
      <c r="H16" s="22" t="s">
        <v>37</v>
      </c>
      <c r="I16" s="23" t="s">
        <v>57</v>
      </c>
      <c r="J16" s="22"/>
      <c r="K16" s="22"/>
      <c r="L16" s="22"/>
      <c r="M16" s="22" t="s">
        <v>37</v>
      </c>
      <c r="N16" s="40"/>
      <c r="O16" s="41" t="s">
        <v>61</v>
      </c>
      <c r="P16" s="46"/>
      <c r="Q16" s="46"/>
      <c r="R16" s="46"/>
      <c r="S16" s="46"/>
      <c r="T16" s="46"/>
      <c r="U16" s="46" t="s">
        <v>37</v>
      </c>
      <c r="V16" s="47">
        <v>11250</v>
      </c>
      <c r="W16" s="44">
        <v>17.78</v>
      </c>
      <c r="X16" s="28">
        <v>1897.5</v>
      </c>
      <c r="Y16" s="29">
        <f t="shared" si="0"/>
        <v>1897.5</v>
      </c>
      <c r="Z16" s="30">
        <f t="shared" si="1"/>
        <v>106.72103487064116</v>
      </c>
      <c r="AA16" s="30"/>
      <c r="AB16" s="30"/>
      <c r="AC16" s="31"/>
      <c r="AD16" s="31"/>
      <c r="AE16" s="31">
        <f>Y16/25</f>
        <v>75.900000000000006</v>
      </c>
      <c r="AF16" s="32"/>
      <c r="AG16" s="42"/>
      <c r="AH16" s="43"/>
      <c r="AI16" s="43"/>
      <c r="AJ16" s="43"/>
      <c r="AK16" s="43"/>
      <c r="AL16" s="43"/>
      <c r="AM16" s="37"/>
      <c r="AN16" s="38">
        <f t="shared" si="2"/>
        <v>0</v>
      </c>
      <c r="AP16" s="39"/>
      <c r="AQ16" s="39"/>
      <c r="AR16" s="39"/>
      <c r="AS16" s="39"/>
    </row>
    <row r="17" spans="1:46" ht="52.5" customHeight="1" thickTop="1" thickBot="1" x14ac:dyDescent="0.4">
      <c r="A17" s="19" t="s">
        <v>62</v>
      </c>
      <c r="B17" s="19">
        <v>115402</v>
      </c>
      <c r="C17" s="19">
        <v>77.540000000000006</v>
      </c>
      <c r="D17" s="19">
        <v>923.75</v>
      </c>
      <c r="E17" s="19">
        <v>0</v>
      </c>
      <c r="F17" s="20" t="s">
        <v>55</v>
      </c>
      <c r="G17" s="21" t="s">
        <v>56</v>
      </c>
      <c r="H17" s="22" t="s">
        <v>37</v>
      </c>
      <c r="I17" s="23" t="s">
        <v>57</v>
      </c>
      <c r="J17" s="22"/>
      <c r="K17" s="22"/>
      <c r="L17" s="22"/>
      <c r="M17" s="22" t="s">
        <v>37</v>
      </c>
      <c r="N17" s="40"/>
      <c r="O17" s="48" t="s">
        <v>63</v>
      </c>
      <c r="P17" s="41" t="s">
        <v>61</v>
      </c>
      <c r="Q17" s="46"/>
      <c r="R17" s="46"/>
      <c r="S17" s="46"/>
      <c r="T17" s="46"/>
      <c r="U17" s="46" t="s">
        <v>37</v>
      </c>
      <c r="V17" s="47">
        <v>11250</v>
      </c>
      <c r="W17" s="44">
        <v>5.33</v>
      </c>
      <c r="X17" s="28">
        <v>846.27</v>
      </c>
      <c r="Y17" s="29">
        <f t="shared" si="0"/>
        <v>846.27</v>
      </c>
      <c r="Z17" s="30">
        <f t="shared" si="1"/>
        <v>158.7748592870544</v>
      </c>
      <c r="AA17" s="30"/>
      <c r="AB17" s="98"/>
      <c r="AC17" s="31">
        <f>Y17/10</f>
        <v>84.626999999999995</v>
      </c>
      <c r="AD17" s="31"/>
      <c r="AE17" s="31">
        <f>Y17/5</f>
        <v>169.25399999999999</v>
      </c>
      <c r="AF17" s="31"/>
      <c r="AG17" s="42"/>
      <c r="AH17" s="88"/>
      <c r="AI17" s="88"/>
      <c r="AJ17" s="88"/>
      <c r="AK17" s="88"/>
      <c r="AL17" s="88"/>
      <c r="AM17" s="37"/>
      <c r="AN17" s="38">
        <f t="shared" si="2"/>
        <v>0</v>
      </c>
      <c r="AP17" s="39">
        <v>32.99</v>
      </c>
      <c r="AQ17" s="39">
        <v>32.99</v>
      </c>
      <c r="AR17" s="39">
        <v>19.559999999999999</v>
      </c>
      <c r="AS17" s="39"/>
    </row>
    <row r="18" spans="1:46" ht="55.5" customHeight="1" thickTop="1" thickBot="1" x14ac:dyDescent="0.4">
      <c r="A18" s="19" t="s">
        <v>64</v>
      </c>
      <c r="B18" s="19">
        <v>125288</v>
      </c>
      <c r="C18" s="19"/>
      <c r="D18" s="19"/>
      <c r="E18" s="19"/>
      <c r="F18" s="20" t="s">
        <v>55</v>
      </c>
      <c r="G18" s="21" t="s">
        <v>56</v>
      </c>
      <c r="H18" s="22" t="s">
        <v>37</v>
      </c>
      <c r="I18" s="23" t="s">
        <v>57</v>
      </c>
      <c r="J18" s="22"/>
      <c r="K18" s="22"/>
      <c r="L18" s="22"/>
      <c r="M18" s="22" t="s">
        <v>37</v>
      </c>
      <c r="N18" s="40"/>
      <c r="O18" s="48" t="s">
        <v>63</v>
      </c>
      <c r="P18" s="41" t="s">
        <v>61</v>
      </c>
      <c r="Q18" s="46"/>
      <c r="R18" s="46"/>
      <c r="S18" s="46"/>
      <c r="T18" s="46"/>
      <c r="U18" s="46" t="s">
        <v>37</v>
      </c>
      <c r="V18" s="47">
        <v>11250</v>
      </c>
      <c r="W18" s="44">
        <v>26.6</v>
      </c>
      <c r="X18" s="28">
        <v>2722.5</v>
      </c>
      <c r="Y18" s="29">
        <f t="shared" si="0"/>
        <v>2722.5</v>
      </c>
      <c r="Z18" s="30">
        <f t="shared" si="1"/>
        <v>102.34962406015038</v>
      </c>
      <c r="AA18" s="30"/>
      <c r="AB18" s="30"/>
      <c r="AC18" s="31">
        <f>Y18/50</f>
        <v>54.45</v>
      </c>
      <c r="AD18" s="31"/>
      <c r="AE18" s="31">
        <f>Y18/25</f>
        <v>108.9</v>
      </c>
      <c r="AF18" s="31"/>
      <c r="AG18" s="42"/>
      <c r="AH18" s="43"/>
      <c r="AI18" s="43"/>
      <c r="AJ18" s="43"/>
      <c r="AK18" s="43"/>
      <c r="AL18" s="43"/>
      <c r="AM18" s="37"/>
      <c r="AN18" s="38">
        <f t="shared" si="2"/>
        <v>0</v>
      </c>
      <c r="AS18" s="39"/>
    </row>
    <row r="19" spans="1:46" ht="40.5" customHeight="1" thickTop="1" thickBot="1" x14ac:dyDescent="0.4">
      <c r="A19" s="19" t="s">
        <v>65</v>
      </c>
      <c r="B19" s="19">
        <v>115403</v>
      </c>
      <c r="C19" s="19">
        <v>89.83</v>
      </c>
      <c r="D19" s="19">
        <v>1231.6600000000001</v>
      </c>
      <c r="E19" s="19">
        <v>0</v>
      </c>
      <c r="F19" s="20" t="s">
        <v>55</v>
      </c>
      <c r="G19" s="21" t="s">
        <v>56</v>
      </c>
      <c r="H19" s="22" t="s">
        <v>37</v>
      </c>
      <c r="I19" s="23" t="s">
        <v>57</v>
      </c>
      <c r="J19" s="22"/>
      <c r="K19" s="22"/>
      <c r="L19" s="22"/>
      <c r="M19" s="22" t="s">
        <v>37</v>
      </c>
      <c r="N19" s="40"/>
      <c r="O19" s="48" t="s">
        <v>66</v>
      </c>
      <c r="P19" s="48" t="s">
        <v>67</v>
      </c>
      <c r="Q19" s="41" t="s">
        <v>61</v>
      </c>
      <c r="R19" s="46"/>
      <c r="S19" s="46"/>
      <c r="T19" s="41" t="s">
        <v>68</v>
      </c>
      <c r="U19" s="46" t="s">
        <v>37</v>
      </c>
      <c r="V19" s="47">
        <v>11250</v>
      </c>
      <c r="W19" s="44">
        <v>7.11</v>
      </c>
      <c r="X19" s="28">
        <v>1141.83</v>
      </c>
      <c r="Y19" s="29">
        <f t="shared" si="0"/>
        <v>1141.83</v>
      </c>
      <c r="Z19" s="30">
        <f t="shared" si="1"/>
        <v>160.59493670886073</v>
      </c>
      <c r="AA19" s="30"/>
      <c r="AB19" s="30"/>
      <c r="AC19" s="31">
        <f>Y19/10</f>
        <v>114.18299999999999</v>
      </c>
      <c r="AD19" s="31"/>
      <c r="AE19" s="31">
        <f>Y19/5</f>
        <v>228.36599999999999</v>
      </c>
      <c r="AF19" s="31"/>
      <c r="AG19" s="49">
        <f>Y19/2.5</f>
        <v>456.73199999999997</v>
      </c>
      <c r="AH19" s="50"/>
      <c r="AI19" s="50"/>
      <c r="AJ19" s="50"/>
      <c r="AK19" s="51"/>
      <c r="AL19" s="52">
        <f>AE19/AT19</f>
        <v>2.0195083126989739</v>
      </c>
      <c r="AM19" s="37"/>
      <c r="AN19" s="38">
        <f t="shared" si="2"/>
        <v>0</v>
      </c>
      <c r="AS19" s="39"/>
      <c r="AT19" s="39">
        <v>113.08</v>
      </c>
    </row>
    <row r="20" spans="1:46" ht="30.75" customHeight="1" thickTop="1" thickBot="1" x14ac:dyDescent="0.4">
      <c r="A20" s="19" t="s">
        <v>69</v>
      </c>
      <c r="B20" s="19">
        <v>125289</v>
      </c>
      <c r="C20" s="19"/>
      <c r="D20" s="19"/>
      <c r="E20" s="19"/>
      <c r="F20" s="20" t="s">
        <v>55</v>
      </c>
      <c r="G20" s="21" t="s">
        <v>56</v>
      </c>
      <c r="H20" s="22" t="s">
        <v>37</v>
      </c>
      <c r="I20" s="23" t="s">
        <v>57</v>
      </c>
      <c r="J20" s="22"/>
      <c r="K20" s="22"/>
      <c r="L20" s="22"/>
      <c r="M20" s="22" t="s">
        <v>37</v>
      </c>
      <c r="N20" s="40"/>
      <c r="O20" s="48" t="s">
        <v>66</v>
      </c>
      <c r="P20" s="48" t="s">
        <v>67</v>
      </c>
      <c r="Q20" s="41" t="s">
        <v>61</v>
      </c>
      <c r="R20" s="46"/>
      <c r="S20" s="46"/>
      <c r="T20" s="41" t="s">
        <v>68</v>
      </c>
      <c r="U20" s="46" t="s">
        <v>37</v>
      </c>
      <c r="V20" s="47">
        <v>11250</v>
      </c>
      <c r="W20" s="44">
        <v>35.6</v>
      </c>
      <c r="X20" s="28">
        <v>3685</v>
      </c>
      <c r="Y20" s="29">
        <f t="shared" si="0"/>
        <v>3685</v>
      </c>
      <c r="Z20" s="30">
        <f t="shared" si="1"/>
        <v>103.51123595505618</v>
      </c>
      <c r="AA20" s="30"/>
      <c r="AB20" s="30"/>
      <c r="AC20" s="31">
        <f>Y20/50</f>
        <v>73.7</v>
      </c>
      <c r="AD20" s="31"/>
      <c r="AE20" s="31">
        <f>Y20/25</f>
        <v>147.4</v>
      </c>
      <c r="AF20" s="31"/>
      <c r="AG20" s="49">
        <f>Y20/12.5</f>
        <v>294.8</v>
      </c>
      <c r="AH20" s="50"/>
      <c r="AI20" s="50"/>
      <c r="AJ20" s="50"/>
      <c r="AK20" s="51"/>
      <c r="AL20" s="52">
        <f>AE20/AT20</f>
        <v>1.3035019455252919</v>
      </c>
      <c r="AM20" s="37"/>
      <c r="AN20" s="38">
        <f t="shared" si="2"/>
        <v>0</v>
      </c>
      <c r="AS20" s="39"/>
      <c r="AT20" s="39">
        <v>113.08</v>
      </c>
    </row>
    <row r="21" spans="1:46" ht="55.5" customHeight="1" thickTop="1" thickBot="1" x14ac:dyDescent="0.4">
      <c r="A21" s="19" t="s">
        <v>70</v>
      </c>
      <c r="B21" s="19">
        <v>115404</v>
      </c>
      <c r="C21" s="19">
        <v>301.73</v>
      </c>
      <c r="D21" s="19">
        <v>1539.57</v>
      </c>
      <c r="E21" s="19">
        <v>0</v>
      </c>
      <c r="F21" s="20" t="s">
        <v>55</v>
      </c>
      <c r="G21" s="21" t="s">
        <v>56</v>
      </c>
      <c r="H21" s="22" t="s">
        <v>37</v>
      </c>
      <c r="I21" s="23" t="s">
        <v>57</v>
      </c>
      <c r="J21" s="22"/>
      <c r="K21" s="22"/>
      <c r="L21" s="22"/>
      <c r="M21" s="22" t="s">
        <v>37</v>
      </c>
      <c r="N21" s="40"/>
      <c r="O21" s="46"/>
      <c r="P21" s="48" t="s">
        <v>71</v>
      </c>
      <c r="Q21" s="48" t="s">
        <v>72</v>
      </c>
      <c r="R21" s="41" t="s">
        <v>61</v>
      </c>
      <c r="S21" s="46"/>
      <c r="T21" s="46"/>
      <c r="U21" s="46" t="s">
        <v>37</v>
      </c>
      <c r="V21" s="47">
        <v>11250</v>
      </c>
      <c r="W21" s="44">
        <v>8.89</v>
      </c>
      <c r="X21" s="28">
        <v>1237.83</v>
      </c>
      <c r="Y21" s="29">
        <f t="shared" si="0"/>
        <v>1237.83</v>
      </c>
      <c r="Z21" s="30">
        <f t="shared" si="1"/>
        <v>139.23847019122607</v>
      </c>
      <c r="AA21" s="30"/>
      <c r="AB21" s="98"/>
      <c r="AC21" s="31">
        <f>Y21/10</f>
        <v>123.78299999999999</v>
      </c>
      <c r="AD21" s="31"/>
      <c r="AE21" s="31">
        <f>Y21/5</f>
        <v>247.56599999999997</v>
      </c>
      <c r="AF21" s="31"/>
      <c r="AG21" s="42"/>
      <c r="AH21" s="88"/>
      <c r="AI21" s="88"/>
      <c r="AJ21" s="88"/>
      <c r="AK21" s="90"/>
      <c r="AL21" s="88"/>
      <c r="AM21" s="37"/>
      <c r="AN21" s="38">
        <f t="shared" si="2"/>
        <v>0</v>
      </c>
      <c r="AP21" s="39">
        <v>32.99</v>
      </c>
      <c r="AQ21" s="39">
        <v>32.99</v>
      </c>
      <c r="AR21" s="39">
        <v>19.559999999999999</v>
      </c>
      <c r="AS21" s="39"/>
    </row>
    <row r="22" spans="1:46" ht="54" customHeight="1" thickTop="1" thickBot="1" x14ac:dyDescent="0.4">
      <c r="A22" s="19" t="s">
        <v>73</v>
      </c>
      <c r="B22" s="19">
        <v>125290</v>
      </c>
      <c r="C22" s="19"/>
      <c r="D22" s="19"/>
      <c r="E22" s="19"/>
      <c r="F22" s="20" t="s">
        <v>55</v>
      </c>
      <c r="G22" s="21" t="s">
        <v>56</v>
      </c>
      <c r="H22" s="22" t="s">
        <v>37</v>
      </c>
      <c r="I22" s="23" t="s">
        <v>57</v>
      </c>
      <c r="J22" s="22"/>
      <c r="K22" s="22"/>
      <c r="L22" s="22"/>
      <c r="M22" s="22" t="s">
        <v>37</v>
      </c>
      <c r="N22" s="40"/>
      <c r="O22" s="46"/>
      <c r="P22" s="48" t="s">
        <v>71</v>
      </c>
      <c r="Q22" s="48" t="s">
        <v>72</v>
      </c>
      <c r="R22" s="41" t="s">
        <v>61</v>
      </c>
      <c r="S22" s="46"/>
      <c r="T22" s="46"/>
      <c r="U22" s="46" t="s">
        <v>37</v>
      </c>
      <c r="V22" s="47">
        <v>11250</v>
      </c>
      <c r="W22" s="44">
        <v>44.4</v>
      </c>
      <c r="X22" s="28">
        <v>4455</v>
      </c>
      <c r="Y22" s="29">
        <f t="shared" si="0"/>
        <v>4455</v>
      </c>
      <c r="Z22" s="30">
        <f t="shared" si="1"/>
        <v>100.33783783783784</v>
      </c>
      <c r="AA22" s="30"/>
      <c r="AB22" s="30"/>
      <c r="AC22" s="31">
        <f>Y22/50</f>
        <v>89.1</v>
      </c>
      <c r="AD22" s="31"/>
      <c r="AE22" s="31">
        <f>Y22/25</f>
        <v>178.2</v>
      </c>
      <c r="AF22" s="31"/>
      <c r="AG22" s="42"/>
      <c r="AH22" s="43"/>
      <c r="AI22" s="43"/>
      <c r="AJ22" s="43"/>
      <c r="AK22" s="53"/>
      <c r="AL22" s="43"/>
      <c r="AM22" s="37"/>
      <c r="AN22" s="38">
        <f t="shared" si="2"/>
        <v>0</v>
      </c>
      <c r="AS22" s="39"/>
    </row>
    <row r="23" spans="1:46" ht="53.25" customHeight="1" thickTop="1" thickBot="1" x14ac:dyDescent="0.4">
      <c r="A23" s="19" t="s">
        <v>74</v>
      </c>
      <c r="B23" s="19">
        <v>107950</v>
      </c>
      <c r="C23" s="19">
        <v>361</v>
      </c>
      <c r="D23" s="19">
        <v>1847.49</v>
      </c>
      <c r="E23" s="19">
        <v>99.98</v>
      </c>
      <c r="F23" s="20" t="s">
        <v>75</v>
      </c>
      <c r="G23" s="21" t="s">
        <v>56</v>
      </c>
      <c r="H23" s="22" t="s">
        <v>37</v>
      </c>
      <c r="I23" s="23" t="s">
        <v>57</v>
      </c>
      <c r="J23" s="22"/>
      <c r="K23" s="22"/>
      <c r="L23" s="22"/>
      <c r="M23" s="22" t="s">
        <v>37</v>
      </c>
      <c r="N23" s="40"/>
      <c r="O23" s="46"/>
      <c r="P23" s="46"/>
      <c r="Q23" s="48" t="s">
        <v>76</v>
      </c>
      <c r="R23" s="46"/>
      <c r="S23" s="41" t="s">
        <v>61</v>
      </c>
      <c r="T23" s="24"/>
      <c r="U23" s="46" t="s">
        <v>37</v>
      </c>
      <c r="V23" s="47">
        <v>11250</v>
      </c>
      <c r="W23" s="54">
        <v>10.67</v>
      </c>
      <c r="X23" s="55">
        <v>1586.49</v>
      </c>
      <c r="Y23" s="56">
        <f t="shared" si="0"/>
        <v>1586.49</v>
      </c>
      <c r="Z23" s="30">
        <f t="shared" si="1"/>
        <v>148.68697282099345</v>
      </c>
      <c r="AA23" s="30"/>
      <c r="AB23" s="110" t="s">
        <v>155</v>
      </c>
      <c r="AC23" s="106">
        <f>Y23/10</f>
        <v>158.649</v>
      </c>
      <c r="AD23" s="31"/>
      <c r="AE23" s="31">
        <f>Y23/5</f>
        <v>317.298</v>
      </c>
      <c r="AF23" s="31"/>
      <c r="AG23" s="42"/>
      <c r="AH23" s="88"/>
      <c r="AI23" s="88"/>
      <c r="AJ23" s="88"/>
      <c r="AK23" s="89">
        <f>AC23/AS23</f>
        <v>1.1468049732543011</v>
      </c>
      <c r="AL23" s="88"/>
      <c r="AM23" s="37"/>
      <c r="AN23" s="38">
        <f t="shared" si="2"/>
        <v>0</v>
      </c>
      <c r="AP23" s="39">
        <v>32.99</v>
      </c>
      <c r="AQ23" s="39">
        <v>32.99</v>
      </c>
      <c r="AR23" s="39">
        <v>19.559999999999999</v>
      </c>
      <c r="AS23" s="39">
        <v>138.34</v>
      </c>
    </row>
    <row r="24" spans="1:46" ht="63.75" customHeight="1" thickTop="1" thickBot="1" x14ac:dyDescent="0.4">
      <c r="A24" s="19" t="s">
        <v>77</v>
      </c>
      <c r="B24" s="19">
        <v>107951</v>
      </c>
      <c r="C24" s="19">
        <v>328.11</v>
      </c>
      <c r="D24" s="19">
        <v>2309.37</v>
      </c>
      <c r="E24" s="19">
        <v>0</v>
      </c>
      <c r="F24" s="20" t="s">
        <v>75</v>
      </c>
      <c r="G24" s="21" t="s">
        <v>56</v>
      </c>
      <c r="H24" s="22" t="s">
        <v>37</v>
      </c>
      <c r="I24" s="23" t="s">
        <v>57</v>
      </c>
      <c r="J24" s="22"/>
      <c r="K24" s="22"/>
      <c r="L24" s="22"/>
      <c r="M24" s="22" t="s">
        <v>37</v>
      </c>
      <c r="N24" s="40"/>
      <c r="O24" s="46"/>
      <c r="P24" s="46"/>
      <c r="Q24" s="46"/>
      <c r="R24" s="48" t="s">
        <v>78</v>
      </c>
      <c r="S24" s="46"/>
      <c r="T24" s="41" t="s">
        <v>79</v>
      </c>
      <c r="U24" s="46" t="s">
        <v>37</v>
      </c>
      <c r="V24" s="47">
        <v>11250</v>
      </c>
      <c r="W24" s="57">
        <v>13.33</v>
      </c>
      <c r="X24" s="55">
        <v>1981.24</v>
      </c>
      <c r="Y24" s="56">
        <f t="shared" si="0"/>
        <v>1981.24</v>
      </c>
      <c r="Z24" s="58">
        <f t="shared" si="1"/>
        <v>148.63015753938484</v>
      </c>
      <c r="AA24" s="58"/>
      <c r="AB24" s="100"/>
      <c r="AC24" s="31">
        <f>Y24/10</f>
        <v>198.124</v>
      </c>
      <c r="AD24" s="31"/>
      <c r="AE24" s="31">
        <f>Y24/5</f>
        <v>396.24799999999999</v>
      </c>
      <c r="AF24" s="59"/>
      <c r="AG24" s="42"/>
      <c r="AH24" s="88"/>
      <c r="AI24" s="88"/>
      <c r="AJ24" s="88"/>
      <c r="AK24" s="88"/>
      <c r="AL24" s="88"/>
      <c r="AM24" s="37"/>
      <c r="AN24" s="38">
        <f t="shared" si="2"/>
        <v>0</v>
      </c>
      <c r="AP24" s="39">
        <v>32.99</v>
      </c>
      <c r="AQ24" s="39">
        <v>32.99</v>
      </c>
      <c r="AR24" s="39">
        <v>19.559999999999999</v>
      </c>
      <c r="AS24" s="39"/>
    </row>
    <row r="25" spans="1:46" ht="39" customHeight="1" thickTop="1" thickBot="1" x14ac:dyDescent="0.4">
      <c r="A25" s="19" t="s">
        <v>80</v>
      </c>
      <c r="B25" s="19">
        <v>219050</v>
      </c>
      <c r="C25" s="19">
        <v>98.8</v>
      </c>
      <c r="D25" s="19">
        <v>368.16</v>
      </c>
      <c r="E25" s="19">
        <v>10.039999999999999</v>
      </c>
      <c r="F25" s="20" t="s">
        <v>55</v>
      </c>
      <c r="G25" s="21" t="s">
        <v>138</v>
      </c>
      <c r="H25" s="22" t="s">
        <v>37</v>
      </c>
      <c r="I25" s="23" t="s">
        <v>57</v>
      </c>
      <c r="J25" s="24" t="s">
        <v>39</v>
      </c>
      <c r="K25" s="22"/>
      <c r="L25" s="22"/>
      <c r="M25" s="22" t="s">
        <v>37</v>
      </c>
      <c r="N25" s="24"/>
      <c r="O25" s="46"/>
      <c r="P25" s="46"/>
      <c r="Q25" s="46"/>
      <c r="R25" s="46"/>
      <c r="S25" s="46"/>
      <c r="T25" s="46"/>
      <c r="U25" s="46" t="s">
        <v>37</v>
      </c>
      <c r="V25" s="47">
        <v>4000</v>
      </c>
      <c r="W25" s="44">
        <v>5</v>
      </c>
      <c r="X25" s="95">
        <v>270.5</v>
      </c>
      <c r="Y25" s="56">
        <f t="shared" si="0"/>
        <v>189.35000000000002</v>
      </c>
      <c r="Z25" s="58">
        <f t="shared" si="1"/>
        <v>37.870000000000005</v>
      </c>
      <c r="AA25" s="72">
        <f>Y25/10</f>
        <v>18.935000000000002</v>
      </c>
      <c r="AB25" s="99" t="s">
        <v>144</v>
      </c>
      <c r="AC25" s="59"/>
      <c r="AD25" s="59"/>
      <c r="AE25" s="59"/>
      <c r="AF25" s="32">
        <f>Z25/AP25</f>
        <v>1.1479236132161261</v>
      </c>
      <c r="AG25" s="60"/>
      <c r="AH25" s="76"/>
      <c r="AI25" s="80"/>
      <c r="AJ25" s="81">
        <f>AA25/AR25</f>
        <v>0.96804703476482634</v>
      </c>
      <c r="AK25" s="84"/>
      <c r="AL25" s="84"/>
      <c r="AM25" s="37">
        <v>0.3</v>
      </c>
      <c r="AN25" s="38">
        <f t="shared" si="2"/>
        <v>81.149999999999991</v>
      </c>
      <c r="AP25" s="39">
        <v>32.99</v>
      </c>
      <c r="AQ25" s="39">
        <v>32.99</v>
      </c>
      <c r="AR25" s="39">
        <v>19.559999999999999</v>
      </c>
    </row>
    <row r="26" spans="1:46" ht="39.75" customHeight="1" thickTop="1" thickBot="1" x14ac:dyDescent="0.4">
      <c r="A26" s="19" t="s">
        <v>81</v>
      </c>
      <c r="B26" s="19">
        <v>233119</v>
      </c>
      <c r="C26" s="19"/>
      <c r="D26" s="19"/>
      <c r="E26" s="19"/>
      <c r="F26" s="20" t="s">
        <v>55</v>
      </c>
      <c r="G26" s="21" t="s">
        <v>138</v>
      </c>
      <c r="H26" s="22" t="s">
        <v>37</v>
      </c>
      <c r="I26" s="23" t="s">
        <v>57</v>
      </c>
      <c r="J26" s="24" t="s">
        <v>39</v>
      </c>
      <c r="K26" s="22"/>
      <c r="L26" s="22"/>
      <c r="M26" s="22" t="s">
        <v>37</v>
      </c>
      <c r="N26" s="24"/>
      <c r="O26" s="46"/>
      <c r="P26" s="46"/>
      <c r="Q26" s="46"/>
      <c r="R26" s="46"/>
      <c r="S26" s="46"/>
      <c r="T26" s="46"/>
      <c r="U26" s="46" t="s">
        <v>37</v>
      </c>
      <c r="V26" s="47">
        <v>4000</v>
      </c>
      <c r="W26" s="44">
        <v>25</v>
      </c>
      <c r="X26" s="71" t="s">
        <v>419</v>
      </c>
      <c r="Y26" s="56" t="e">
        <f t="shared" si="0"/>
        <v>#VALUE!</v>
      </c>
      <c r="Z26" s="58" t="e">
        <f t="shared" si="1"/>
        <v>#VALUE!</v>
      </c>
      <c r="AA26" s="30" t="e">
        <f>Y26/50</f>
        <v>#VALUE!</v>
      </c>
      <c r="AB26" s="30"/>
      <c r="AC26" s="59"/>
      <c r="AD26" s="59"/>
      <c r="AE26" s="59"/>
      <c r="AF26" s="32" t="e">
        <f>Z26/AP26</f>
        <v>#VALUE!</v>
      </c>
      <c r="AG26" s="60"/>
      <c r="AH26" s="34" t="e">
        <f t="shared" ref="AH26:AH28" si="5">AA26/AP26</f>
        <v>#VALUE!</v>
      </c>
      <c r="AI26" s="35" t="e">
        <f t="shared" ref="AI26:AI28" si="6">AA26/AQ26</f>
        <v>#VALUE!</v>
      </c>
      <c r="AJ26" s="35"/>
      <c r="AK26" s="61"/>
      <c r="AL26" s="61"/>
      <c r="AM26" s="37">
        <v>0.3</v>
      </c>
      <c r="AN26" s="38" t="e">
        <f t="shared" si="2"/>
        <v>#VALUE!</v>
      </c>
      <c r="AP26" s="39">
        <v>24.97</v>
      </c>
      <c r="AQ26" s="39">
        <v>27.94</v>
      </c>
      <c r="AR26" s="39"/>
    </row>
    <row r="27" spans="1:46" ht="39" customHeight="1" thickTop="1" thickBot="1" x14ac:dyDescent="0.4">
      <c r="A27" s="19" t="s">
        <v>82</v>
      </c>
      <c r="B27" s="19">
        <v>219052</v>
      </c>
      <c r="C27" s="19">
        <v>161.03</v>
      </c>
      <c r="D27" s="19">
        <v>736.33</v>
      </c>
      <c r="E27" s="19">
        <v>-103.97</v>
      </c>
      <c r="F27" s="20" t="s">
        <v>55</v>
      </c>
      <c r="G27" s="21" t="s">
        <v>138</v>
      </c>
      <c r="H27" s="22" t="s">
        <v>37</v>
      </c>
      <c r="I27" s="23" t="s">
        <v>57</v>
      </c>
      <c r="J27" s="22"/>
      <c r="K27" s="24" t="s">
        <v>39</v>
      </c>
      <c r="L27" s="24" t="s">
        <v>39</v>
      </c>
      <c r="M27" s="22" t="s">
        <v>37</v>
      </c>
      <c r="N27" s="24"/>
      <c r="O27" s="46"/>
      <c r="P27" s="46"/>
      <c r="Q27" s="46"/>
      <c r="R27" s="46"/>
      <c r="S27" s="46"/>
      <c r="T27" s="46"/>
      <c r="U27" s="46" t="s">
        <v>37</v>
      </c>
      <c r="V27" s="47">
        <v>4000</v>
      </c>
      <c r="W27" s="44">
        <v>10</v>
      </c>
      <c r="X27" s="95">
        <v>562.24</v>
      </c>
      <c r="Y27" s="56">
        <f t="shared" si="0"/>
        <v>393.56799999999998</v>
      </c>
      <c r="Z27" s="58">
        <f t="shared" si="1"/>
        <v>39.3568</v>
      </c>
      <c r="AA27" s="72">
        <f>Y27/10</f>
        <v>39.3568</v>
      </c>
      <c r="AB27" s="98"/>
      <c r="AC27" s="59"/>
      <c r="AD27" s="59"/>
      <c r="AE27" s="59"/>
      <c r="AF27" s="32">
        <f>Z27/AP27</f>
        <v>1.1929918157017276</v>
      </c>
      <c r="AG27" s="60"/>
      <c r="AH27" s="82">
        <f t="shared" si="5"/>
        <v>1.1929918157017276</v>
      </c>
      <c r="AI27" s="83">
        <f t="shared" si="6"/>
        <v>1.1929918157017276</v>
      </c>
      <c r="AJ27" s="76"/>
      <c r="AK27" s="84"/>
      <c r="AL27" s="84"/>
      <c r="AM27" s="37">
        <v>0.3</v>
      </c>
      <c r="AN27" s="38">
        <f t="shared" si="2"/>
        <v>168.672</v>
      </c>
      <c r="AP27" s="39">
        <v>32.99</v>
      </c>
      <c r="AQ27" s="39">
        <v>32.99</v>
      </c>
      <c r="AR27" s="39">
        <v>19.559999999999999</v>
      </c>
    </row>
    <row r="28" spans="1:46" ht="38.25" customHeight="1" thickTop="1" thickBot="1" x14ac:dyDescent="0.4">
      <c r="A28" s="19" t="s">
        <v>83</v>
      </c>
      <c r="B28" s="19">
        <v>233123</v>
      </c>
      <c r="C28" s="19"/>
      <c r="D28" s="19"/>
      <c r="E28" s="19"/>
      <c r="F28" s="20" t="s">
        <v>55</v>
      </c>
      <c r="G28" s="21" t="s">
        <v>138</v>
      </c>
      <c r="H28" s="22" t="s">
        <v>37</v>
      </c>
      <c r="I28" s="23" t="s">
        <v>57</v>
      </c>
      <c r="J28" s="22"/>
      <c r="K28" s="24" t="s">
        <v>39</v>
      </c>
      <c r="L28" s="24" t="s">
        <v>39</v>
      </c>
      <c r="M28" s="22" t="s">
        <v>37</v>
      </c>
      <c r="N28" s="24"/>
      <c r="O28" s="46"/>
      <c r="P28" s="46"/>
      <c r="Q28" s="46"/>
      <c r="R28" s="46"/>
      <c r="S28" s="46"/>
      <c r="T28" s="46"/>
      <c r="U28" s="46" t="s">
        <v>37</v>
      </c>
      <c r="V28" s="47">
        <v>4000</v>
      </c>
      <c r="W28" s="44">
        <v>50</v>
      </c>
      <c r="X28" s="71" t="s">
        <v>419</v>
      </c>
      <c r="Y28" s="56" t="e">
        <f t="shared" si="0"/>
        <v>#VALUE!</v>
      </c>
      <c r="Z28" s="58" t="e">
        <f t="shared" si="1"/>
        <v>#VALUE!</v>
      </c>
      <c r="AA28" s="30" t="e">
        <f>Y28/50</f>
        <v>#VALUE!</v>
      </c>
      <c r="AB28" s="30"/>
      <c r="AC28" s="59"/>
      <c r="AD28" s="59"/>
      <c r="AE28" s="59"/>
      <c r="AF28" s="32" t="e">
        <f>Z28/AP28</f>
        <v>#VALUE!</v>
      </c>
      <c r="AG28" s="60"/>
      <c r="AH28" s="34" t="e">
        <f t="shared" si="5"/>
        <v>#VALUE!</v>
      </c>
      <c r="AI28" s="35" t="e">
        <f t="shared" si="6"/>
        <v>#VALUE!</v>
      </c>
      <c r="AJ28" s="35"/>
      <c r="AK28" s="61"/>
      <c r="AL28" s="61"/>
      <c r="AM28" s="37">
        <v>0.3</v>
      </c>
      <c r="AN28" s="38" t="e">
        <f t="shared" si="2"/>
        <v>#VALUE!</v>
      </c>
      <c r="AP28" s="39">
        <v>24.97</v>
      </c>
      <c r="AQ28" s="39">
        <v>27.94</v>
      </c>
      <c r="AR28" s="39"/>
    </row>
    <row r="29" spans="1:46" ht="43.5" customHeight="1" thickTop="1" thickBot="1" x14ac:dyDescent="0.4">
      <c r="A29" s="19" t="s">
        <v>82</v>
      </c>
      <c r="B29" s="19">
        <v>219052</v>
      </c>
      <c r="C29" s="19">
        <v>151.66</v>
      </c>
      <c r="D29" s="19">
        <v>736.33</v>
      </c>
      <c r="E29" s="19">
        <v>-103.97</v>
      </c>
      <c r="F29" s="20" t="s">
        <v>55</v>
      </c>
      <c r="G29" s="21" t="s">
        <v>138</v>
      </c>
      <c r="H29" s="22" t="s">
        <v>37</v>
      </c>
      <c r="I29" s="23" t="s">
        <v>57</v>
      </c>
      <c r="J29" s="22"/>
      <c r="K29" s="22"/>
      <c r="L29" s="22"/>
      <c r="M29" s="22" t="s">
        <v>37</v>
      </c>
      <c r="N29" s="40"/>
      <c r="O29" s="41" t="s">
        <v>61</v>
      </c>
      <c r="P29" s="46"/>
      <c r="Q29" s="46"/>
      <c r="R29" s="46"/>
      <c r="S29" s="46"/>
      <c r="T29" s="46"/>
      <c r="U29" s="46" t="s">
        <v>37</v>
      </c>
      <c r="V29" s="47">
        <v>11250</v>
      </c>
      <c r="W29" s="44">
        <v>3.56</v>
      </c>
      <c r="X29" s="95">
        <v>562.24</v>
      </c>
      <c r="Y29" s="56">
        <f t="shared" si="0"/>
        <v>393.56799999999998</v>
      </c>
      <c r="Z29" s="58">
        <f t="shared" si="1"/>
        <v>110.55280898876404</v>
      </c>
      <c r="AA29" s="58"/>
      <c r="AB29" s="100"/>
      <c r="AC29" s="59"/>
      <c r="AD29" s="59"/>
      <c r="AE29" s="31">
        <f>Y29/5</f>
        <v>78.7136</v>
      </c>
      <c r="AF29" s="32"/>
      <c r="AG29" s="42"/>
      <c r="AH29" s="88"/>
      <c r="AI29" s="88"/>
      <c r="AJ29" s="88"/>
      <c r="AK29" s="88"/>
      <c r="AL29" s="88"/>
      <c r="AM29" s="37">
        <v>0.3</v>
      </c>
      <c r="AN29" s="38">
        <f t="shared" si="2"/>
        <v>168.672</v>
      </c>
      <c r="AP29" s="39">
        <v>32.99</v>
      </c>
      <c r="AQ29" s="39">
        <v>32.99</v>
      </c>
      <c r="AR29" s="39">
        <v>19.559999999999999</v>
      </c>
      <c r="AS29" s="39"/>
    </row>
    <row r="30" spans="1:46" ht="45.75" customHeight="1" thickTop="1" thickBot="1" x14ac:dyDescent="0.4">
      <c r="A30" s="19" t="s">
        <v>83</v>
      </c>
      <c r="B30" s="19">
        <v>233123</v>
      </c>
      <c r="C30" s="19"/>
      <c r="D30" s="19"/>
      <c r="E30" s="19"/>
      <c r="F30" s="20" t="s">
        <v>55</v>
      </c>
      <c r="G30" s="21" t="s">
        <v>138</v>
      </c>
      <c r="H30" s="22" t="s">
        <v>37</v>
      </c>
      <c r="I30" s="23" t="s">
        <v>57</v>
      </c>
      <c r="J30" s="22"/>
      <c r="K30" s="22"/>
      <c r="L30" s="22"/>
      <c r="M30" s="22" t="s">
        <v>37</v>
      </c>
      <c r="N30" s="40"/>
      <c r="O30" s="41" t="s">
        <v>61</v>
      </c>
      <c r="P30" s="46"/>
      <c r="Q30" s="46"/>
      <c r="R30" s="46"/>
      <c r="S30" s="46"/>
      <c r="T30" s="46"/>
      <c r="U30" s="46" t="s">
        <v>37</v>
      </c>
      <c r="V30" s="47">
        <v>11250</v>
      </c>
      <c r="W30" s="44">
        <v>17.78</v>
      </c>
      <c r="X30" s="71" t="s">
        <v>419</v>
      </c>
      <c r="Y30" s="56" t="e">
        <f t="shared" si="0"/>
        <v>#VALUE!</v>
      </c>
      <c r="Z30" s="58" t="e">
        <f t="shared" si="1"/>
        <v>#VALUE!</v>
      </c>
      <c r="AA30" s="58"/>
      <c r="AB30" s="58"/>
      <c r="AC30" s="59"/>
      <c r="AD30" s="59"/>
      <c r="AE30" s="31" t="e">
        <f>Y30/25</f>
        <v>#VALUE!</v>
      </c>
      <c r="AF30" s="32"/>
      <c r="AG30" s="42"/>
      <c r="AH30" s="43"/>
      <c r="AI30" s="43"/>
      <c r="AJ30" s="43"/>
      <c r="AK30" s="43"/>
      <c r="AL30" s="43"/>
      <c r="AM30" s="37">
        <v>0.3</v>
      </c>
      <c r="AN30" s="38" t="e">
        <f t="shared" si="2"/>
        <v>#VALUE!</v>
      </c>
      <c r="AP30" s="39"/>
      <c r="AQ30" s="39"/>
      <c r="AR30" s="39"/>
      <c r="AS30" s="39"/>
    </row>
    <row r="31" spans="1:46" ht="54.75" customHeight="1" thickTop="1" thickBot="1" x14ac:dyDescent="0.4">
      <c r="A31" s="19" t="s">
        <v>84</v>
      </c>
      <c r="B31" s="19">
        <v>219054</v>
      </c>
      <c r="C31" s="19">
        <v>181.94</v>
      </c>
      <c r="D31" s="19">
        <v>923.75</v>
      </c>
      <c r="E31" s="19">
        <v>-123.61</v>
      </c>
      <c r="F31" s="20" t="s">
        <v>55</v>
      </c>
      <c r="G31" s="21" t="s">
        <v>138</v>
      </c>
      <c r="H31" s="22" t="s">
        <v>37</v>
      </c>
      <c r="I31" s="23" t="s">
        <v>57</v>
      </c>
      <c r="J31" s="22"/>
      <c r="K31" s="22"/>
      <c r="L31" s="22"/>
      <c r="M31" s="22" t="s">
        <v>37</v>
      </c>
      <c r="N31" s="40"/>
      <c r="O31" s="48" t="s">
        <v>63</v>
      </c>
      <c r="P31" s="41" t="s">
        <v>61</v>
      </c>
      <c r="Q31" s="46"/>
      <c r="R31" s="46"/>
      <c r="S31" s="46"/>
      <c r="T31" s="46"/>
      <c r="U31" s="46" t="s">
        <v>37</v>
      </c>
      <c r="V31" s="47">
        <v>11250</v>
      </c>
      <c r="W31" s="44">
        <v>5.33</v>
      </c>
      <c r="X31" s="95">
        <v>717.67</v>
      </c>
      <c r="Y31" s="56">
        <f t="shared" si="0"/>
        <v>502.36899999999997</v>
      </c>
      <c r="Z31" s="58">
        <f t="shared" si="1"/>
        <v>94.253095684803</v>
      </c>
      <c r="AA31" s="58"/>
      <c r="AB31" s="100"/>
      <c r="AC31" s="72">
        <f>Y31/10</f>
        <v>50.236899999999999</v>
      </c>
      <c r="AD31" s="31"/>
      <c r="AE31" s="31">
        <f>Y31/5</f>
        <v>100.4738</v>
      </c>
      <c r="AF31" s="59"/>
      <c r="AG31" s="42"/>
      <c r="AH31" s="88"/>
      <c r="AI31" s="88"/>
      <c r="AJ31" s="88"/>
      <c r="AK31" s="88"/>
      <c r="AL31" s="88"/>
      <c r="AM31" s="37">
        <v>0.3</v>
      </c>
      <c r="AN31" s="38">
        <f t="shared" si="2"/>
        <v>215.30099999999999</v>
      </c>
      <c r="AP31" s="39">
        <v>32.99</v>
      </c>
      <c r="AQ31" s="39">
        <v>32.99</v>
      </c>
      <c r="AR31" s="39">
        <v>19.559999999999999</v>
      </c>
      <c r="AS31" s="39"/>
    </row>
    <row r="32" spans="1:46" ht="57" customHeight="1" thickTop="1" thickBot="1" x14ac:dyDescent="0.4">
      <c r="A32" s="19" t="s">
        <v>85</v>
      </c>
      <c r="B32" s="19">
        <v>238548</v>
      </c>
      <c r="C32" s="19"/>
      <c r="D32" s="19"/>
      <c r="E32" s="19"/>
      <c r="F32" s="20" t="s">
        <v>55</v>
      </c>
      <c r="G32" s="21" t="s">
        <v>138</v>
      </c>
      <c r="H32" s="22" t="s">
        <v>37</v>
      </c>
      <c r="I32" s="23" t="s">
        <v>57</v>
      </c>
      <c r="J32" s="22"/>
      <c r="K32" s="22"/>
      <c r="L32" s="22"/>
      <c r="M32" s="22" t="s">
        <v>37</v>
      </c>
      <c r="N32" s="40"/>
      <c r="O32" s="48" t="s">
        <v>63</v>
      </c>
      <c r="P32" s="41" t="s">
        <v>61</v>
      </c>
      <c r="Q32" s="46"/>
      <c r="R32" s="46"/>
      <c r="S32" s="46"/>
      <c r="T32" s="46"/>
      <c r="U32" s="46" t="s">
        <v>37</v>
      </c>
      <c r="V32" s="47">
        <v>11250</v>
      </c>
      <c r="W32" s="44">
        <v>26.6</v>
      </c>
      <c r="X32" s="71" t="s">
        <v>419</v>
      </c>
      <c r="Y32" s="56" t="e">
        <f t="shared" si="0"/>
        <v>#VALUE!</v>
      </c>
      <c r="Z32" s="58" t="e">
        <f t="shared" si="1"/>
        <v>#VALUE!</v>
      </c>
      <c r="AA32" s="58"/>
      <c r="AB32" s="58"/>
      <c r="AC32" s="31" t="e">
        <f>Y32/50</f>
        <v>#VALUE!</v>
      </c>
      <c r="AD32" s="31"/>
      <c r="AE32" s="31" t="e">
        <f>Y32/25</f>
        <v>#VALUE!</v>
      </c>
      <c r="AF32" s="59"/>
      <c r="AG32" s="42"/>
      <c r="AH32" s="43"/>
      <c r="AI32" s="43"/>
      <c r="AJ32" s="43"/>
      <c r="AK32" s="43"/>
      <c r="AL32" s="43"/>
      <c r="AM32" s="37">
        <v>0.3</v>
      </c>
      <c r="AN32" s="38" t="e">
        <f t="shared" si="2"/>
        <v>#VALUE!</v>
      </c>
      <c r="AS32" s="39"/>
    </row>
    <row r="33" spans="1:46" ht="62.25" customHeight="1" thickTop="1" thickBot="1" x14ac:dyDescent="0.4">
      <c r="A33" s="19" t="s">
        <v>86</v>
      </c>
      <c r="B33" s="19">
        <v>219056</v>
      </c>
      <c r="C33" s="19">
        <v>222.64</v>
      </c>
      <c r="D33" s="19">
        <v>1231.6600000000001</v>
      </c>
      <c r="E33" s="19">
        <v>-187.32</v>
      </c>
      <c r="F33" s="20" t="s">
        <v>55</v>
      </c>
      <c r="G33" s="21" t="s">
        <v>138</v>
      </c>
      <c r="H33" s="22" t="s">
        <v>37</v>
      </c>
      <c r="I33" s="23" t="s">
        <v>57</v>
      </c>
      <c r="J33" s="22"/>
      <c r="K33" s="22"/>
      <c r="L33" s="22"/>
      <c r="M33" s="22" t="s">
        <v>37</v>
      </c>
      <c r="N33" s="40"/>
      <c r="O33" s="48" t="s">
        <v>66</v>
      </c>
      <c r="P33" s="48" t="s">
        <v>67</v>
      </c>
      <c r="Q33" s="41" t="s">
        <v>61</v>
      </c>
      <c r="R33" s="46"/>
      <c r="S33" s="46"/>
      <c r="T33" s="41" t="s">
        <v>68</v>
      </c>
      <c r="U33" s="46" t="s">
        <v>37</v>
      </c>
      <c r="V33" s="47">
        <v>11250</v>
      </c>
      <c r="W33" s="44">
        <v>7.11</v>
      </c>
      <c r="X33" s="95">
        <v>973</v>
      </c>
      <c r="Y33" s="56">
        <f t="shared" si="0"/>
        <v>681.1</v>
      </c>
      <c r="Z33" s="58">
        <f t="shared" si="1"/>
        <v>95.794655414908576</v>
      </c>
      <c r="AA33" s="58"/>
      <c r="AB33" s="110" t="s">
        <v>156</v>
      </c>
      <c r="AC33" s="31">
        <f>Y33/10</f>
        <v>68.11</v>
      </c>
      <c r="AD33" s="31"/>
      <c r="AE33" s="105">
        <f>Y33/5</f>
        <v>136.22</v>
      </c>
      <c r="AF33" s="59"/>
      <c r="AG33" s="49">
        <f>Y33/2.5</f>
        <v>272.44</v>
      </c>
      <c r="AH33" s="87"/>
      <c r="AI33" s="87"/>
      <c r="AJ33" s="87"/>
      <c r="AK33" s="90"/>
      <c r="AL33" s="104">
        <f t="shared" ref="AL33:AL34" si="7">AE33/AT33</f>
        <v>1.1841098748261474</v>
      </c>
      <c r="AM33" s="37">
        <v>0.3</v>
      </c>
      <c r="AN33" s="38">
        <f t="shared" si="2"/>
        <v>291.89999999999998</v>
      </c>
      <c r="AP33" s="39">
        <v>32.99</v>
      </c>
      <c r="AQ33" s="39">
        <v>32.99</v>
      </c>
      <c r="AR33" s="39">
        <v>19.559999999999999</v>
      </c>
      <c r="AS33" s="39"/>
      <c r="AT33" s="39">
        <v>115.04</v>
      </c>
    </row>
    <row r="34" spans="1:46" ht="52.5" customHeight="1" thickTop="1" thickBot="1" x14ac:dyDescent="0.4">
      <c r="A34" s="19" t="s">
        <v>87</v>
      </c>
      <c r="B34" s="19">
        <v>238749</v>
      </c>
      <c r="C34" s="19"/>
      <c r="D34" s="19"/>
      <c r="E34" s="19"/>
      <c r="F34" s="20" t="s">
        <v>55</v>
      </c>
      <c r="G34" s="21" t="s">
        <v>138</v>
      </c>
      <c r="H34" s="22" t="s">
        <v>37</v>
      </c>
      <c r="I34" s="23" t="s">
        <v>57</v>
      </c>
      <c r="J34" s="22"/>
      <c r="K34" s="22"/>
      <c r="L34" s="22"/>
      <c r="M34" s="22" t="s">
        <v>37</v>
      </c>
      <c r="N34" s="40"/>
      <c r="O34" s="48" t="s">
        <v>66</v>
      </c>
      <c r="P34" s="48" t="s">
        <v>67</v>
      </c>
      <c r="Q34" s="41" t="s">
        <v>61</v>
      </c>
      <c r="R34" s="46"/>
      <c r="S34" s="46"/>
      <c r="T34" s="41" t="s">
        <v>68</v>
      </c>
      <c r="U34" s="46" t="s">
        <v>37</v>
      </c>
      <c r="V34" s="47">
        <v>11250</v>
      </c>
      <c r="W34" s="44">
        <v>35.6</v>
      </c>
      <c r="X34" s="71" t="s">
        <v>419</v>
      </c>
      <c r="Y34" s="56" t="e">
        <f t="shared" si="0"/>
        <v>#VALUE!</v>
      </c>
      <c r="Z34" s="58" t="e">
        <f t="shared" si="1"/>
        <v>#VALUE!</v>
      </c>
      <c r="AA34" s="58"/>
      <c r="AB34" s="58"/>
      <c r="AC34" s="31" t="e">
        <f>Y34/50</f>
        <v>#VALUE!</v>
      </c>
      <c r="AD34" s="31"/>
      <c r="AE34" s="31" t="e">
        <f>Y34/25</f>
        <v>#VALUE!</v>
      </c>
      <c r="AF34" s="59"/>
      <c r="AG34" s="49" t="e">
        <f>Y34/12.5</f>
        <v>#VALUE!</v>
      </c>
      <c r="AH34" s="50"/>
      <c r="AI34" s="50"/>
      <c r="AJ34" s="50"/>
      <c r="AK34" s="53"/>
      <c r="AL34" s="52" t="e">
        <f t="shared" si="7"/>
        <v>#VALUE!</v>
      </c>
      <c r="AM34" s="37">
        <v>0.3</v>
      </c>
      <c r="AN34" s="38" t="e">
        <f t="shared" si="2"/>
        <v>#VALUE!</v>
      </c>
      <c r="AS34" s="39"/>
      <c r="AT34" s="39">
        <v>113.08</v>
      </c>
    </row>
    <row r="35" spans="1:46" ht="55.5" customHeight="1" thickTop="1" thickBot="1" x14ac:dyDescent="0.4">
      <c r="A35" s="19" t="s">
        <v>88</v>
      </c>
      <c r="B35" s="19">
        <v>219058</v>
      </c>
      <c r="C35" s="19">
        <v>275.22000000000003</v>
      </c>
      <c r="D35" s="19">
        <v>1539.57</v>
      </c>
      <c r="E35" s="19">
        <v>-179.75</v>
      </c>
      <c r="F35" s="20" t="s">
        <v>55</v>
      </c>
      <c r="G35" s="21" t="s">
        <v>138</v>
      </c>
      <c r="H35" s="22" t="s">
        <v>37</v>
      </c>
      <c r="I35" s="23" t="s">
        <v>57</v>
      </c>
      <c r="J35" s="22"/>
      <c r="K35" s="22"/>
      <c r="L35" s="22"/>
      <c r="M35" s="22" t="s">
        <v>37</v>
      </c>
      <c r="N35" s="40"/>
      <c r="O35" s="46"/>
      <c r="P35" s="48" t="s">
        <v>71</v>
      </c>
      <c r="Q35" s="48" t="s">
        <v>72</v>
      </c>
      <c r="R35" s="41" t="s">
        <v>61</v>
      </c>
      <c r="S35" s="46"/>
      <c r="T35" s="46"/>
      <c r="U35" s="46" t="s">
        <v>37</v>
      </c>
      <c r="V35" s="47">
        <v>11250</v>
      </c>
      <c r="W35" s="44">
        <v>8.89</v>
      </c>
      <c r="X35" s="95">
        <v>1231.78</v>
      </c>
      <c r="Y35" s="56">
        <f t="shared" si="0"/>
        <v>862.24599999999998</v>
      </c>
      <c r="Z35" s="58">
        <f t="shared" si="1"/>
        <v>96.990551181102347</v>
      </c>
      <c r="AA35" s="58"/>
      <c r="AB35" s="100"/>
      <c r="AC35" s="31">
        <f>Y35/10</f>
        <v>86.224599999999995</v>
      </c>
      <c r="AD35" s="31"/>
      <c r="AE35" s="31">
        <f>Y35/5</f>
        <v>172.44919999999999</v>
      </c>
      <c r="AF35" s="59"/>
      <c r="AG35" s="42"/>
      <c r="AH35" s="88"/>
      <c r="AI35" s="88"/>
      <c r="AJ35" s="88"/>
      <c r="AK35" s="90"/>
      <c r="AL35" s="88"/>
      <c r="AM35" s="37">
        <v>0.3</v>
      </c>
      <c r="AN35" s="38">
        <f t="shared" si="2"/>
        <v>369.53399999999999</v>
      </c>
      <c r="AP35" s="39">
        <v>32.99</v>
      </c>
      <c r="AQ35" s="39">
        <v>32.99</v>
      </c>
      <c r="AR35" s="39">
        <v>19.559999999999999</v>
      </c>
      <c r="AS35" s="39"/>
      <c r="AT35" s="39"/>
    </row>
    <row r="36" spans="1:46" ht="53.25" customHeight="1" thickTop="1" thickBot="1" x14ac:dyDescent="0.4">
      <c r="A36" s="19" t="s">
        <v>89</v>
      </c>
      <c r="B36" s="19">
        <v>233118</v>
      </c>
      <c r="C36" s="19"/>
      <c r="D36" s="19"/>
      <c r="E36" s="19"/>
      <c r="F36" s="20" t="s">
        <v>55</v>
      </c>
      <c r="G36" s="21" t="s">
        <v>138</v>
      </c>
      <c r="H36" s="22" t="s">
        <v>37</v>
      </c>
      <c r="I36" s="23" t="s">
        <v>57</v>
      </c>
      <c r="J36" s="22"/>
      <c r="K36" s="22"/>
      <c r="L36" s="22"/>
      <c r="M36" s="22" t="s">
        <v>37</v>
      </c>
      <c r="N36" s="40"/>
      <c r="O36" s="46"/>
      <c r="P36" s="48" t="s">
        <v>71</v>
      </c>
      <c r="Q36" s="48" t="s">
        <v>72</v>
      </c>
      <c r="R36" s="41" t="s">
        <v>61</v>
      </c>
      <c r="S36" s="46"/>
      <c r="T36" s="46"/>
      <c r="U36" s="46" t="s">
        <v>37</v>
      </c>
      <c r="V36" s="47">
        <v>11250</v>
      </c>
      <c r="W36" s="44">
        <v>44.4</v>
      </c>
      <c r="X36" s="71" t="s">
        <v>419</v>
      </c>
      <c r="Y36" s="56" t="e">
        <f t="shared" si="0"/>
        <v>#VALUE!</v>
      </c>
      <c r="Z36" s="58" t="e">
        <f t="shared" si="1"/>
        <v>#VALUE!</v>
      </c>
      <c r="AA36" s="58"/>
      <c r="AB36" s="58"/>
      <c r="AC36" s="31" t="e">
        <f>Y36/50</f>
        <v>#VALUE!</v>
      </c>
      <c r="AD36" s="31"/>
      <c r="AE36" s="31" t="e">
        <f>Y36/25</f>
        <v>#VALUE!</v>
      </c>
      <c r="AF36" s="59"/>
      <c r="AG36" s="42"/>
      <c r="AH36" s="43"/>
      <c r="AI36" s="43"/>
      <c r="AJ36" s="43"/>
      <c r="AK36" s="53"/>
      <c r="AL36" s="43"/>
      <c r="AM36" s="37">
        <v>0.3</v>
      </c>
      <c r="AN36" s="38" t="e">
        <f t="shared" si="2"/>
        <v>#VALUE!</v>
      </c>
      <c r="AS36" s="39"/>
      <c r="AT36" s="39"/>
    </row>
    <row r="37" spans="1:46" ht="53.25" customHeight="1" thickTop="1" thickBot="1" x14ac:dyDescent="0.4">
      <c r="A37" s="19" t="s">
        <v>90</v>
      </c>
      <c r="B37" s="19">
        <v>238568</v>
      </c>
      <c r="C37" s="19"/>
      <c r="D37" s="19"/>
      <c r="E37" s="19"/>
      <c r="F37" s="20" t="s">
        <v>75</v>
      </c>
      <c r="G37" s="21" t="s">
        <v>138</v>
      </c>
      <c r="H37" s="22" t="s">
        <v>37</v>
      </c>
      <c r="I37" s="23" t="s">
        <v>57</v>
      </c>
      <c r="J37" s="22"/>
      <c r="K37" s="22"/>
      <c r="L37" s="22"/>
      <c r="M37" s="22" t="s">
        <v>37</v>
      </c>
      <c r="N37" s="40"/>
      <c r="O37" s="46"/>
      <c r="P37" s="46"/>
      <c r="Q37" s="48" t="s">
        <v>76</v>
      </c>
      <c r="R37" s="46"/>
      <c r="S37" s="41" t="s">
        <v>61</v>
      </c>
      <c r="T37" s="24"/>
      <c r="U37" s="46" t="s">
        <v>37</v>
      </c>
      <c r="V37" s="47">
        <v>11250</v>
      </c>
      <c r="W37" s="54">
        <v>10.67</v>
      </c>
      <c r="X37" s="55">
        <v>1493.67</v>
      </c>
      <c r="Y37" s="56">
        <f t="shared" si="0"/>
        <v>1045.569</v>
      </c>
      <c r="Z37" s="58">
        <f t="shared" si="1"/>
        <v>97.991471415182758</v>
      </c>
      <c r="AA37" s="58"/>
      <c r="AB37" s="58"/>
      <c r="AC37" s="31">
        <f>Y37/10</f>
        <v>104.5569</v>
      </c>
      <c r="AD37" s="31"/>
      <c r="AE37" s="31">
        <f>Y37/5</f>
        <v>209.1138</v>
      </c>
      <c r="AF37" s="59"/>
      <c r="AG37" s="42"/>
      <c r="AH37" s="43"/>
      <c r="AI37" s="43"/>
      <c r="AJ37" s="43"/>
      <c r="AK37" s="45">
        <f>AC37/AS37</f>
        <v>0.9777155414250982</v>
      </c>
      <c r="AL37" s="43"/>
      <c r="AM37" s="37">
        <v>0.3</v>
      </c>
      <c r="AN37" s="38">
        <f t="shared" si="2"/>
        <v>448.101</v>
      </c>
      <c r="AO37" s="62" t="e">
        <f>(AC37-AC49)/AS37</f>
        <v>#VALUE!</v>
      </c>
      <c r="AS37" s="39">
        <v>106.94</v>
      </c>
      <c r="AT37" s="39"/>
    </row>
    <row r="38" spans="1:46" ht="63" customHeight="1" thickTop="1" thickBot="1" x14ac:dyDescent="0.4">
      <c r="A38" s="19" t="s">
        <v>91</v>
      </c>
      <c r="B38" s="19">
        <v>238571</v>
      </c>
      <c r="C38" s="19"/>
      <c r="D38" s="19"/>
      <c r="E38" s="19"/>
      <c r="F38" s="20" t="s">
        <v>75</v>
      </c>
      <c r="G38" s="21" t="s">
        <v>138</v>
      </c>
      <c r="H38" s="22" t="s">
        <v>37</v>
      </c>
      <c r="I38" s="23" t="s">
        <v>57</v>
      </c>
      <c r="J38" s="22"/>
      <c r="K38" s="22"/>
      <c r="L38" s="22"/>
      <c r="M38" s="22" t="s">
        <v>37</v>
      </c>
      <c r="N38" s="40"/>
      <c r="O38" s="46"/>
      <c r="P38" s="46"/>
      <c r="Q38" s="46"/>
      <c r="R38" s="48" t="s">
        <v>78</v>
      </c>
      <c r="S38" s="46"/>
      <c r="T38" s="41" t="s">
        <v>79</v>
      </c>
      <c r="U38" s="46" t="s">
        <v>37</v>
      </c>
      <c r="V38" s="47">
        <v>11250</v>
      </c>
      <c r="W38" s="54">
        <v>13.33</v>
      </c>
      <c r="X38" s="55">
        <v>1886.49</v>
      </c>
      <c r="Y38" s="56">
        <f t="shared" si="0"/>
        <v>1320.5430000000001</v>
      </c>
      <c r="Z38" s="58">
        <f t="shared" si="1"/>
        <v>99.065491372843226</v>
      </c>
      <c r="AA38" s="58"/>
      <c r="AB38" s="58"/>
      <c r="AC38" s="31">
        <f>Y38/10</f>
        <v>132.05430000000001</v>
      </c>
      <c r="AD38" s="31"/>
      <c r="AE38" s="31">
        <f>Y38/5</f>
        <v>264.10860000000002</v>
      </c>
      <c r="AF38" s="59"/>
      <c r="AG38" s="42"/>
      <c r="AH38" s="43"/>
      <c r="AI38" s="43"/>
      <c r="AJ38" s="43"/>
      <c r="AK38" s="43"/>
      <c r="AL38" s="43"/>
      <c r="AM38" s="37">
        <v>0.3</v>
      </c>
      <c r="AN38" s="63">
        <f t="shared" si="2"/>
        <v>565.947</v>
      </c>
      <c r="AO38" s="64"/>
      <c r="AP38" s="64"/>
      <c r="AQ38" s="64"/>
      <c r="AR38" s="64"/>
      <c r="AS38" s="65"/>
    </row>
    <row r="39" spans="1:46" ht="55.5" customHeight="1" thickTop="1" thickBot="1" x14ac:dyDescent="0.4">
      <c r="A39" s="19" t="s">
        <v>92</v>
      </c>
      <c r="B39" s="19">
        <v>258276</v>
      </c>
      <c r="C39" s="19">
        <v>120.23</v>
      </c>
      <c r="D39" s="19">
        <v>368.16</v>
      </c>
      <c r="E39" s="19">
        <v>101.8</v>
      </c>
      <c r="F39" s="20" t="s">
        <v>93</v>
      </c>
      <c r="G39" s="21" t="s">
        <v>137</v>
      </c>
      <c r="H39" s="22" t="s">
        <v>37</v>
      </c>
      <c r="I39" s="23" t="s">
        <v>94</v>
      </c>
      <c r="J39" s="24" t="s">
        <v>46</v>
      </c>
      <c r="K39" s="24" t="s">
        <v>95</v>
      </c>
      <c r="L39" s="22"/>
      <c r="M39" s="22" t="s">
        <v>37</v>
      </c>
      <c r="N39" s="23" t="s">
        <v>40</v>
      </c>
      <c r="O39" s="46"/>
      <c r="P39" s="46"/>
      <c r="Q39" s="46"/>
      <c r="R39" s="46"/>
      <c r="S39" s="46"/>
      <c r="T39" s="46"/>
      <c r="U39" s="46" t="s">
        <v>37</v>
      </c>
      <c r="V39" s="47">
        <v>5700</v>
      </c>
      <c r="W39" s="54">
        <v>5</v>
      </c>
      <c r="X39" s="95">
        <v>434.05</v>
      </c>
      <c r="Y39" s="56">
        <f>'Přehled všech '!Y39</f>
        <v>373.28300000000002</v>
      </c>
      <c r="Z39" s="58">
        <f t="shared" si="1"/>
        <v>74.656599999999997</v>
      </c>
      <c r="AA39" s="30">
        <f t="shared" ref="AA39:AA44" si="8">Y39/10</f>
        <v>37.328299999999999</v>
      </c>
      <c r="AB39" s="101" t="s">
        <v>147</v>
      </c>
      <c r="AC39" s="59"/>
      <c r="AD39" s="59"/>
      <c r="AE39" s="59"/>
      <c r="AF39" s="32">
        <f>Z39/AP39</f>
        <v>2.2630069718096393</v>
      </c>
      <c r="AG39" s="60"/>
      <c r="AH39" s="80"/>
      <c r="AI39" s="84"/>
      <c r="AJ39" s="77">
        <f t="shared" ref="AJ39" si="9">AA39/AR39</f>
        <v>1.9083997955010226</v>
      </c>
      <c r="AK39" s="84"/>
      <c r="AL39" s="84"/>
      <c r="AM39" s="37">
        <f>'Přehled všech '!AM39</f>
        <v>0.14000000000000001</v>
      </c>
      <c r="AN39" s="63">
        <f t="shared" si="2"/>
        <v>60.76700000000001</v>
      </c>
      <c r="AO39" s="64"/>
      <c r="AP39" s="39">
        <v>32.99</v>
      </c>
      <c r="AQ39" s="39">
        <v>32.99</v>
      </c>
      <c r="AR39" s="39">
        <v>19.559999999999999</v>
      </c>
      <c r="AS39" s="64"/>
    </row>
    <row r="40" spans="1:46" ht="57.75" customHeight="1" thickTop="1" thickBot="1" x14ac:dyDescent="0.4">
      <c r="A40" s="19" t="s">
        <v>96</v>
      </c>
      <c r="B40" s="19">
        <v>258283</v>
      </c>
      <c r="C40" s="19">
        <v>141.61000000000001</v>
      </c>
      <c r="D40" s="19">
        <v>490.89</v>
      </c>
      <c r="E40" s="19">
        <v>89.53</v>
      </c>
      <c r="F40" s="20" t="s">
        <v>93</v>
      </c>
      <c r="G40" s="21" t="s">
        <v>137</v>
      </c>
      <c r="H40" s="22" t="s">
        <v>37</v>
      </c>
      <c r="I40" s="23" t="s">
        <v>97</v>
      </c>
      <c r="J40" s="22"/>
      <c r="K40" s="24" t="s">
        <v>98</v>
      </c>
      <c r="L40" s="24" t="s">
        <v>99</v>
      </c>
      <c r="M40" s="22" t="s">
        <v>37</v>
      </c>
      <c r="N40" s="23" t="s">
        <v>40</v>
      </c>
      <c r="O40" s="46"/>
      <c r="P40" s="41" t="s">
        <v>100</v>
      </c>
      <c r="Q40" s="24"/>
      <c r="R40" s="46"/>
      <c r="S40" s="46"/>
      <c r="T40" s="46"/>
      <c r="U40" s="46" t="s">
        <v>37</v>
      </c>
      <c r="V40" s="47">
        <v>5700</v>
      </c>
      <c r="W40" s="54">
        <v>6.67</v>
      </c>
      <c r="X40" s="95">
        <v>512.89</v>
      </c>
      <c r="Y40" s="56">
        <f>'Přehled všech '!Y40</f>
        <v>441.08539999999999</v>
      </c>
      <c r="Z40" s="58">
        <f t="shared" si="1"/>
        <v>66.12974512743628</v>
      </c>
      <c r="AA40" s="30">
        <f t="shared" si="8"/>
        <v>44.108539999999998</v>
      </c>
      <c r="AB40" s="102" t="s">
        <v>152</v>
      </c>
      <c r="AC40" s="59"/>
      <c r="AD40" s="59"/>
      <c r="AE40" s="72">
        <f>Y40/5</f>
        <v>88.217079999999996</v>
      </c>
      <c r="AF40" s="32">
        <f>Z40/AP40</f>
        <v>2.0045391066212876</v>
      </c>
      <c r="AG40" s="60"/>
      <c r="AH40" s="85">
        <f t="shared" ref="AH40" si="10">AA40/AP40</f>
        <v>1.3370275841163988</v>
      </c>
      <c r="AI40" s="79">
        <f>AA40/AQ40</f>
        <v>1.3370275841163988</v>
      </c>
      <c r="AJ40" s="76"/>
      <c r="AK40" s="84"/>
      <c r="AL40" s="84"/>
      <c r="AM40" s="37">
        <f>'Přehled všech '!AM40</f>
        <v>0.14000000000000001</v>
      </c>
      <c r="AN40" s="38">
        <f t="shared" si="2"/>
        <v>71.804600000000008</v>
      </c>
      <c r="AP40" s="39">
        <v>32.99</v>
      </c>
      <c r="AQ40" s="39">
        <v>32.99</v>
      </c>
      <c r="AR40" s="39">
        <v>19.559999999999999</v>
      </c>
    </row>
    <row r="41" spans="1:46" ht="36" customHeight="1" thickTop="1" thickBot="1" x14ac:dyDescent="0.4">
      <c r="A41" s="19" t="s">
        <v>96</v>
      </c>
      <c r="B41" s="19">
        <v>258283</v>
      </c>
      <c r="C41" s="19">
        <v>141.61000000000001</v>
      </c>
      <c r="D41" s="19">
        <v>490.89</v>
      </c>
      <c r="E41" s="19">
        <v>89.53</v>
      </c>
      <c r="F41" s="20" t="s">
        <v>93</v>
      </c>
      <c r="G41" s="21" t="s">
        <v>137</v>
      </c>
      <c r="H41" s="22" t="s">
        <v>37</v>
      </c>
      <c r="I41" s="23" t="s">
        <v>97</v>
      </c>
      <c r="J41" s="22"/>
      <c r="K41" s="24" t="s">
        <v>98</v>
      </c>
      <c r="L41" s="24" t="s">
        <v>99</v>
      </c>
      <c r="M41" s="22" t="s">
        <v>37</v>
      </c>
      <c r="N41" s="23" t="s">
        <v>40</v>
      </c>
      <c r="O41" s="46"/>
      <c r="P41" s="24" t="s">
        <v>98</v>
      </c>
      <c r="Q41" s="24" t="s">
        <v>99</v>
      </c>
      <c r="R41" s="46"/>
      <c r="S41" s="46"/>
      <c r="T41" s="46"/>
      <c r="U41" s="46" t="s">
        <v>37</v>
      </c>
      <c r="V41" s="47">
        <v>14250</v>
      </c>
      <c r="W41" s="54">
        <v>2.67</v>
      </c>
      <c r="X41" s="95">
        <v>512.89</v>
      </c>
      <c r="Y41" s="56">
        <f>'Přehled všech '!Y41</f>
        <v>441.08539999999999</v>
      </c>
      <c r="Z41" s="58">
        <f t="shared" si="1"/>
        <v>165.20052434456929</v>
      </c>
      <c r="AA41" s="30">
        <f t="shared" si="8"/>
        <v>44.108539999999998</v>
      </c>
      <c r="AB41" s="102" t="s">
        <v>152</v>
      </c>
      <c r="AC41" s="59"/>
      <c r="AD41" s="59"/>
      <c r="AE41" s="72">
        <f>Y41/5</f>
        <v>88.217079999999996</v>
      </c>
      <c r="AF41" s="59"/>
      <c r="AG41" s="42"/>
      <c r="AH41" s="88"/>
      <c r="AI41" s="88"/>
      <c r="AJ41" s="88"/>
      <c r="AK41" s="88"/>
      <c r="AL41" s="88"/>
      <c r="AM41" s="37">
        <v>0.12</v>
      </c>
      <c r="AN41" s="38">
        <f t="shared" si="2"/>
        <v>61.546799999999998</v>
      </c>
      <c r="AP41" s="39">
        <v>32.99</v>
      </c>
      <c r="AQ41" s="39">
        <v>32.99</v>
      </c>
      <c r="AR41" s="39">
        <v>19.559999999999999</v>
      </c>
      <c r="AS41" s="39"/>
    </row>
    <row r="42" spans="1:46" ht="39.75" customHeight="1" thickTop="1" thickBot="1" x14ac:dyDescent="0.4">
      <c r="A42" s="19" t="s">
        <v>101</v>
      </c>
      <c r="B42" s="19">
        <v>258278</v>
      </c>
      <c r="C42" s="19">
        <v>173.67</v>
      </c>
      <c r="D42" s="19">
        <v>736.33</v>
      </c>
      <c r="E42" s="19">
        <v>14.24</v>
      </c>
      <c r="F42" s="20" t="s">
        <v>93</v>
      </c>
      <c r="G42" s="21" t="s">
        <v>137</v>
      </c>
      <c r="H42" s="22" t="s">
        <v>37</v>
      </c>
      <c r="I42" s="23" t="s">
        <v>102</v>
      </c>
      <c r="J42" s="22"/>
      <c r="K42" s="24" t="s">
        <v>103</v>
      </c>
      <c r="L42" s="24" t="s">
        <v>104</v>
      </c>
      <c r="M42" s="22" t="s">
        <v>37</v>
      </c>
      <c r="N42" s="23" t="s">
        <v>40</v>
      </c>
      <c r="O42" s="46"/>
      <c r="P42" s="41" t="s">
        <v>105</v>
      </c>
      <c r="Q42" s="41" t="s">
        <v>106</v>
      </c>
      <c r="R42" s="46"/>
      <c r="S42" s="41" t="s">
        <v>107</v>
      </c>
      <c r="T42" s="41" t="s">
        <v>108</v>
      </c>
      <c r="U42" s="46" t="s">
        <v>37</v>
      </c>
      <c r="V42" s="47">
        <v>5700</v>
      </c>
      <c r="W42" s="54">
        <v>10</v>
      </c>
      <c r="X42" s="95">
        <v>688.17</v>
      </c>
      <c r="Y42" s="56">
        <f>'Přehled všech '!Y42</f>
        <v>591.82619999999997</v>
      </c>
      <c r="Z42" s="58">
        <f t="shared" si="1"/>
        <v>59.18262</v>
      </c>
      <c r="AA42" s="30">
        <f t="shared" si="8"/>
        <v>59.18262</v>
      </c>
      <c r="AB42" s="102" t="s">
        <v>153</v>
      </c>
      <c r="AC42" s="59"/>
      <c r="AD42" s="59"/>
      <c r="AE42" s="31">
        <v>101.53439999999999</v>
      </c>
      <c r="AF42" s="111">
        <v>203.06879999999998</v>
      </c>
      <c r="AG42" s="111">
        <f>Y42/2.5</f>
        <v>236.73048</v>
      </c>
      <c r="AH42" s="86"/>
      <c r="AI42" s="79">
        <f>AA42/AQ42</f>
        <v>1.7939563504092149</v>
      </c>
      <c r="AJ42" s="76"/>
      <c r="AK42" s="84"/>
      <c r="AL42" s="84"/>
      <c r="AM42" s="37">
        <f>'Přehled všech '!AM42</f>
        <v>0.14000000000000001</v>
      </c>
      <c r="AN42" s="38">
        <f t="shared" si="2"/>
        <v>96.343800000000002</v>
      </c>
      <c r="AP42" s="39">
        <v>32.99</v>
      </c>
      <c r="AQ42" s="39">
        <v>32.99</v>
      </c>
      <c r="AR42" s="39">
        <v>19.559999999999999</v>
      </c>
    </row>
    <row r="43" spans="1:46" ht="23.25" customHeight="1" thickTop="1" thickBot="1" x14ac:dyDescent="0.4">
      <c r="A43" s="19" t="s">
        <v>101</v>
      </c>
      <c r="B43" s="19">
        <v>258278</v>
      </c>
      <c r="C43" s="19">
        <v>173.67</v>
      </c>
      <c r="D43" s="19">
        <v>736.33</v>
      </c>
      <c r="E43" s="19">
        <v>14.24</v>
      </c>
      <c r="F43" s="20" t="s">
        <v>93</v>
      </c>
      <c r="G43" s="21" t="s">
        <v>137</v>
      </c>
      <c r="H43" s="22" t="s">
        <v>37</v>
      </c>
      <c r="I43" s="23" t="s">
        <v>102</v>
      </c>
      <c r="J43" s="22"/>
      <c r="K43" s="24" t="s">
        <v>103</v>
      </c>
      <c r="L43" s="24" t="s">
        <v>104</v>
      </c>
      <c r="M43" s="22" t="s">
        <v>37</v>
      </c>
      <c r="N43" s="23" t="s">
        <v>40</v>
      </c>
      <c r="O43" s="46"/>
      <c r="P43" s="41" t="s">
        <v>105</v>
      </c>
      <c r="Q43" s="41" t="s">
        <v>106</v>
      </c>
      <c r="R43" s="46"/>
      <c r="S43" s="41" t="s">
        <v>107</v>
      </c>
      <c r="T43" s="41" t="s">
        <v>108</v>
      </c>
      <c r="U43" s="46" t="s">
        <v>37</v>
      </c>
      <c r="V43" s="47">
        <v>14250</v>
      </c>
      <c r="W43" s="54">
        <v>4</v>
      </c>
      <c r="X43" s="95">
        <v>688.17</v>
      </c>
      <c r="Y43" s="56">
        <f>'Přehled všech '!Y43</f>
        <v>591.82619999999997</v>
      </c>
      <c r="Z43" s="58">
        <f t="shared" si="1"/>
        <v>147.95654999999999</v>
      </c>
      <c r="AA43" s="30">
        <f t="shared" si="8"/>
        <v>59.18262</v>
      </c>
      <c r="AB43" s="102" t="s">
        <v>153</v>
      </c>
      <c r="AC43" s="59"/>
      <c r="AD43" s="59"/>
      <c r="AE43" s="31">
        <f>Y43/5</f>
        <v>118.36524</v>
      </c>
      <c r="AF43" s="59"/>
      <c r="AG43" s="111">
        <f>Y43/2.5</f>
        <v>236.73048</v>
      </c>
      <c r="AH43" s="92"/>
      <c r="AI43" s="92"/>
      <c r="AJ43" s="92"/>
      <c r="AK43" s="93"/>
      <c r="AL43" s="92"/>
      <c r="AM43" s="37">
        <v>0.12</v>
      </c>
      <c r="AN43" s="38">
        <f t="shared" si="2"/>
        <v>82.580399999999997</v>
      </c>
      <c r="AP43" s="39">
        <v>32.99</v>
      </c>
      <c r="AQ43" s="39">
        <v>32.99</v>
      </c>
      <c r="AR43" s="39">
        <v>19.559999999999999</v>
      </c>
      <c r="AS43" s="39"/>
      <c r="AT43" s="39"/>
    </row>
    <row r="44" spans="1:46" ht="40.5" customHeight="1" thickTop="1" thickBot="1" x14ac:dyDescent="0.4">
      <c r="A44" s="19" t="s">
        <v>109</v>
      </c>
      <c r="B44" s="19">
        <v>258274</v>
      </c>
      <c r="C44" s="19">
        <v>242.19</v>
      </c>
      <c r="D44" s="19">
        <v>923.75</v>
      </c>
      <c r="E44" s="19">
        <v>237.91</v>
      </c>
      <c r="F44" s="20" t="s">
        <v>93</v>
      </c>
      <c r="G44" s="21" t="s">
        <v>137</v>
      </c>
      <c r="H44" s="22" t="s">
        <v>37</v>
      </c>
      <c r="I44" s="23"/>
      <c r="J44" s="22"/>
      <c r="K44" s="22"/>
      <c r="L44" s="22"/>
      <c r="M44" s="22" t="s">
        <v>37</v>
      </c>
      <c r="N44" s="40"/>
      <c r="O44" s="46"/>
      <c r="P44" s="46"/>
      <c r="Q44" s="41" t="s">
        <v>110</v>
      </c>
      <c r="R44" s="41" t="s">
        <v>111</v>
      </c>
      <c r="S44" s="46"/>
      <c r="T44" s="24"/>
      <c r="U44" s="46" t="s">
        <v>37</v>
      </c>
      <c r="V44" s="47">
        <v>14250</v>
      </c>
      <c r="W44" s="54">
        <v>5.33</v>
      </c>
      <c r="X44" s="55">
        <v>841.28</v>
      </c>
      <c r="Y44" s="56">
        <f>'Přehled všech '!Y44</f>
        <v>723.50080000000003</v>
      </c>
      <c r="Z44" s="58">
        <f t="shared" si="1"/>
        <v>135.7412382739212</v>
      </c>
      <c r="AA44" s="30">
        <f t="shared" si="8"/>
        <v>72.350080000000005</v>
      </c>
      <c r="AB44" s="100"/>
      <c r="AC44" s="59"/>
      <c r="AD44" s="59"/>
      <c r="AE44" s="106">
        <f>Y44/5</f>
        <v>144.70016000000001</v>
      </c>
      <c r="AF44" s="59"/>
      <c r="AG44" s="42"/>
      <c r="AH44" s="88"/>
      <c r="AI44" s="88"/>
      <c r="AJ44" s="88"/>
      <c r="AK44" s="90"/>
      <c r="AL44" s="91">
        <f>AE44/AT44</f>
        <v>1.2578247566063978</v>
      </c>
      <c r="AM44" s="37">
        <f>'Přehled všech '!AM44</f>
        <v>0.14000000000000001</v>
      </c>
      <c r="AN44" s="38">
        <f t="shared" si="2"/>
        <v>117.7792</v>
      </c>
      <c r="AP44" s="39">
        <v>32.99</v>
      </c>
      <c r="AQ44" s="39">
        <v>32.99</v>
      </c>
      <c r="AR44" s="39">
        <v>19.559999999999999</v>
      </c>
      <c r="AS44" s="39"/>
      <c r="AT44" s="39">
        <v>115.04</v>
      </c>
    </row>
    <row r="45" spans="1:46" ht="45" customHeight="1" thickTop="1" thickBot="1" x14ac:dyDescent="0.4">
      <c r="A45" s="19" t="s">
        <v>112</v>
      </c>
      <c r="B45" s="19">
        <v>258279</v>
      </c>
      <c r="C45" s="19">
        <v>277.27999999999997</v>
      </c>
      <c r="D45" s="19">
        <v>1154.68</v>
      </c>
      <c r="E45" s="19">
        <v>217.51</v>
      </c>
      <c r="F45" s="20" t="s">
        <v>93</v>
      </c>
      <c r="G45" s="21" t="s">
        <v>137</v>
      </c>
      <c r="H45" s="22" t="s">
        <v>37</v>
      </c>
      <c r="I45" s="23"/>
      <c r="J45" s="22"/>
      <c r="K45" s="22"/>
      <c r="L45" s="22"/>
      <c r="M45" s="22" t="s">
        <v>37</v>
      </c>
      <c r="N45" s="40"/>
      <c r="O45" s="46"/>
      <c r="P45" s="46"/>
      <c r="Q45" s="46"/>
      <c r="R45" s="41" t="s">
        <v>113</v>
      </c>
      <c r="S45" s="41" t="s">
        <v>114</v>
      </c>
      <c r="T45" s="46"/>
      <c r="U45" s="46" t="s">
        <v>37</v>
      </c>
      <c r="V45" s="47">
        <v>14250</v>
      </c>
      <c r="W45" s="54">
        <v>6.67</v>
      </c>
      <c r="X45" s="55">
        <v>1097.8599999999999</v>
      </c>
      <c r="Y45" s="56">
        <f>'Přehled všech '!Y45</f>
        <v>944.15959999999995</v>
      </c>
      <c r="Z45" s="58">
        <f t="shared" si="1"/>
        <v>141.55316341829084</v>
      </c>
      <c r="AA45" s="58"/>
      <c r="AB45" s="100"/>
      <c r="AC45" s="59"/>
      <c r="AD45" s="59"/>
      <c r="AE45" s="31">
        <f>Y45/5</f>
        <v>188.83192</v>
      </c>
      <c r="AF45" s="59"/>
      <c r="AG45" s="42"/>
      <c r="AH45" s="88"/>
      <c r="AI45" s="88"/>
      <c r="AJ45" s="88"/>
      <c r="AK45" s="88"/>
      <c r="AL45" s="88"/>
      <c r="AM45" s="37">
        <f>'Přehled všech '!AM45</f>
        <v>0.14000000000000001</v>
      </c>
      <c r="AN45" s="38">
        <f t="shared" si="2"/>
        <v>153.7004</v>
      </c>
      <c r="AP45" s="39">
        <v>32.99</v>
      </c>
      <c r="AQ45" s="39">
        <v>32.99</v>
      </c>
      <c r="AR45" s="39">
        <v>19.559999999999999</v>
      </c>
      <c r="AS45" s="39"/>
    </row>
    <row r="46" spans="1:46" ht="0.75" customHeight="1" thickTop="1" thickBot="1" x14ac:dyDescent="0.4">
      <c r="A46" s="19" t="s">
        <v>115</v>
      </c>
      <c r="B46" s="19">
        <v>258287</v>
      </c>
      <c r="C46" s="19">
        <v>299.13</v>
      </c>
      <c r="D46" s="19">
        <v>1385.62</v>
      </c>
      <c r="E46" s="19">
        <v>136.06</v>
      </c>
      <c r="F46" s="20" t="s">
        <v>116</v>
      </c>
      <c r="G46" s="21" t="s">
        <v>137</v>
      </c>
      <c r="H46" s="22"/>
      <c r="I46" s="22"/>
      <c r="J46" s="22"/>
      <c r="K46" s="22"/>
      <c r="L46" s="22"/>
      <c r="M46" s="22" t="s">
        <v>37</v>
      </c>
      <c r="N46" s="40"/>
      <c r="O46" s="46"/>
      <c r="P46" s="41" t="s">
        <v>117</v>
      </c>
      <c r="Q46" s="41" t="s">
        <v>118</v>
      </c>
      <c r="R46" s="46"/>
      <c r="S46" s="41" t="s">
        <v>119</v>
      </c>
      <c r="T46" s="41" t="s">
        <v>120</v>
      </c>
      <c r="U46" s="46" t="s">
        <v>37</v>
      </c>
      <c r="V46" s="47">
        <v>14250</v>
      </c>
      <c r="W46" s="27">
        <v>8</v>
      </c>
      <c r="X46" s="66">
        <v>1112.67</v>
      </c>
      <c r="Y46" s="56">
        <f>'Přehled všech '!Y46</f>
        <v>956.89620000000002</v>
      </c>
      <c r="Z46" s="58">
        <f t="shared" si="1"/>
        <v>119.612025</v>
      </c>
      <c r="AA46" s="58"/>
      <c r="AB46" s="100"/>
      <c r="AC46" s="31">
        <f>Y46/10</f>
        <v>95.689620000000005</v>
      </c>
      <c r="AD46" s="72">
        <f>Y46/5</f>
        <v>191.37924000000001</v>
      </c>
      <c r="AE46" s="59"/>
      <c r="AF46" s="59"/>
      <c r="AG46" s="42"/>
      <c r="AH46" s="88"/>
      <c r="AI46" s="88"/>
      <c r="AJ46" s="88"/>
      <c r="AK46" s="90"/>
      <c r="AL46" s="88"/>
      <c r="AM46" s="37">
        <f>'Přehled všech '!AM46</f>
        <v>0.14000000000000001</v>
      </c>
      <c r="AN46" s="38">
        <f t="shared" si="2"/>
        <v>155.77380000000002</v>
      </c>
      <c r="AP46" s="39">
        <v>32.99</v>
      </c>
      <c r="AQ46" s="39">
        <v>32.99</v>
      </c>
      <c r="AR46" s="39">
        <v>19.559999999999999</v>
      </c>
      <c r="AS46" s="39"/>
      <c r="AT46" s="39"/>
    </row>
    <row r="47" spans="1:46" ht="45" customHeight="1" thickTop="1" thickBot="1" x14ac:dyDescent="0.4">
      <c r="A47" s="19" t="s">
        <v>121</v>
      </c>
      <c r="B47" s="19">
        <v>213479</v>
      </c>
      <c r="C47" s="19">
        <v>108.41</v>
      </c>
      <c r="D47" s="19">
        <v>277.13</v>
      </c>
      <c r="E47" s="19">
        <v>139.79</v>
      </c>
      <c r="F47" s="20" t="s">
        <v>116</v>
      </c>
      <c r="G47" s="21" t="s">
        <v>137</v>
      </c>
      <c r="H47" s="22"/>
      <c r="I47" s="22"/>
      <c r="J47" s="22"/>
      <c r="K47" s="22"/>
      <c r="L47" s="22"/>
      <c r="M47" s="22" t="s">
        <v>37</v>
      </c>
      <c r="N47" s="40"/>
      <c r="O47" s="46"/>
      <c r="P47" s="41" t="s">
        <v>117</v>
      </c>
      <c r="Q47" s="41" t="s">
        <v>118</v>
      </c>
      <c r="R47" s="46"/>
      <c r="S47" s="41" t="s">
        <v>119</v>
      </c>
      <c r="T47" s="41" t="s">
        <v>120</v>
      </c>
      <c r="U47" s="46" t="s">
        <v>37</v>
      </c>
      <c r="V47" s="47">
        <v>14250</v>
      </c>
      <c r="W47" s="27">
        <v>1.6</v>
      </c>
      <c r="X47" s="243" t="s">
        <v>419</v>
      </c>
      <c r="Y47" s="56" t="e">
        <f>'Přehled všech '!Y47</f>
        <v>#VALUE!</v>
      </c>
      <c r="Z47" s="58" t="e">
        <f t="shared" si="1"/>
        <v>#VALUE!</v>
      </c>
      <c r="AA47" s="58"/>
      <c r="AB47" s="100"/>
      <c r="AC47" s="31" t="e">
        <f>Y47/2</f>
        <v>#VALUE!</v>
      </c>
      <c r="AD47" s="31" t="e">
        <f>Y47</f>
        <v>#VALUE!</v>
      </c>
      <c r="AE47" s="59"/>
      <c r="AF47" s="59"/>
      <c r="AG47" s="42"/>
      <c r="AH47" s="88"/>
      <c r="AI47" s="88"/>
      <c r="AJ47" s="88"/>
      <c r="AK47" s="90"/>
      <c r="AL47" s="88"/>
      <c r="AM47" s="37">
        <f>'Přehled všech '!AM47</f>
        <v>0.14000000000000001</v>
      </c>
      <c r="AN47" s="38" t="e">
        <f t="shared" si="2"/>
        <v>#VALUE!</v>
      </c>
      <c r="AP47" s="39">
        <v>32.99</v>
      </c>
      <c r="AQ47" s="39">
        <v>32.99</v>
      </c>
      <c r="AR47" s="39">
        <v>19.559999999999999</v>
      </c>
      <c r="AS47" s="39"/>
      <c r="AT47" s="39"/>
    </row>
    <row r="48" spans="1:46" ht="39" customHeight="1" thickTop="1" thickBot="1" x14ac:dyDescent="0.4">
      <c r="A48" s="19" t="s">
        <v>122</v>
      </c>
      <c r="B48" s="19">
        <v>258289</v>
      </c>
      <c r="C48" s="19">
        <v>359.53</v>
      </c>
      <c r="D48" s="19">
        <v>1847.49</v>
      </c>
      <c r="E48" s="19">
        <v>89.88</v>
      </c>
      <c r="F48" s="20" t="s">
        <v>116</v>
      </c>
      <c r="G48" s="21" t="s">
        <v>137</v>
      </c>
      <c r="H48" s="22"/>
      <c r="I48" s="22"/>
      <c r="J48" s="22"/>
      <c r="K48" s="22"/>
      <c r="L48" s="22"/>
      <c r="M48" s="22" t="s">
        <v>37</v>
      </c>
      <c r="N48" s="40"/>
      <c r="O48" s="46"/>
      <c r="P48" s="46"/>
      <c r="Q48" s="41" t="s">
        <v>123</v>
      </c>
      <c r="R48" s="41" t="s">
        <v>124</v>
      </c>
      <c r="S48" s="46"/>
      <c r="T48" s="46"/>
      <c r="U48" s="46" t="s">
        <v>37</v>
      </c>
      <c r="V48" s="47">
        <v>14250</v>
      </c>
      <c r="W48" s="27">
        <v>10.67</v>
      </c>
      <c r="X48" s="66">
        <v>1509.72</v>
      </c>
      <c r="Y48" s="56">
        <f>'Přehled všech '!Y48</f>
        <v>1298.3592000000001</v>
      </c>
      <c r="Z48" s="58">
        <f t="shared" si="1"/>
        <v>121.68314901593253</v>
      </c>
      <c r="AA48" s="58"/>
      <c r="AB48" s="100"/>
      <c r="AC48" s="106">
        <f>Y48/10</f>
        <v>129.83592000000002</v>
      </c>
      <c r="AD48" s="31"/>
      <c r="AE48" s="59"/>
      <c r="AF48" s="59"/>
      <c r="AG48" s="42"/>
      <c r="AH48" s="88"/>
      <c r="AI48" s="88"/>
      <c r="AJ48" s="88"/>
      <c r="AK48" s="89">
        <f t="shared" ref="AK48" si="11">AC48/AS48</f>
        <v>0.93852768541275133</v>
      </c>
      <c r="AL48" s="88"/>
      <c r="AM48" s="37">
        <v>0.12</v>
      </c>
      <c r="AN48" s="38">
        <f t="shared" si="2"/>
        <v>181.16640000000001</v>
      </c>
      <c r="AP48" s="39">
        <v>32.99</v>
      </c>
      <c r="AQ48" s="39">
        <v>32.99</v>
      </c>
      <c r="AR48" s="39">
        <v>19.559999999999999</v>
      </c>
      <c r="AS48" s="39">
        <v>138.34</v>
      </c>
      <c r="AT48" s="39"/>
    </row>
    <row r="49" spans="1:46" ht="43.5" customHeight="1" thickTop="1" thickBot="1" x14ac:dyDescent="0.4">
      <c r="A49" s="19" t="s">
        <v>125</v>
      </c>
      <c r="B49" s="19">
        <v>213481</v>
      </c>
      <c r="C49" s="19">
        <v>110.34</v>
      </c>
      <c r="D49" s="19">
        <v>369.49</v>
      </c>
      <c r="E49" s="19">
        <v>55.26</v>
      </c>
      <c r="F49" s="20" t="s">
        <v>116</v>
      </c>
      <c r="G49" s="21" t="s">
        <v>137</v>
      </c>
      <c r="H49" s="22"/>
      <c r="I49" s="22"/>
      <c r="J49" s="22"/>
      <c r="K49" s="22"/>
      <c r="L49" s="22"/>
      <c r="M49" s="22" t="s">
        <v>37</v>
      </c>
      <c r="N49" s="40"/>
      <c r="O49" s="46"/>
      <c r="P49" s="46"/>
      <c r="Q49" s="41" t="s">
        <v>123</v>
      </c>
      <c r="R49" s="41" t="s">
        <v>126</v>
      </c>
      <c r="S49" s="46"/>
      <c r="T49" s="46"/>
      <c r="U49" s="46" t="s">
        <v>37</v>
      </c>
      <c r="V49" s="47">
        <v>14250</v>
      </c>
      <c r="W49" s="27">
        <v>2.13</v>
      </c>
      <c r="X49" s="243" t="s">
        <v>419</v>
      </c>
      <c r="Y49" s="56" t="e">
        <f>'Přehled všech '!Y49</f>
        <v>#VALUE!</v>
      </c>
      <c r="Z49" s="58" t="e">
        <f t="shared" si="1"/>
        <v>#VALUE!</v>
      </c>
      <c r="AA49" s="58"/>
      <c r="AB49" s="100"/>
      <c r="AC49" s="105" t="e">
        <f>Y49/2</f>
        <v>#VALUE!</v>
      </c>
      <c r="AD49" s="31"/>
      <c r="AE49" s="59"/>
      <c r="AF49" s="59"/>
      <c r="AG49" s="42"/>
      <c r="AH49" s="88"/>
      <c r="AI49" s="88"/>
      <c r="AJ49" s="88"/>
      <c r="AK49" s="103" t="e">
        <f>AC49/AS49</f>
        <v>#VALUE!</v>
      </c>
      <c r="AL49" s="88"/>
      <c r="AM49" s="37">
        <f>'Přehled všech '!AM49</f>
        <v>0.14000000000000001</v>
      </c>
      <c r="AN49" s="38" t="e">
        <f t="shared" si="2"/>
        <v>#VALUE!</v>
      </c>
      <c r="AP49" s="39">
        <v>32.99</v>
      </c>
      <c r="AQ49" s="39">
        <v>32.99</v>
      </c>
      <c r="AR49" s="39">
        <v>19.559999999999999</v>
      </c>
      <c r="AS49" s="39">
        <v>138.34</v>
      </c>
      <c r="AT49" s="39"/>
    </row>
    <row r="50" spans="1:46" ht="42" customHeight="1" thickTop="1" thickBot="1" x14ac:dyDescent="0.4">
      <c r="A50" s="19" t="s">
        <v>127</v>
      </c>
      <c r="B50" s="19">
        <v>258291</v>
      </c>
      <c r="C50" s="19">
        <v>419.93</v>
      </c>
      <c r="D50" s="19">
        <v>2309.37</v>
      </c>
      <c r="E50" s="19">
        <v>43.69</v>
      </c>
      <c r="F50" s="20" t="s">
        <v>116</v>
      </c>
      <c r="G50" s="21" t="s">
        <v>137</v>
      </c>
      <c r="H50" s="22"/>
      <c r="I50" s="22"/>
      <c r="J50" s="22"/>
      <c r="K50" s="22"/>
      <c r="L50" s="22"/>
      <c r="M50" s="22" t="s">
        <v>37</v>
      </c>
      <c r="N50" s="40"/>
      <c r="O50" s="46"/>
      <c r="P50" s="46"/>
      <c r="Q50" s="46"/>
      <c r="R50" s="41" t="s">
        <v>128</v>
      </c>
      <c r="S50" s="41" t="s">
        <v>129</v>
      </c>
      <c r="T50" s="46"/>
      <c r="U50" s="46" t="s">
        <v>37</v>
      </c>
      <c r="V50" s="47">
        <v>14250</v>
      </c>
      <c r="W50" s="54">
        <v>13.33</v>
      </c>
      <c r="X50" s="66">
        <v>1906.77</v>
      </c>
      <c r="Y50" s="56">
        <f>'Přehled všech '!Y50</f>
        <v>1639.8222000000001</v>
      </c>
      <c r="Z50" s="58">
        <f t="shared" si="1"/>
        <v>123.01741935483871</v>
      </c>
      <c r="AA50" s="58"/>
      <c r="AB50" s="100"/>
      <c r="AC50" s="31">
        <f>Y50/10</f>
        <v>163.98222000000001</v>
      </c>
      <c r="AD50" s="31"/>
      <c r="AE50" s="59"/>
      <c r="AF50" s="59"/>
      <c r="AG50" s="42"/>
      <c r="AH50" s="88"/>
      <c r="AI50" s="88"/>
      <c r="AJ50" s="88"/>
      <c r="AK50" s="88"/>
      <c r="AL50" s="88"/>
      <c r="AM50" s="37">
        <f>'Přehled všech '!AM50</f>
        <v>0.14000000000000001</v>
      </c>
      <c r="AN50" s="38">
        <f t="shared" si="2"/>
        <v>266.94780000000003</v>
      </c>
      <c r="AP50" s="39">
        <v>32.99</v>
      </c>
      <c r="AQ50" s="39">
        <v>32.99</v>
      </c>
      <c r="AR50" s="39">
        <v>19.559999999999999</v>
      </c>
      <c r="AS50" s="39"/>
    </row>
    <row r="51" spans="1:46" ht="51.75" customHeight="1" thickTop="1" thickBot="1" x14ac:dyDescent="0.4">
      <c r="A51" s="19" t="s">
        <v>130</v>
      </c>
      <c r="B51" s="19">
        <v>26409</v>
      </c>
      <c r="C51" s="19">
        <v>400.03</v>
      </c>
      <c r="D51" s="19">
        <v>736.33</v>
      </c>
      <c r="E51" s="19">
        <v>100.08</v>
      </c>
      <c r="F51" s="19" t="s">
        <v>131</v>
      </c>
      <c r="G51" s="21" t="s">
        <v>137</v>
      </c>
      <c r="H51" s="22"/>
      <c r="I51" s="22"/>
      <c r="J51" s="22"/>
      <c r="K51" s="24" t="s">
        <v>39</v>
      </c>
      <c r="L51" s="24" t="s">
        <v>39</v>
      </c>
      <c r="M51" s="67"/>
      <c r="N51" s="24" t="s">
        <v>39</v>
      </c>
      <c r="O51" s="68"/>
      <c r="P51" s="68"/>
      <c r="Q51" s="68"/>
      <c r="R51" s="68"/>
      <c r="S51" s="68"/>
      <c r="T51" s="68"/>
      <c r="U51" s="68"/>
      <c r="V51" s="54">
        <v>2.5</v>
      </c>
      <c r="W51" s="54">
        <v>10</v>
      </c>
      <c r="X51" s="66">
        <v>564.54</v>
      </c>
      <c r="Y51" s="56">
        <f t="shared" si="0"/>
        <v>496.79519999999997</v>
      </c>
      <c r="Z51" s="58">
        <f t="shared" si="1"/>
        <v>49.679519999999997</v>
      </c>
      <c r="AA51" s="30">
        <f>Y51/10</f>
        <v>49.679519999999997</v>
      </c>
      <c r="AB51" s="102" t="s">
        <v>148</v>
      </c>
      <c r="AC51" s="59"/>
      <c r="AD51" s="59"/>
      <c r="AE51" s="59"/>
      <c r="AF51" s="32">
        <f>Z51/AP51</f>
        <v>1.5058963322218852</v>
      </c>
      <c r="AG51" s="60"/>
      <c r="AH51" s="78">
        <f>AA51/AP51</f>
        <v>1.5058963322218852</v>
      </c>
      <c r="AI51" s="79">
        <f>AA51/AQ51</f>
        <v>1.5058963322218852</v>
      </c>
      <c r="AJ51" s="76"/>
      <c r="AK51" s="84"/>
      <c r="AL51" s="84"/>
      <c r="AM51" s="37">
        <v>0.12</v>
      </c>
      <c r="AN51" s="38">
        <f t="shared" si="2"/>
        <v>67.744799999999998</v>
      </c>
      <c r="AP51" s="39">
        <v>32.99</v>
      </c>
      <c r="AQ51" s="39">
        <v>32.99</v>
      </c>
      <c r="AR51" s="39">
        <v>19.559999999999999</v>
      </c>
    </row>
    <row r="52" spans="1:46" ht="9" customHeight="1" thickTop="1" x14ac:dyDescent="0.35">
      <c r="G52" s="69"/>
      <c r="H52" s="69"/>
      <c r="I52" s="69"/>
      <c r="J52" s="69"/>
      <c r="K52" s="69"/>
      <c r="L52" s="69"/>
      <c r="O52" s="64"/>
      <c r="P52" s="64"/>
      <c r="Q52" s="64"/>
      <c r="R52" s="64"/>
      <c r="S52" s="64"/>
      <c r="T52" s="64"/>
    </row>
    <row r="53" spans="1:46" ht="15" thickBot="1" x14ac:dyDescent="0.4"/>
    <row r="54" spans="1:46" x14ac:dyDescent="0.35">
      <c r="A54" s="112" t="s">
        <v>227</v>
      </c>
      <c r="B54" s="121"/>
      <c r="C54" s="121"/>
      <c r="D54" s="122"/>
    </row>
    <row r="55" spans="1:46" ht="16" thickBot="1" x14ac:dyDescent="0.4">
      <c r="A55" s="113" t="s">
        <v>300</v>
      </c>
      <c r="B55" s="123"/>
      <c r="C55" s="123"/>
      <c r="D55" s="124"/>
    </row>
    <row r="56" spans="1:46" ht="15" thickBot="1" x14ac:dyDescent="0.4">
      <c r="A56" s="171" t="s">
        <v>294</v>
      </c>
      <c r="B56" s="172" t="s">
        <v>295</v>
      </c>
      <c r="C56" s="163" t="s">
        <v>162</v>
      </c>
      <c r="D56" s="125"/>
    </row>
    <row r="57" spans="1:46" ht="15" thickBot="1" x14ac:dyDescent="0.4">
      <c r="A57" s="146" t="s">
        <v>299</v>
      </c>
      <c r="B57" s="126" t="s">
        <v>297</v>
      </c>
      <c r="C57" s="132">
        <f>AA39*11</f>
        <v>410.61129999999997</v>
      </c>
      <c r="D57" s="190">
        <v>0.1</v>
      </c>
    </row>
    <row r="58" spans="1:46" ht="15" thickBot="1" x14ac:dyDescent="0.4">
      <c r="A58" s="146" t="s">
        <v>307</v>
      </c>
      <c r="B58" s="134" t="s">
        <v>296</v>
      </c>
      <c r="C58" s="135">
        <f>AA40*11</f>
        <v>485.19394</v>
      </c>
      <c r="D58" s="191">
        <v>0.6</v>
      </c>
    </row>
    <row r="59" spans="1:46" ht="15" thickBot="1" x14ac:dyDescent="0.4">
      <c r="A59" s="268" t="s">
        <v>302</v>
      </c>
      <c r="B59" s="269"/>
      <c r="C59" s="270"/>
      <c r="D59" s="192"/>
    </row>
    <row r="60" spans="1:46" ht="15" thickBot="1" x14ac:dyDescent="0.4">
      <c r="A60" s="263" t="s">
        <v>301</v>
      </c>
      <c r="B60" s="188" t="s">
        <v>303</v>
      </c>
      <c r="C60" s="266">
        <f>(AA39*4)+(AA40*25)</f>
        <v>1252.0266999999999</v>
      </c>
      <c r="D60" s="276">
        <v>0.12</v>
      </c>
    </row>
    <row r="61" spans="1:46" ht="15" thickBot="1" x14ac:dyDescent="0.4">
      <c r="A61" s="264"/>
      <c r="B61" s="188" t="s">
        <v>304</v>
      </c>
      <c r="C61" s="267"/>
      <c r="D61" s="275"/>
    </row>
    <row r="62" spans="1:46" ht="15" thickBot="1" x14ac:dyDescent="0.4">
      <c r="A62" s="265" t="s">
        <v>371</v>
      </c>
      <c r="B62" s="188" t="s">
        <v>305</v>
      </c>
      <c r="C62" s="266">
        <f>(AA40*4)+(AA42*25)</f>
        <v>1655.9996599999999</v>
      </c>
      <c r="D62" s="274">
        <v>0.12</v>
      </c>
    </row>
    <row r="63" spans="1:46" ht="15" thickBot="1" x14ac:dyDescent="0.4">
      <c r="A63" s="264"/>
      <c r="B63" s="188" t="s">
        <v>306</v>
      </c>
      <c r="C63" s="267"/>
      <c r="D63" s="275"/>
    </row>
    <row r="64" spans="1:46" ht="15" thickBot="1" x14ac:dyDescent="0.4">
      <c r="A64" s="265" t="s">
        <v>310</v>
      </c>
      <c r="B64" s="188" t="s">
        <v>308</v>
      </c>
      <c r="C64" s="266">
        <f>(AA42*4)+(AA44*25)</f>
        <v>2045.4824800000001</v>
      </c>
      <c r="D64" s="276">
        <v>0.06</v>
      </c>
    </row>
    <row r="65" spans="1:4" ht="15" thickBot="1" x14ac:dyDescent="0.4">
      <c r="A65" s="264"/>
      <c r="B65" s="188" t="s">
        <v>309</v>
      </c>
      <c r="C65" s="267"/>
      <c r="D65" s="275"/>
    </row>
    <row r="66" spans="1:4" ht="15" thickBot="1" x14ac:dyDescent="0.4">
      <c r="A66" s="115" t="s">
        <v>391</v>
      </c>
      <c r="B66" s="128"/>
      <c r="C66" s="189">
        <f>((100*D57*C57)+(100*D58*C58)+(100*D60*C60)+(100*D62*C62)+(100*D64*C64))*0.15</f>
        <v>12058.044089999998</v>
      </c>
      <c r="D66" s="129"/>
    </row>
    <row r="67" spans="1:4" ht="15" thickBot="1" x14ac:dyDescent="0.4">
      <c r="A67" s="116"/>
      <c r="B67" s="116"/>
      <c r="C67" s="116"/>
      <c r="D67" s="117"/>
    </row>
    <row r="68" spans="1:4" x14ac:dyDescent="0.35">
      <c r="A68" s="137" t="s">
        <v>167</v>
      </c>
      <c r="B68" s="138"/>
      <c r="C68" s="138"/>
      <c r="D68" s="139"/>
    </row>
    <row r="69" spans="1:4" ht="16" thickBot="1" x14ac:dyDescent="0.4">
      <c r="A69" s="113" t="s">
        <v>313</v>
      </c>
      <c r="B69" s="141"/>
      <c r="C69" s="141"/>
      <c r="D69" s="142"/>
    </row>
    <row r="70" spans="1:4" x14ac:dyDescent="0.35">
      <c r="A70" s="171" t="s">
        <v>166</v>
      </c>
      <c r="B70" s="172" t="s">
        <v>311</v>
      </c>
      <c r="C70" s="163" t="s">
        <v>162</v>
      </c>
      <c r="D70" s="125"/>
    </row>
    <row r="71" spans="1:4" ht="15" thickBot="1" x14ac:dyDescent="0.4">
      <c r="A71" s="271" t="s">
        <v>312</v>
      </c>
      <c r="B71" s="272"/>
      <c r="C71" s="273"/>
      <c r="D71" s="193"/>
    </row>
    <row r="72" spans="1:4" ht="15" thickBot="1" x14ac:dyDescent="0.4">
      <c r="A72" s="263" t="s">
        <v>301</v>
      </c>
      <c r="B72" s="188" t="s">
        <v>314</v>
      </c>
      <c r="C72" s="266">
        <f>(AA39*4)+(AA40*25)</f>
        <v>1252.0266999999999</v>
      </c>
      <c r="D72" s="276">
        <v>0.12</v>
      </c>
    </row>
    <row r="73" spans="1:4" ht="15" thickBot="1" x14ac:dyDescent="0.4">
      <c r="A73" s="264"/>
      <c r="B73" s="188" t="s">
        <v>315</v>
      </c>
      <c r="C73" s="267"/>
      <c r="D73" s="275"/>
    </row>
    <row r="74" spans="1:4" ht="15" thickBot="1" x14ac:dyDescent="0.4">
      <c r="A74" s="265" t="s">
        <v>371</v>
      </c>
      <c r="B74" s="188" t="s">
        <v>316</v>
      </c>
      <c r="C74" s="266">
        <f>(AA40*4)+(AA42*25)</f>
        <v>1655.9996599999999</v>
      </c>
      <c r="D74" s="276">
        <v>0.52</v>
      </c>
    </row>
    <row r="75" spans="1:4" ht="15" thickBot="1" x14ac:dyDescent="0.4">
      <c r="A75" s="264"/>
      <c r="B75" s="188" t="s">
        <v>317</v>
      </c>
      <c r="C75" s="267"/>
      <c r="D75" s="275"/>
    </row>
    <row r="76" spans="1:4" ht="15" thickBot="1" x14ac:dyDescent="0.4">
      <c r="A76" s="265" t="s">
        <v>310</v>
      </c>
      <c r="B76" s="188" t="s">
        <v>308</v>
      </c>
      <c r="C76" s="266">
        <f>(AA42*4)+(AA44*25)</f>
        <v>2045.4824800000001</v>
      </c>
      <c r="D76" s="276">
        <v>0.16</v>
      </c>
    </row>
    <row r="77" spans="1:4" ht="15" thickBot="1" x14ac:dyDescent="0.4">
      <c r="A77" s="264"/>
      <c r="B77" s="188" t="s">
        <v>318</v>
      </c>
      <c r="C77" s="267"/>
      <c r="D77" s="275"/>
    </row>
    <row r="78" spans="1:4" ht="15" thickBot="1" x14ac:dyDescent="0.4">
      <c r="A78" s="268" t="s">
        <v>339</v>
      </c>
      <c r="B78" s="269"/>
      <c r="C78" s="270"/>
      <c r="D78" s="195"/>
    </row>
    <row r="79" spans="1:4" ht="15" thickBot="1" x14ac:dyDescent="0.4">
      <c r="A79" s="263" t="s">
        <v>301</v>
      </c>
      <c r="B79" s="188" t="s">
        <v>314</v>
      </c>
      <c r="C79" s="266">
        <f>(AA39*4)+(AA40*7)</f>
        <v>458.07297999999997</v>
      </c>
      <c r="D79" s="276">
        <v>0.03</v>
      </c>
    </row>
    <row r="80" spans="1:4" ht="15" thickBot="1" x14ac:dyDescent="0.4">
      <c r="A80" s="264"/>
      <c r="B80" s="188" t="s">
        <v>319</v>
      </c>
      <c r="C80" s="267"/>
      <c r="D80" s="275"/>
    </row>
    <row r="81" spans="1:4" ht="15" thickBot="1" x14ac:dyDescent="0.4">
      <c r="A81" s="265" t="s">
        <v>371</v>
      </c>
      <c r="B81" s="188" t="s">
        <v>316</v>
      </c>
      <c r="C81" s="266">
        <f>(AA40*4)+(AA42*7)</f>
        <v>590.71249999999998</v>
      </c>
      <c r="D81" s="276">
        <v>0.13</v>
      </c>
    </row>
    <row r="82" spans="1:4" ht="15" thickBot="1" x14ac:dyDescent="0.4">
      <c r="A82" s="264"/>
      <c r="B82" s="188" t="s">
        <v>320</v>
      </c>
      <c r="C82" s="267"/>
      <c r="D82" s="275"/>
    </row>
    <row r="83" spans="1:4" ht="15" thickBot="1" x14ac:dyDescent="0.4">
      <c r="A83" s="265" t="s">
        <v>310</v>
      </c>
      <c r="B83" s="188" t="s">
        <v>308</v>
      </c>
      <c r="C83" s="266">
        <f>(AA42*4)+(AA44*7)</f>
        <v>743.18104000000005</v>
      </c>
      <c r="D83" s="276">
        <v>0.04</v>
      </c>
    </row>
    <row r="84" spans="1:4" ht="15" thickBot="1" x14ac:dyDescent="0.4">
      <c r="A84" s="264"/>
      <c r="B84" s="188" t="s">
        <v>321</v>
      </c>
      <c r="C84" s="267"/>
      <c r="D84" s="275"/>
    </row>
    <row r="85" spans="1:4" ht="15" thickBot="1" x14ac:dyDescent="0.4">
      <c r="A85" s="115" t="s">
        <v>392</v>
      </c>
      <c r="B85" s="128"/>
      <c r="C85" s="189">
        <f>((100*D72*C72)+(100*D74*C74)+(100*D76*C76)+(100*D79*C79)+(100*D81*C81)+(100*D83*C83))*0.1</f>
        <v>14589.022800000001</v>
      </c>
      <c r="D85" s="129"/>
    </row>
    <row r="86" spans="1:4" ht="15" thickBot="1" x14ac:dyDescent="0.4"/>
    <row r="87" spans="1:4" x14ac:dyDescent="0.35">
      <c r="A87" s="257" t="s">
        <v>325</v>
      </c>
      <c r="B87" s="258"/>
      <c r="C87" s="258"/>
      <c r="D87" s="259"/>
    </row>
    <row r="88" spans="1:4" x14ac:dyDescent="0.35">
      <c r="A88" s="279" t="s">
        <v>342</v>
      </c>
      <c r="B88" s="280"/>
      <c r="C88" s="280"/>
      <c r="D88" s="281"/>
    </row>
    <row r="89" spans="1:4" ht="15" thickBot="1" x14ac:dyDescent="0.4">
      <c r="A89" s="260" t="s">
        <v>332</v>
      </c>
      <c r="B89" s="261"/>
      <c r="C89" s="261"/>
      <c r="D89" s="262"/>
    </row>
    <row r="90" spans="1:4" ht="15" thickBot="1" x14ac:dyDescent="0.4">
      <c r="A90" s="167" t="s">
        <v>182</v>
      </c>
      <c r="B90" s="168" t="s">
        <v>324</v>
      </c>
      <c r="C90" s="169" t="s">
        <v>162</v>
      </c>
      <c r="D90" s="125"/>
    </row>
    <row r="91" spans="1:4" ht="15" thickBot="1" x14ac:dyDescent="0.4">
      <c r="A91" s="149" t="s">
        <v>176</v>
      </c>
      <c r="B91" s="150" t="s">
        <v>322</v>
      </c>
      <c r="C91" s="154">
        <f>AA39*7</f>
        <v>261.29809999999998</v>
      </c>
      <c r="D91" s="151">
        <v>0.1</v>
      </c>
    </row>
    <row r="92" spans="1:4" ht="29.25" customHeight="1" thickBot="1" x14ac:dyDescent="0.4">
      <c r="A92" s="149" t="s">
        <v>176</v>
      </c>
      <c r="B92" s="196" t="s">
        <v>335</v>
      </c>
      <c r="C92" s="194">
        <f>AA40*7</f>
        <v>308.75977999999998</v>
      </c>
      <c r="D92" s="197">
        <v>0.4</v>
      </c>
    </row>
    <row r="93" spans="1:4" ht="15" thickBot="1" x14ac:dyDescent="0.4">
      <c r="A93" s="147" t="s">
        <v>184</v>
      </c>
      <c r="B93" s="148" t="s">
        <v>323</v>
      </c>
      <c r="C93" s="132">
        <f>AA39*14</f>
        <v>522.59619999999995</v>
      </c>
      <c r="D93" s="151">
        <v>0.03</v>
      </c>
    </row>
    <row r="94" spans="1:4" ht="15" thickBot="1" x14ac:dyDescent="0.4">
      <c r="A94" s="147" t="s">
        <v>331</v>
      </c>
      <c r="B94" s="148" t="s">
        <v>194</v>
      </c>
      <c r="C94" s="132">
        <f>AA44*7</f>
        <v>506.45056000000005</v>
      </c>
      <c r="D94" s="151">
        <v>0.03</v>
      </c>
    </row>
    <row r="95" spans="1:4" ht="15" thickBot="1" x14ac:dyDescent="0.4">
      <c r="A95" s="152" t="s">
        <v>185</v>
      </c>
      <c r="B95" s="150" t="s">
        <v>326</v>
      </c>
      <c r="C95" s="200"/>
      <c r="D95" s="199"/>
    </row>
    <row r="96" spans="1:4" ht="15" thickBot="1" x14ac:dyDescent="0.4">
      <c r="A96" s="155" t="s">
        <v>327</v>
      </c>
      <c r="B96" s="150" t="s">
        <v>199</v>
      </c>
      <c r="C96" s="132">
        <f>AE40*42</f>
        <v>3705.1173599999997</v>
      </c>
      <c r="D96" s="160">
        <v>0.1</v>
      </c>
    </row>
    <row r="97" spans="1:18" ht="15" thickBot="1" x14ac:dyDescent="0.4">
      <c r="A97" s="155" t="s">
        <v>328</v>
      </c>
      <c r="B97" s="150" t="s">
        <v>201</v>
      </c>
      <c r="C97" s="132">
        <f>AE42*42</f>
        <v>4264.4447999999993</v>
      </c>
      <c r="D97" s="160">
        <v>0.2</v>
      </c>
    </row>
    <row r="98" spans="1:18" ht="15" thickBot="1" x14ac:dyDescent="0.4">
      <c r="A98" s="155" t="s">
        <v>329</v>
      </c>
      <c r="B98" s="150" t="s">
        <v>202</v>
      </c>
      <c r="C98" s="132">
        <f>AE44*42</f>
        <v>6077.4067200000009</v>
      </c>
      <c r="D98" s="160">
        <v>0.03</v>
      </c>
    </row>
    <row r="99" spans="1:18" ht="15" thickBot="1" x14ac:dyDescent="0.4">
      <c r="A99" s="155" t="s">
        <v>330</v>
      </c>
      <c r="B99" s="150" t="s">
        <v>203</v>
      </c>
      <c r="C99" s="132">
        <f>AE45*42</f>
        <v>7930.9406399999998</v>
      </c>
      <c r="D99" s="160">
        <v>0.01</v>
      </c>
    </row>
    <row r="100" spans="1:18" ht="15" thickBot="1" x14ac:dyDescent="0.4">
      <c r="A100" s="146" t="s">
        <v>187</v>
      </c>
      <c r="B100" s="134" t="s">
        <v>333</v>
      </c>
      <c r="C100" s="154">
        <f>AA39*140</f>
        <v>5225.9619999999995</v>
      </c>
      <c r="D100" s="127">
        <v>0.04</v>
      </c>
    </row>
    <row r="101" spans="1:18" ht="25.5" thickBot="1" x14ac:dyDescent="0.4">
      <c r="A101" s="146" t="s">
        <v>187</v>
      </c>
      <c r="B101" s="198" t="s">
        <v>334</v>
      </c>
      <c r="C101" s="194">
        <f>AA40*140</f>
        <v>6175.1956</v>
      </c>
      <c r="D101" s="127">
        <v>0.2</v>
      </c>
    </row>
    <row r="102" spans="1:18" ht="15" thickBot="1" x14ac:dyDescent="0.4">
      <c r="A102" s="146" t="s">
        <v>204</v>
      </c>
      <c r="B102" s="134" t="s">
        <v>341</v>
      </c>
      <c r="C102" s="154">
        <f>AA39*280</f>
        <v>10451.923999999999</v>
      </c>
      <c r="D102" s="127">
        <v>0.06</v>
      </c>
    </row>
    <row r="103" spans="1:18" ht="25.5" thickBot="1" x14ac:dyDescent="0.4">
      <c r="A103" s="146" t="s">
        <v>204</v>
      </c>
      <c r="B103" s="198" t="s">
        <v>338</v>
      </c>
      <c r="C103" s="194">
        <f>AA40*280</f>
        <v>12350.3912</v>
      </c>
      <c r="D103" s="127">
        <v>0.3</v>
      </c>
    </row>
    <row r="104" spans="1:18" ht="15" thickBot="1" x14ac:dyDescent="0.4">
      <c r="A104" s="143" t="s">
        <v>188</v>
      </c>
      <c r="B104" s="134" t="s">
        <v>336</v>
      </c>
      <c r="C104" s="154">
        <f>AA39*280</f>
        <v>10451.923999999999</v>
      </c>
      <c r="D104" s="127">
        <v>0.01</v>
      </c>
    </row>
    <row r="105" spans="1:18" ht="15" thickBot="1" x14ac:dyDescent="0.4">
      <c r="A105" s="146" t="s">
        <v>180</v>
      </c>
      <c r="B105" s="134" t="s">
        <v>337</v>
      </c>
      <c r="C105" s="154">
        <f>AA39*280*2</f>
        <v>20903.847999999998</v>
      </c>
      <c r="D105" s="127">
        <v>0.02</v>
      </c>
    </row>
    <row r="106" spans="1:18" ht="15" thickBot="1" x14ac:dyDescent="0.4">
      <c r="A106" s="153" t="s">
        <v>181</v>
      </c>
      <c r="B106" s="159" t="s">
        <v>340</v>
      </c>
      <c r="C106" s="201"/>
      <c r="D106" s="199"/>
    </row>
    <row r="107" spans="1:18" ht="15" thickBot="1" x14ac:dyDescent="0.4">
      <c r="A107" s="158" t="s">
        <v>327</v>
      </c>
      <c r="B107" s="159" t="s">
        <v>209</v>
      </c>
      <c r="C107" s="132">
        <f>AE40*280</f>
        <v>24700.7824</v>
      </c>
      <c r="D107" s="156">
        <v>0.1</v>
      </c>
    </row>
    <row r="108" spans="1:18" ht="15" thickBot="1" x14ac:dyDescent="0.4">
      <c r="A108" s="158" t="s">
        <v>328</v>
      </c>
      <c r="B108" s="159" t="s">
        <v>210</v>
      </c>
      <c r="C108" s="132">
        <f>AE42*280</f>
        <v>28429.631999999998</v>
      </c>
      <c r="D108" s="156">
        <v>0.15</v>
      </c>
      <c r="R108" s="64"/>
    </row>
    <row r="109" spans="1:18" ht="15" thickBot="1" x14ac:dyDescent="0.4">
      <c r="A109" s="158" t="s">
        <v>329</v>
      </c>
      <c r="B109" s="159" t="s">
        <v>211</v>
      </c>
      <c r="C109" s="132">
        <f>AE44*280</f>
        <v>40516.044800000003</v>
      </c>
      <c r="D109" s="156">
        <v>0.03</v>
      </c>
    </row>
    <row r="110" spans="1:18" ht="15" thickBot="1" x14ac:dyDescent="0.4">
      <c r="A110" s="158" t="s">
        <v>330</v>
      </c>
      <c r="B110" s="159" t="s">
        <v>212</v>
      </c>
      <c r="C110" s="132">
        <f>AE45*280</f>
        <v>52872.937599999997</v>
      </c>
      <c r="D110" s="222">
        <v>5.0000000000000001E-3</v>
      </c>
    </row>
    <row r="111" spans="1:18" ht="15" thickBot="1" x14ac:dyDescent="0.4">
      <c r="A111" s="115" t="s">
        <v>406</v>
      </c>
      <c r="B111" s="128"/>
      <c r="C111" s="133">
        <f>((100*D100*C100)+(100*D101*C101)+(100*D102*C102)+(100*D103*C103)+(100*D104*C104)+(100*D105*C105)+(100*D107*C107)+(100*D108*C108)+(100*D109*C109)+(100*D110*C110))*0.03</f>
        <v>43539.827016000003</v>
      </c>
      <c r="D111" s="129"/>
    </row>
    <row r="112" spans="1:18" ht="15" thickBot="1" x14ac:dyDescent="0.4">
      <c r="A112" s="115" t="s">
        <v>407</v>
      </c>
      <c r="B112" s="128"/>
      <c r="C112" s="133">
        <f>((100*D91*C91)+(100*D92*C92)+(100*D93*C93)+(100*D94*C94)+(100*D96*C96)+(100*D97*C97)+(100*D98*C98)+(100*D99*C99))*0.02</f>
        <v>3331.0748575999992</v>
      </c>
      <c r="D112" s="129"/>
    </row>
    <row r="113" spans="1:4" ht="15" thickBot="1" x14ac:dyDescent="0.4">
      <c r="A113" s="118"/>
      <c r="B113" s="118"/>
      <c r="C113" s="118"/>
      <c r="D113" s="118"/>
    </row>
    <row r="114" spans="1:4" x14ac:dyDescent="0.35">
      <c r="A114" s="137" t="s">
        <v>343</v>
      </c>
      <c r="B114" s="138"/>
      <c r="C114" s="138"/>
      <c r="D114" s="139"/>
    </row>
    <row r="115" spans="1:4" ht="13.5" customHeight="1" x14ac:dyDescent="0.35">
      <c r="A115" s="279" t="s">
        <v>345</v>
      </c>
      <c r="B115" s="280"/>
      <c r="C115" s="280"/>
      <c r="D115" s="281"/>
    </row>
    <row r="116" spans="1:4" ht="15" thickBot="1" x14ac:dyDescent="0.4">
      <c r="A116" s="140" t="s">
        <v>346</v>
      </c>
      <c r="B116" s="141"/>
      <c r="C116" s="141"/>
      <c r="D116" s="142"/>
    </row>
    <row r="117" spans="1:4" ht="27.75" customHeight="1" thickBot="1" x14ac:dyDescent="0.4">
      <c r="A117" s="205" t="s">
        <v>353</v>
      </c>
      <c r="B117" s="172" t="s">
        <v>351</v>
      </c>
      <c r="C117" s="176" t="s">
        <v>162</v>
      </c>
      <c r="D117" s="125"/>
    </row>
    <row r="118" spans="1:4" ht="14.25" customHeight="1" thickBot="1" x14ac:dyDescent="0.4">
      <c r="A118" s="206" t="s">
        <v>347</v>
      </c>
      <c r="B118" s="134" t="s">
        <v>168</v>
      </c>
      <c r="C118" s="135">
        <f>AA40*45</f>
        <v>1984.8842999999999</v>
      </c>
      <c r="D118" s="145">
        <v>0.38</v>
      </c>
    </row>
    <row r="119" spans="1:4" ht="15" thickBot="1" x14ac:dyDescent="0.4">
      <c r="A119" s="203" t="s">
        <v>348</v>
      </c>
      <c r="B119" s="134" t="s">
        <v>350</v>
      </c>
      <c r="C119" s="135">
        <f>AA42*45</f>
        <v>2663.2179000000001</v>
      </c>
      <c r="D119" s="204">
        <v>0.56999999999999995</v>
      </c>
    </row>
    <row r="120" spans="1:4" ht="15" thickBot="1" x14ac:dyDescent="0.4">
      <c r="A120" s="203" t="s">
        <v>349</v>
      </c>
      <c r="B120" s="134" t="s">
        <v>352</v>
      </c>
      <c r="C120" s="135">
        <f>AA44*45</f>
        <v>3255.7536000000005</v>
      </c>
      <c r="D120" s="170">
        <v>0.05</v>
      </c>
    </row>
    <row r="121" spans="1:4" ht="15" thickBot="1" x14ac:dyDescent="0.4">
      <c r="A121" s="144" t="s">
        <v>395</v>
      </c>
      <c r="B121" s="128"/>
      <c r="C121" s="133">
        <f>((100*D118*C118)+(100*D119*C119)+(100*D120*C120))*0.05</f>
        <v>12175.389585000001</v>
      </c>
      <c r="D121" s="129"/>
    </row>
    <row r="122" spans="1:4" ht="15" thickBot="1" x14ac:dyDescent="0.4">
      <c r="A122" s="118"/>
      <c r="B122" s="118"/>
      <c r="C122" s="118"/>
      <c r="D122" s="118"/>
    </row>
    <row r="123" spans="1:4" x14ac:dyDescent="0.35">
      <c r="A123" s="112" t="s">
        <v>237</v>
      </c>
      <c r="B123" s="121"/>
      <c r="C123" s="121"/>
      <c r="D123" s="122"/>
    </row>
    <row r="124" spans="1:4" ht="15" thickBot="1" x14ac:dyDescent="0.4">
      <c r="A124" s="140" t="s">
        <v>346</v>
      </c>
      <c r="B124" s="123"/>
      <c r="C124" s="123"/>
      <c r="D124" s="124"/>
    </row>
    <row r="125" spans="1:4" ht="29.5" thickBot="1" x14ac:dyDescent="0.4">
      <c r="A125" s="171" t="s">
        <v>229</v>
      </c>
      <c r="B125" s="175" t="s">
        <v>366</v>
      </c>
      <c r="C125" s="163" t="s">
        <v>162</v>
      </c>
      <c r="D125" s="125"/>
    </row>
    <row r="126" spans="1:4" ht="15" thickBot="1" x14ac:dyDescent="0.4">
      <c r="A126" s="206" t="s">
        <v>409</v>
      </c>
      <c r="B126" s="126" t="s">
        <v>408</v>
      </c>
      <c r="C126" s="132">
        <f>AA39*6</f>
        <v>223.96979999999999</v>
      </c>
      <c r="D126" s="191"/>
    </row>
    <row r="127" spans="1:4" ht="15" thickBot="1" x14ac:dyDescent="0.4">
      <c r="A127" s="206" t="s">
        <v>354</v>
      </c>
      <c r="B127" s="126" t="s">
        <v>238</v>
      </c>
      <c r="C127" s="132">
        <f>AA40*6</f>
        <v>264.65123999999997</v>
      </c>
      <c r="D127" s="191">
        <v>0.38</v>
      </c>
    </row>
    <row r="128" spans="1:4" ht="15" thickBot="1" x14ac:dyDescent="0.4">
      <c r="A128" s="203" t="s">
        <v>355</v>
      </c>
      <c r="B128" s="126" t="s">
        <v>360</v>
      </c>
      <c r="C128" s="132">
        <f>AA42*6</f>
        <v>355.09572000000003</v>
      </c>
      <c r="D128" s="191">
        <v>0.56999999999999995</v>
      </c>
    </row>
    <row r="129" spans="1:4" ht="15" thickBot="1" x14ac:dyDescent="0.4">
      <c r="A129" s="203" t="s">
        <v>356</v>
      </c>
      <c r="B129" s="126" t="s">
        <v>363</v>
      </c>
      <c r="C129" s="135">
        <f>AA44*6</f>
        <v>434.10048000000006</v>
      </c>
      <c r="D129" s="191">
        <v>0.05</v>
      </c>
    </row>
    <row r="130" spans="1:4" ht="15" thickBot="1" x14ac:dyDescent="0.4">
      <c r="A130" s="206" t="s">
        <v>410</v>
      </c>
      <c r="B130" s="126" t="s">
        <v>411</v>
      </c>
      <c r="C130" s="132">
        <f>AA39*14</f>
        <v>522.59619999999995</v>
      </c>
      <c r="D130" s="191"/>
    </row>
    <row r="131" spans="1:4" ht="15" thickBot="1" x14ac:dyDescent="0.4">
      <c r="A131" s="206" t="s">
        <v>357</v>
      </c>
      <c r="B131" s="134" t="s">
        <v>240</v>
      </c>
      <c r="C131" s="132">
        <f>AA40*14</f>
        <v>617.51955999999996</v>
      </c>
      <c r="D131" s="170">
        <v>0.38</v>
      </c>
    </row>
    <row r="132" spans="1:4" ht="15" thickBot="1" x14ac:dyDescent="0.4">
      <c r="A132" s="203" t="s">
        <v>358</v>
      </c>
      <c r="B132" s="134" t="s">
        <v>361</v>
      </c>
      <c r="C132" s="132">
        <f>AA42*14</f>
        <v>828.55668000000003</v>
      </c>
      <c r="D132" s="136">
        <v>0.56999999999999995</v>
      </c>
    </row>
    <row r="133" spans="1:4" ht="15" thickBot="1" x14ac:dyDescent="0.4">
      <c r="A133" s="203" t="s">
        <v>359</v>
      </c>
      <c r="B133" s="134" t="s">
        <v>364</v>
      </c>
      <c r="C133" s="135">
        <f>AA44*14</f>
        <v>1012.9011200000001</v>
      </c>
      <c r="D133" s="136">
        <v>0.05</v>
      </c>
    </row>
    <row r="134" spans="1:4" ht="15" thickBot="1" x14ac:dyDescent="0.4">
      <c r="A134" s="115" t="s">
        <v>400</v>
      </c>
      <c r="B134" s="128"/>
      <c r="C134" s="133">
        <f>((100*D126*C126)+(100*D127*C127)+(100*D128*C128)+(100*D129*C129)+(100*D130*C130)+(100*D131*C131)+(100*D132*C132)+(100*D133*C133))*0.25</f>
        <v>27056.421300000002</v>
      </c>
      <c r="D134" s="129"/>
    </row>
    <row r="135" spans="1:4" ht="15" thickBot="1" x14ac:dyDescent="0.4">
      <c r="A135" s="118"/>
      <c r="B135" s="118"/>
      <c r="C135" s="118"/>
      <c r="D135" s="118"/>
    </row>
    <row r="136" spans="1:4" x14ac:dyDescent="0.35">
      <c r="A136" s="137" t="s">
        <v>243</v>
      </c>
      <c r="B136" s="138"/>
      <c r="C136" s="138"/>
      <c r="D136" s="139"/>
    </row>
    <row r="137" spans="1:4" ht="15.5" x14ac:dyDescent="0.35">
      <c r="A137" s="164" t="s">
        <v>362</v>
      </c>
      <c r="B137" s="173"/>
      <c r="C137" s="173"/>
      <c r="D137" s="174"/>
    </row>
    <row r="138" spans="1:4" ht="15" thickBot="1" x14ac:dyDescent="0.4">
      <c r="A138" s="140" t="s">
        <v>346</v>
      </c>
      <c r="B138" s="141"/>
      <c r="C138" s="141"/>
      <c r="D138" s="142"/>
    </row>
    <row r="139" spans="1:4" ht="27.5" thickBot="1" x14ac:dyDescent="0.4">
      <c r="A139" s="171" t="s">
        <v>365</v>
      </c>
      <c r="B139" s="217" t="s">
        <v>367</v>
      </c>
      <c r="C139" s="176" t="s">
        <v>162</v>
      </c>
      <c r="D139" s="125"/>
    </row>
    <row r="140" spans="1:4" ht="15" thickBot="1" x14ac:dyDescent="0.4">
      <c r="A140" s="206" t="s">
        <v>347</v>
      </c>
      <c r="B140" s="188" t="s">
        <v>248</v>
      </c>
      <c r="C140" s="135">
        <f>AA40*182</f>
        <v>8027.7542799999992</v>
      </c>
      <c r="D140" s="145">
        <v>0.3</v>
      </c>
    </row>
    <row r="141" spans="1:4" ht="15" thickBot="1" x14ac:dyDescent="0.4">
      <c r="A141" s="203" t="s">
        <v>348</v>
      </c>
      <c r="B141" s="134" t="s">
        <v>368</v>
      </c>
      <c r="C141" s="135">
        <f>AA42*182</f>
        <v>10771.23684</v>
      </c>
      <c r="D141" s="204">
        <v>0.6</v>
      </c>
    </row>
    <row r="142" spans="1:4" ht="15" thickBot="1" x14ac:dyDescent="0.4">
      <c r="A142" s="203" t="s">
        <v>349</v>
      </c>
      <c r="B142" s="134" t="s">
        <v>369</v>
      </c>
      <c r="C142" s="135">
        <f>AA44*182</f>
        <v>13167.71456</v>
      </c>
      <c r="D142" s="170">
        <v>0.1</v>
      </c>
    </row>
    <row r="143" spans="1:4" ht="15" thickBot="1" x14ac:dyDescent="0.4">
      <c r="A143" s="144" t="s">
        <v>401</v>
      </c>
      <c r="B143" s="128"/>
      <c r="C143" s="133">
        <f>((100*D140*C140)+(100*D141*C141)+(100*D142*C142))*0.1</f>
        <v>101878.39844</v>
      </c>
      <c r="D143" s="129"/>
    </row>
    <row r="144" spans="1:4" ht="15" thickBot="1" x14ac:dyDescent="0.4">
      <c r="A144" s="118"/>
      <c r="B144" s="118"/>
      <c r="C144" s="118"/>
      <c r="D144" s="118"/>
    </row>
    <row r="145" spans="1:4" x14ac:dyDescent="0.35">
      <c r="A145" s="251" t="s">
        <v>251</v>
      </c>
      <c r="B145" s="252"/>
      <c r="C145" s="252"/>
      <c r="D145" s="253"/>
    </row>
    <row r="146" spans="1:4" ht="15" thickBot="1" x14ac:dyDescent="0.4">
      <c r="A146" s="254" t="s">
        <v>370</v>
      </c>
      <c r="B146" s="255"/>
      <c r="C146" s="255"/>
      <c r="D146" s="256"/>
    </row>
    <row r="147" spans="1:4" ht="15" thickBot="1" x14ac:dyDescent="0.4">
      <c r="A147" s="167" t="s">
        <v>258</v>
      </c>
      <c r="B147" s="168" t="s">
        <v>252</v>
      </c>
      <c r="C147" s="181" t="s">
        <v>162</v>
      </c>
      <c r="D147" s="125"/>
    </row>
    <row r="148" spans="1:4" ht="15" thickBot="1" x14ac:dyDescent="0.4">
      <c r="A148" s="153" t="s">
        <v>254</v>
      </c>
      <c r="B148" s="134"/>
      <c r="C148" s="201"/>
      <c r="D148" s="207"/>
    </row>
    <row r="149" spans="1:4" ht="15" thickBot="1" x14ac:dyDescent="0.4">
      <c r="A149" s="158" t="s">
        <v>186</v>
      </c>
      <c r="B149" s="159">
        <v>0.3</v>
      </c>
      <c r="C149" s="154">
        <f>AA39</f>
        <v>37.328299999999999</v>
      </c>
      <c r="D149" s="157">
        <v>0.05</v>
      </c>
    </row>
    <row r="150" spans="1:4" ht="15" thickBot="1" x14ac:dyDescent="0.4">
      <c r="A150" s="158" t="s">
        <v>196</v>
      </c>
      <c r="B150" s="159">
        <v>0.4</v>
      </c>
      <c r="C150" s="132">
        <f>AA40</f>
        <v>44.108539999999998</v>
      </c>
      <c r="D150" s="156">
        <v>0.2</v>
      </c>
    </row>
    <row r="151" spans="1:4" ht="15" thickBot="1" x14ac:dyDescent="0.4">
      <c r="A151" s="158" t="s">
        <v>372</v>
      </c>
      <c r="B151" s="159">
        <v>0.6</v>
      </c>
      <c r="C151" s="132">
        <f>AA42</f>
        <v>59.18262</v>
      </c>
      <c r="D151" s="156">
        <v>0.25</v>
      </c>
    </row>
    <row r="152" spans="1:4" ht="15" thickBot="1" x14ac:dyDescent="0.4">
      <c r="A152" s="158" t="s">
        <v>310</v>
      </c>
      <c r="B152" s="180">
        <v>0.8</v>
      </c>
      <c r="C152" s="132">
        <f>AA44</f>
        <v>72.350080000000005</v>
      </c>
      <c r="D152" s="157">
        <v>0.05</v>
      </c>
    </row>
    <row r="153" spans="1:4" ht="15" thickBot="1" x14ac:dyDescent="0.4">
      <c r="A153" s="177" t="s">
        <v>255</v>
      </c>
      <c r="B153" s="178" t="s">
        <v>373</v>
      </c>
      <c r="C153" s="201"/>
      <c r="D153" s="207"/>
    </row>
    <row r="154" spans="1:4" ht="15" thickBot="1" x14ac:dyDescent="0.4">
      <c r="A154" s="155" t="s">
        <v>186</v>
      </c>
      <c r="B154" s="150">
        <v>0.15</v>
      </c>
      <c r="C154" s="154">
        <f>AA39</f>
        <v>37.328299999999999</v>
      </c>
      <c r="D154" s="151">
        <v>0.1</v>
      </c>
    </row>
    <row r="155" spans="1:4" ht="15" thickBot="1" x14ac:dyDescent="0.4">
      <c r="A155" s="155" t="s">
        <v>196</v>
      </c>
      <c r="B155" s="150">
        <v>0.2</v>
      </c>
      <c r="C155" s="132">
        <f>AA39</f>
        <v>37.328299999999999</v>
      </c>
      <c r="D155" s="151">
        <v>0.1</v>
      </c>
    </row>
    <row r="156" spans="1:4" ht="15" thickBot="1" x14ac:dyDescent="0.4">
      <c r="A156" s="155" t="s">
        <v>372</v>
      </c>
      <c r="B156" s="150">
        <v>0.3</v>
      </c>
      <c r="C156" s="132">
        <f>AA39</f>
        <v>37.328299999999999</v>
      </c>
      <c r="D156" s="151">
        <v>0.15</v>
      </c>
    </row>
    <row r="157" spans="1:4" ht="15" thickBot="1" x14ac:dyDescent="0.4">
      <c r="A157" s="155" t="s">
        <v>310</v>
      </c>
      <c r="B157" s="150">
        <v>0.4</v>
      </c>
      <c r="C157" s="132">
        <f>AA40</f>
        <v>44.108539999999998</v>
      </c>
      <c r="D157" s="179">
        <v>0.1</v>
      </c>
    </row>
    <row r="158" spans="1:4" ht="15" thickBot="1" x14ac:dyDescent="0.4">
      <c r="A158" s="115" t="s">
        <v>402</v>
      </c>
      <c r="B158" s="128"/>
      <c r="C158" s="133">
        <f>((100*D149*C149)+(100*D150*C150)+(100*D151*C151)+(100*D152*C152)+(100*D154*C154)+(100*D155*C155)+(100*D156*C156)+(100*D157*C157))*0.05</f>
        <v>232.88520500000001</v>
      </c>
      <c r="D158" s="118"/>
    </row>
    <row r="159" spans="1:4" x14ac:dyDescent="0.35">
      <c r="A159" s="118"/>
      <c r="B159" s="118"/>
      <c r="C159" s="118"/>
      <c r="D159" s="118"/>
    </row>
    <row r="160" spans="1:4" ht="15" thickBot="1" x14ac:dyDescent="0.4">
      <c r="A160" s="118"/>
      <c r="B160" s="118"/>
      <c r="C160" s="118"/>
      <c r="D160" s="118"/>
    </row>
    <row r="161" spans="1:4" x14ac:dyDescent="0.35">
      <c r="A161" s="119" t="s">
        <v>260</v>
      </c>
      <c r="B161" s="130"/>
      <c r="C161" s="121"/>
      <c r="D161" s="122"/>
    </row>
    <row r="162" spans="1:4" ht="15" thickBot="1" x14ac:dyDescent="0.4">
      <c r="A162" s="113" t="s">
        <v>375</v>
      </c>
      <c r="B162" s="123"/>
      <c r="C162" s="123"/>
      <c r="D162" s="124"/>
    </row>
    <row r="163" spans="1:4" ht="15" thickBot="1" x14ac:dyDescent="0.4">
      <c r="A163" s="167" t="s">
        <v>258</v>
      </c>
      <c r="B163" s="219" t="s">
        <v>259</v>
      </c>
      <c r="C163" s="181" t="s">
        <v>158</v>
      </c>
      <c r="D163" s="131" t="s">
        <v>159</v>
      </c>
    </row>
    <row r="164" spans="1:4" ht="23.5" thickBot="1" x14ac:dyDescent="0.4">
      <c r="A164" s="208" t="s">
        <v>374</v>
      </c>
      <c r="B164" s="218" t="s">
        <v>376</v>
      </c>
      <c r="C164" s="201"/>
      <c r="D164" s="207"/>
    </row>
    <row r="165" spans="1:4" ht="15" thickBot="1" x14ac:dyDescent="0.4">
      <c r="A165" s="158" t="s">
        <v>327</v>
      </c>
      <c r="B165" s="159" t="s">
        <v>265</v>
      </c>
      <c r="C165" s="132">
        <f>AE40*10</f>
        <v>882.17079999999999</v>
      </c>
      <c r="D165" s="156">
        <v>0.14000000000000001</v>
      </c>
    </row>
    <row r="166" spans="1:4" ht="15" thickBot="1" x14ac:dyDescent="0.4">
      <c r="A166" s="158" t="s">
        <v>328</v>
      </c>
      <c r="B166" s="159" t="s">
        <v>377</v>
      </c>
      <c r="C166" s="132" t="e">
        <f>AC47*10</f>
        <v>#VALUE!</v>
      </c>
      <c r="D166" s="156">
        <v>0.4</v>
      </c>
    </row>
    <row r="167" spans="1:4" ht="15" thickBot="1" x14ac:dyDescent="0.4">
      <c r="A167" s="158" t="s">
        <v>329</v>
      </c>
      <c r="B167" s="159" t="s">
        <v>275</v>
      </c>
      <c r="C167" s="132" t="e">
        <f>AC49*10</f>
        <v>#VALUE!</v>
      </c>
      <c r="D167" s="156">
        <v>0.3</v>
      </c>
    </row>
    <row r="168" spans="1:4" ht="15" thickBot="1" x14ac:dyDescent="0.4">
      <c r="A168" s="158" t="s">
        <v>330</v>
      </c>
      <c r="B168" s="159" t="s">
        <v>279</v>
      </c>
      <c r="C168" s="132">
        <f>AC50*10</f>
        <v>1639.8222000000001</v>
      </c>
      <c r="D168" s="157">
        <v>0.16</v>
      </c>
    </row>
    <row r="169" spans="1:4" ht="15" thickBot="1" x14ac:dyDescent="0.4">
      <c r="A169" s="115" t="s">
        <v>403</v>
      </c>
      <c r="B169" s="128"/>
      <c r="C169" s="133" t="e">
        <f>((100*D165*C165)+(100*D166*C166)+(100*D167*C167)+(100*D168*C168))*0.2</f>
        <v>#VALUE!</v>
      </c>
      <c r="D169" s="129"/>
    </row>
    <row r="170" spans="1:4" ht="15" thickBot="1" x14ac:dyDescent="0.4">
      <c r="A170" s="182"/>
      <c r="B170" s="129"/>
      <c r="C170" s="117"/>
      <c r="D170" s="129"/>
    </row>
    <row r="171" spans="1:4" ht="15" x14ac:dyDescent="0.35">
      <c r="A171" s="202" t="s">
        <v>389</v>
      </c>
      <c r="B171" s="130"/>
      <c r="C171" s="121"/>
      <c r="D171" s="122"/>
    </row>
    <row r="172" spans="1:4" x14ac:dyDescent="0.35">
      <c r="A172" s="279" t="s">
        <v>387</v>
      </c>
      <c r="B172" s="280"/>
      <c r="C172" s="280"/>
      <c r="D172" s="281"/>
    </row>
    <row r="173" spans="1:4" ht="15" thickBot="1" x14ac:dyDescent="0.4">
      <c r="A173" s="113" t="s">
        <v>378</v>
      </c>
      <c r="B173" s="123"/>
      <c r="C173" s="123"/>
      <c r="D173" s="124"/>
    </row>
    <row r="174" spans="1:4" ht="33.75" customHeight="1" thickBot="1" x14ac:dyDescent="0.4">
      <c r="A174" s="277" t="s">
        <v>157</v>
      </c>
      <c r="B174" s="221" t="s">
        <v>386</v>
      </c>
      <c r="C174" s="216" t="s">
        <v>158</v>
      </c>
      <c r="D174" s="131" t="s">
        <v>159</v>
      </c>
    </row>
    <row r="175" spans="1:4" ht="15" thickBot="1" x14ac:dyDescent="0.4">
      <c r="A175" s="278"/>
      <c r="B175" s="220" t="s">
        <v>385</v>
      </c>
      <c r="C175" s="201"/>
      <c r="D175" s="207"/>
    </row>
    <row r="176" spans="1:4" ht="15" thickBot="1" x14ac:dyDescent="0.4">
      <c r="A176" s="158" t="s">
        <v>327</v>
      </c>
      <c r="B176" s="159" t="s">
        <v>282</v>
      </c>
      <c r="C176" s="132">
        <f>AE40*3</f>
        <v>264.65123999999997</v>
      </c>
      <c r="D176" s="156">
        <v>0.12</v>
      </c>
    </row>
    <row r="177" spans="1:4" ht="15" thickBot="1" x14ac:dyDescent="0.4">
      <c r="A177" s="158" t="s">
        <v>327</v>
      </c>
      <c r="B177" s="159" t="s">
        <v>283</v>
      </c>
      <c r="C177" s="132">
        <f>AE40*8</f>
        <v>705.73663999999997</v>
      </c>
      <c r="D177" s="156">
        <v>0.18</v>
      </c>
    </row>
    <row r="178" spans="1:4" ht="15" thickBot="1" x14ac:dyDescent="0.4">
      <c r="A178" s="158" t="s">
        <v>328</v>
      </c>
      <c r="B178" s="159" t="s">
        <v>284</v>
      </c>
      <c r="C178" s="132">
        <f>AE42*3</f>
        <v>304.60319999999996</v>
      </c>
      <c r="D178" s="156">
        <v>0.12</v>
      </c>
    </row>
    <row r="179" spans="1:4" ht="15" thickBot="1" x14ac:dyDescent="0.4">
      <c r="A179" s="158" t="s">
        <v>328</v>
      </c>
      <c r="B179" s="159" t="s">
        <v>285</v>
      </c>
      <c r="C179" s="132">
        <f>AE42*8</f>
        <v>812.27519999999993</v>
      </c>
      <c r="D179" s="157">
        <v>0.18</v>
      </c>
    </row>
    <row r="180" spans="1:4" ht="15" thickBot="1" x14ac:dyDescent="0.4">
      <c r="A180" s="158" t="s">
        <v>329</v>
      </c>
      <c r="B180" s="159" t="s">
        <v>286</v>
      </c>
      <c r="C180" s="132">
        <f>AE44*3</f>
        <v>434.10048000000006</v>
      </c>
      <c r="D180" s="156">
        <v>0.11</v>
      </c>
    </row>
    <row r="181" spans="1:4" ht="15" thickBot="1" x14ac:dyDescent="0.4">
      <c r="A181" s="158" t="s">
        <v>329</v>
      </c>
      <c r="B181" s="159" t="s">
        <v>287</v>
      </c>
      <c r="C181" s="132">
        <f>AE44*8</f>
        <v>1157.6012800000001</v>
      </c>
      <c r="D181" s="156">
        <v>0.19</v>
      </c>
    </row>
    <row r="182" spans="1:4" ht="15" thickBot="1" x14ac:dyDescent="0.4">
      <c r="A182" s="158" t="s">
        <v>330</v>
      </c>
      <c r="B182" s="159" t="s">
        <v>289</v>
      </c>
      <c r="C182" s="132">
        <f>AE45*3</f>
        <v>566.49576000000002</v>
      </c>
      <c r="D182" s="156">
        <v>0.03</v>
      </c>
    </row>
    <row r="183" spans="1:4" ht="15" thickBot="1" x14ac:dyDescent="0.4">
      <c r="A183" s="158" t="s">
        <v>330</v>
      </c>
      <c r="B183" s="159" t="s">
        <v>288</v>
      </c>
      <c r="C183" s="132">
        <f>AE45*8</f>
        <v>1510.65536</v>
      </c>
      <c r="D183" s="157">
        <v>7.0000000000000007E-2</v>
      </c>
    </row>
    <row r="184" spans="1:4" ht="15" thickBot="1" x14ac:dyDescent="0.4">
      <c r="A184" s="115" t="s">
        <v>404</v>
      </c>
      <c r="B184" s="128"/>
      <c r="C184" s="133">
        <f>((100*D176*C176)+(100*D177*C177)+(100*D178*C178)+(100*D179*C179)+(100*D180*C180)+(100*D181*C181)+(100*D182*C182)+(100*D183*C183))*0.05</f>
        <v>3659.9435400000002</v>
      </c>
    </row>
    <row r="185" spans="1:4" x14ac:dyDescent="0.35">
      <c r="A185" s="249" t="s">
        <v>381</v>
      </c>
      <c r="B185" s="210" t="s">
        <v>390</v>
      </c>
      <c r="C185" s="215" t="s">
        <v>384</v>
      </c>
    </row>
    <row r="186" spans="1:4" ht="15" thickBot="1" x14ac:dyDescent="0.4">
      <c r="A186" s="250"/>
      <c r="B186" s="211" t="s">
        <v>383</v>
      </c>
      <c r="C186" s="213">
        <f>C184*0.63</f>
        <v>2305.7644302000003</v>
      </c>
    </row>
    <row r="187" spans="1:4" ht="15" thickBot="1" x14ac:dyDescent="0.4"/>
    <row r="188" spans="1:4" ht="21.75" customHeight="1" thickTop="1" thickBot="1" x14ac:dyDescent="0.4">
      <c r="A188" s="223" t="s">
        <v>405</v>
      </c>
      <c r="B188" s="224" t="e">
        <f>C66+C85+C111+C112+C121+C134+C143+C158+C169+C186</f>
        <v>#VALUE!</v>
      </c>
    </row>
    <row r="189" spans="1:4" ht="15" thickTop="1" x14ac:dyDescent="0.35"/>
    <row r="191" spans="1:4" x14ac:dyDescent="0.35">
      <c r="A191" s="69" t="s">
        <v>213</v>
      </c>
    </row>
    <row r="192" spans="1:4" x14ac:dyDescent="0.35">
      <c r="A192" s="69" t="s">
        <v>291</v>
      </c>
    </row>
    <row r="193" spans="1:1" x14ac:dyDescent="0.35">
      <c r="A193" s="69" t="s">
        <v>178</v>
      </c>
    </row>
    <row r="194" spans="1:1" x14ac:dyDescent="0.35">
      <c r="A194" s="69" t="s">
        <v>179</v>
      </c>
    </row>
    <row r="195" spans="1:1" x14ac:dyDescent="0.35">
      <c r="A195" s="69" t="s">
        <v>174</v>
      </c>
    </row>
    <row r="196" spans="1:1" x14ac:dyDescent="0.35">
      <c r="A196" s="69" t="s">
        <v>189</v>
      </c>
    </row>
    <row r="197" spans="1:1" x14ac:dyDescent="0.35">
      <c r="A197" s="69" t="s">
        <v>190</v>
      </c>
    </row>
    <row r="198" spans="1:1" x14ac:dyDescent="0.35">
      <c r="A198" s="69" t="s">
        <v>193</v>
      </c>
    </row>
    <row r="199" spans="1:1" x14ac:dyDescent="0.35">
      <c r="A199" s="69" t="s">
        <v>225</v>
      </c>
    </row>
    <row r="200" spans="1:1" x14ac:dyDescent="0.35">
      <c r="A200" s="69" t="s">
        <v>226</v>
      </c>
    </row>
    <row r="201" spans="1:1" x14ac:dyDescent="0.35">
      <c r="A201" s="69" t="s">
        <v>228</v>
      </c>
    </row>
    <row r="202" spans="1:1" x14ac:dyDescent="0.35">
      <c r="A202" s="69" t="s">
        <v>244</v>
      </c>
    </row>
    <row r="203" spans="1:1" x14ac:dyDescent="0.35">
      <c r="A203" s="69" t="s">
        <v>292</v>
      </c>
    </row>
    <row r="204" spans="1:1" x14ac:dyDescent="0.35">
      <c r="A204" s="69" t="s">
        <v>293</v>
      </c>
    </row>
    <row r="205" spans="1:1" x14ac:dyDescent="0.35">
      <c r="A205" s="209" t="s">
        <v>379</v>
      </c>
    </row>
    <row r="206" spans="1:1" x14ac:dyDescent="0.35">
      <c r="A206" s="209" t="s">
        <v>388</v>
      </c>
    </row>
  </sheetData>
  <autoFilter ref="A3:AT51" xr:uid="{00000000-0009-0000-0000-000005000000}"/>
  <mergeCells count="41">
    <mergeCell ref="D79:D80"/>
    <mergeCell ref="A2:G2"/>
    <mergeCell ref="C64:C65"/>
    <mergeCell ref="D64:D65"/>
    <mergeCell ref="A64:A65"/>
    <mergeCell ref="A74:A75"/>
    <mergeCell ref="A76:A77"/>
    <mergeCell ref="C74:C75"/>
    <mergeCell ref="D72:D73"/>
    <mergeCell ref="A185:A186"/>
    <mergeCell ref="A174:A175"/>
    <mergeCell ref="C76:C77"/>
    <mergeCell ref="D74:D75"/>
    <mergeCell ref="D76:D77"/>
    <mergeCell ref="A78:C78"/>
    <mergeCell ref="A172:D172"/>
    <mergeCell ref="D81:D82"/>
    <mergeCell ref="A83:A84"/>
    <mergeCell ref="C83:C84"/>
    <mergeCell ref="D83:D84"/>
    <mergeCell ref="A115:D115"/>
    <mergeCell ref="A146:D146"/>
    <mergeCell ref="A88:D88"/>
    <mergeCell ref="A81:A82"/>
    <mergeCell ref="C81:C82"/>
    <mergeCell ref="H2:U2"/>
    <mergeCell ref="A87:D87"/>
    <mergeCell ref="A89:D89"/>
    <mergeCell ref="A145:D145"/>
    <mergeCell ref="A60:A61"/>
    <mergeCell ref="A62:A63"/>
    <mergeCell ref="C62:C63"/>
    <mergeCell ref="A59:C59"/>
    <mergeCell ref="A71:C71"/>
    <mergeCell ref="A72:A73"/>
    <mergeCell ref="C72:C73"/>
    <mergeCell ref="D62:D63"/>
    <mergeCell ref="C60:C61"/>
    <mergeCell ref="D60:D61"/>
    <mergeCell ref="A79:A80"/>
    <mergeCell ref="C79:C80"/>
  </mergeCells>
  <pageMargins left="0.25" right="0.25" top="0.75" bottom="0.75" header="0.3" footer="0.3"/>
  <pageSetup paperSize="8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Přehled všech </vt:lpstr>
      <vt:lpstr>Přehled profylaktických</vt:lpstr>
      <vt:lpstr>Přehled terapeutických</vt:lpstr>
      <vt:lpstr>Clexane</vt:lpstr>
      <vt:lpstr>Inhixa</vt:lpstr>
      <vt:lpstr>Fraxiparine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Vissková Veronika, Bc.</dc:creator>
  <cp:lastModifiedBy>Uživatel systému Windows</cp:lastModifiedBy>
  <cp:lastPrinted>2022-08-02T06:20:22Z</cp:lastPrinted>
  <dcterms:created xsi:type="dcterms:W3CDTF">2022-08-01T11:39:10Z</dcterms:created>
  <dcterms:modified xsi:type="dcterms:W3CDTF">2023-04-12T09:57:56Z</dcterms:modified>
</cp:coreProperties>
</file>