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435"/>
  </bookViews>
  <sheets>
    <sheet name="Ceny za léčbu" sheetId="1" r:id="rId1"/>
    <sheet name="LP vs kompar. vlastnost" sheetId="2" r:id="rId2"/>
    <sheet name="Obrázky" sheetId="5" r:id="rId3"/>
    <sheet name="obrázky2" sheetId="8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M16" i="1"/>
  <c r="K17" i="1"/>
  <c r="L16" i="1"/>
  <c r="L13" i="1" l="1"/>
  <c r="I12" i="1"/>
  <c r="L12" i="1"/>
  <c r="M12" i="1"/>
  <c r="M14" i="1"/>
  <c r="M18" i="1"/>
  <c r="M13" i="1"/>
  <c r="K12" i="1"/>
  <c r="K13" i="1"/>
  <c r="I13" i="1"/>
  <c r="V18" i="1"/>
  <c r="U18" i="1"/>
  <c r="T18" i="1"/>
  <c r="V15" i="1"/>
  <c r="U15" i="1"/>
  <c r="T15" i="1"/>
  <c r="V14" i="1"/>
  <c r="U14" i="1"/>
  <c r="T14" i="1"/>
  <c r="V13" i="1"/>
  <c r="U13" i="1"/>
  <c r="T13" i="1"/>
  <c r="V12" i="1"/>
  <c r="U12" i="1"/>
  <c r="T12" i="1"/>
  <c r="V11" i="1"/>
  <c r="U11" i="1"/>
  <c r="T11" i="1"/>
  <c r="V10" i="1"/>
  <c r="U10" i="1"/>
  <c r="T10" i="1"/>
  <c r="V9" i="1"/>
  <c r="U9" i="1"/>
  <c r="T9" i="1"/>
  <c r="V8" i="1"/>
  <c r="U8" i="1"/>
  <c r="T8" i="1"/>
  <c r="V7" i="1"/>
  <c r="U7" i="1"/>
  <c r="T7" i="1"/>
  <c r="V6" i="1"/>
  <c r="U6" i="1"/>
  <c r="T6" i="1"/>
  <c r="V5" i="1"/>
  <c r="U5" i="1"/>
  <c r="T5" i="1"/>
  <c r="V4" i="1"/>
  <c r="U4" i="1"/>
  <c r="T4" i="1"/>
  <c r="S14" i="1"/>
  <c r="K14" i="1"/>
  <c r="I14" i="1"/>
  <c r="H12" i="1"/>
  <c r="J12" i="1" l="1"/>
  <c r="W4" i="1" l="1"/>
  <c r="W6" i="1" s="1"/>
  <c r="W8" i="1" s="1"/>
  <c r="W10" i="1" s="1"/>
  <c r="O4" i="1"/>
  <c r="O18" i="1"/>
  <c r="H18" i="1" s="1"/>
  <c r="I18" i="1" s="1"/>
  <c r="K18" i="1" l="1"/>
  <c r="O15" i="1"/>
  <c r="H15" i="1" s="1"/>
  <c r="S18" i="1" l="1"/>
  <c r="O13" i="1"/>
  <c r="H13" i="1" s="1"/>
  <c r="O11" i="1" l="1"/>
  <c r="H11" i="1" s="1"/>
  <c r="O10" i="1"/>
  <c r="H10" i="1" s="1"/>
  <c r="O7" i="1"/>
  <c r="O6" i="1"/>
  <c r="I10" i="1" l="1"/>
  <c r="K10" i="1"/>
  <c r="H7" i="1"/>
  <c r="H6" i="1"/>
  <c r="I6" i="1" l="1"/>
  <c r="K6" i="1" s="1"/>
  <c r="S10" i="1"/>
  <c r="S13" i="1"/>
  <c r="O9" i="1"/>
  <c r="H9" i="1" s="1"/>
  <c r="O8" i="1"/>
  <c r="H8" i="1" s="1"/>
  <c r="I8" i="1" l="1"/>
  <c r="K8" i="1"/>
  <c r="S8" i="1" s="1"/>
  <c r="S6" i="1"/>
  <c r="O5" i="1" l="1"/>
  <c r="H5" i="1" s="1"/>
  <c r="O14" i="1" l="1"/>
  <c r="H14" i="1" s="1"/>
  <c r="H4" i="1" l="1"/>
  <c r="I4" i="1" s="1"/>
  <c r="K4" i="1" l="1"/>
  <c r="P10" i="1"/>
  <c r="J10" i="1" s="1"/>
  <c r="J14" i="1"/>
  <c r="J13" i="1"/>
  <c r="P8" i="1"/>
  <c r="J8" i="1" s="1"/>
  <c r="P6" i="1"/>
  <c r="J6" i="1" s="1"/>
  <c r="P4" i="1"/>
  <c r="J4" i="1" s="1"/>
  <c r="J18" i="1" l="1"/>
  <c r="S4" i="1"/>
  <c r="Q4" i="1"/>
  <c r="Q6" i="1" l="1"/>
  <c r="Q8" i="1" l="1"/>
  <c r="Q10" i="1" l="1"/>
</calcChain>
</file>

<file path=xl/comments1.xml><?xml version="1.0" encoding="utf-8"?>
<comments xmlns="http://schemas.openxmlformats.org/spreadsheetml/2006/main">
  <authors>
    <author>Uživatel systému Windows</author>
  </authors>
  <commentList>
    <comment ref="G12" author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13" author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14" author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15" author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18" authorId="0">
      <text>
        <r>
          <rPr>
            <sz val="9"/>
            <color indexed="81"/>
            <rFont val="Tahoma"/>
            <charset val="1"/>
          </rPr>
          <t xml:space="preserve">jedná se jen o odhadovanou cenu!
</t>
        </r>
      </text>
    </comment>
  </commentList>
</comments>
</file>

<file path=xl/sharedStrings.xml><?xml version="1.0" encoding="utf-8"?>
<sst xmlns="http://schemas.openxmlformats.org/spreadsheetml/2006/main" count="116" uniqueCount="86">
  <si>
    <t>výrobce</t>
  </si>
  <si>
    <t>látka</t>
  </si>
  <si>
    <t>bonus</t>
  </si>
  <si>
    <t>násobek ceny za léčbu vůči nejlevnějšímu</t>
  </si>
  <si>
    <t>pomalidomid</t>
  </si>
  <si>
    <r>
      <t xml:space="preserve">LÉČIVÉ PŘÍPRAVKY                                 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</t>
    </r>
  </si>
  <si>
    <t>dexamethazon</t>
  </si>
  <si>
    <r>
      <t xml:space="preserve">Pd                                          </t>
    </r>
    <r>
      <rPr>
        <b/>
        <sz val="12"/>
        <color theme="1"/>
        <rFont val="Calibri"/>
        <family val="2"/>
        <charset val="238"/>
        <scheme val="minor"/>
      </rPr>
      <t>(dávkování je bez ohledu na těl. hmotnost)</t>
    </r>
  </si>
  <si>
    <r>
      <t xml:space="preserve">LP </t>
    </r>
    <r>
      <rPr>
        <b/>
        <sz val="9"/>
        <color theme="1"/>
        <rFont val="Calibri"/>
        <family val="2"/>
        <charset val="238"/>
        <scheme val="minor"/>
      </rPr>
      <t>(kromě dexamet.)</t>
    </r>
    <r>
      <rPr>
        <b/>
        <sz val="11"/>
        <color theme="1"/>
        <rFont val="Calibri"/>
        <family val="2"/>
        <charset val="238"/>
        <scheme val="minor"/>
      </rPr>
      <t xml:space="preserve">, </t>
    </r>
    <r>
      <rPr>
        <b/>
        <sz val="10"/>
        <color theme="1"/>
        <rFont val="Calibri"/>
        <family val="2"/>
        <charset val="238"/>
        <scheme val="minor"/>
      </rPr>
      <t>posuz. LP má modré zvýraznění</t>
    </r>
  </si>
  <si>
    <t>DEXAMETHASONE KRKA 20MG tbl 20</t>
  </si>
  <si>
    <t>IMNOVID  4mg cps 21</t>
  </si>
  <si>
    <r>
      <t xml:space="preserve">Pd                                          </t>
    </r>
    <r>
      <rPr>
        <b/>
        <sz val="12"/>
        <color theme="1"/>
        <rFont val="Calibri"/>
        <family val="2"/>
        <charset val="238"/>
        <scheme val="minor"/>
      </rPr>
      <t>(dávk. je bez ohledu na těl. hmotnost)</t>
    </r>
  </si>
  <si>
    <r>
      <t>detaily k aplikaci a managementu během podávání LP dle SPC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1 </t>
    </r>
    <r>
      <rPr>
        <b/>
        <sz val="11"/>
        <color theme="1"/>
        <rFont val="Calibri"/>
        <family val="2"/>
        <charset val="238"/>
        <scheme val="minor"/>
      </rPr>
      <t>a dalších zdrojů (viz poznámky)</t>
    </r>
  </si>
  <si>
    <r>
      <t xml:space="preserve">4 mg p.o. 1x denně 1.-21. den 28den. cyklu, </t>
    </r>
    <r>
      <rPr>
        <u/>
        <sz val="9"/>
        <color theme="1"/>
        <rFont val="Calibri"/>
        <family val="2"/>
        <charset val="238"/>
        <scheme val="minor"/>
      </rPr>
      <t>délka terap. dle</t>
    </r>
    <r>
      <rPr>
        <u/>
        <vertAlign val="superscript"/>
        <sz val="9"/>
        <color theme="1"/>
        <rFont val="Calibri"/>
        <family val="2"/>
        <charset val="238"/>
        <scheme val="minor"/>
      </rPr>
      <t>4</t>
    </r>
    <r>
      <rPr>
        <u/>
        <sz val="9"/>
        <color theme="1"/>
        <rFont val="Calibri"/>
        <family val="2"/>
        <charset val="238"/>
        <scheme val="minor"/>
      </rPr>
      <t xml:space="preserve">: 3 cyk.+ 1 den </t>
    </r>
    <r>
      <rPr>
        <sz val="9"/>
        <color theme="1"/>
        <rFont val="Calibri"/>
        <family val="2"/>
        <charset val="238"/>
        <scheme val="minor"/>
      </rPr>
      <t xml:space="preserve">(dle LL 95%CI mPFS), </t>
    </r>
    <r>
      <rPr>
        <u/>
        <sz val="9"/>
        <color theme="1"/>
        <rFont val="Calibri"/>
        <family val="2"/>
        <charset val="238"/>
        <scheme val="minor"/>
      </rPr>
      <t>RDI dle</t>
    </r>
    <r>
      <rPr>
        <u/>
        <vertAlign val="superscript"/>
        <sz val="9"/>
        <color theme="1"/>
        <rFont val="Calibri"/>
        <family val="2"/>
        <charset val="238"/>
        <scheme val="minor"/>
      </rPr>
      <t>4</t>
    </r>
    <r>
      <rPr>
        <u/>
        <sz val="9"/>
        <color theme="1"/>
        <rFont val="Calibri"/>
        <family val="2"/>
        <charset val="238"/>
        <scheme val="minor"/>
      </rPr>
      <t>: 84%</t>
    </r>
  </si>
  <si>
    <r>
      <t xml:space="preserve">40 mg (nad 75let 20 mg) p.o. 1x denně 1., 8., 15. a 22. den 28den. cyklu, </t>
    </r>
    <r>
      <rPr>
        <u/>
        <sz val="9"/>
        <color theme="1"/>
        <rFont val="Calibri"/>
        <family val="2"/>
        <charset val="238"/>
        <scheme val="minor"/>
      </rPr>
      <t>délka terap. dle</t>
    </r>
    <r>
      <rPr>
        <u/>
        <vertAlign val="superscript"/>
        <sz val="9"/>
        <color theme="1"/>
        <rFont val="Calibri"/>
        <family val="2"/>
        <charset val="238"/>
        <scheme val="minor"/>
      </rPr>
      <t>4</t>
    </r>
    <r>
      <rPr>
        <u/>
        <sz val="9"/>
        <color theme="1"/>
        <rFont val="Calibri"/>
        <family val="2"/>
        <charset val="238"/>
        <scheme val="minor"/>
      </rPr>
      <t xml:space="preserve">: 3 cykly + 1 den </t>
    </r>
    <r>
      <rPr>
        <sz val="9"/>
        <color theme="1"/>
        <rFont val="Calibri"/>
        <family val="2"/>
        <charset val="238"/>
        <scheme val="minor"/>
      </rPr>
      <t xml:space="preserve">(dle LL 95%CI mPFS), </t>
    </r>
    <r>
      <rPr>
        <u/>
        <sz val="9"/>
        <color theme="1"/>
        <rFont val="Calibri"/>
        <family val="2"/>
        <charset val="238"/>
        <scheme val="minor"/>
      </rPr>
      <t>RDI dle</t>
    </r>
    <r>
      <rPr>
        <u/>
        <vertAlign val="superscript"/>
        <sz val="9"/>
        <color theme="1"/>
        <rFont val="Calibri"/>
        <family val="2"/>
        <charset val="238"/>
        <scheme val="minor"/>
      </rPr>
      <t>4</t>
    </r>
    <r>
      <rPr>
        <u/>
        <sz val="9"/>
        <color theme="1"/>
        <rFont val="Calibri"/>
        <family val="2"/>
        <charset val="238"/>
        <scheme val="minor"/>
      </rPr>
      <t>: 79%</t>
    </r>
  </si>
  <si>
    <r>
      <t xml:space="preserve">4 mg p.o. 1x denně 1.-21. den 28den. cyklu, </t>
    </r>
    <r>
      <rPr>
        <u/>
        <sz val="9"/>
        <color theme="1"/>
        <rFont val="Calibri"/>
        <family val="2"/>
        <charset val="238"/>
        <scheme val="minor"/>
      </rPr>
      <t>délka terap. dle</t>
    </r>
    <r>
      <rPr>
        <u/>
        <vertAlign val="superscript"/>
        <sz val="9"/>
        <color theme="1"/>
        <rFont val="Calibri"/>
        <family val="2"/>
        <charset val="238"/>
        <scheme val="minor"/>
      </rPr>
      <t>4</t>
    </r>
    <r>
      <rPr>
        <u/>
        <sz val="9"/>
        <color theme="1"/>
        <rFont val="Calibri"/>
        <family val="2"/>
        <charset val="238"/>
        <scheme val="minor"/>
      </rPr>
      <t xml:space="preserve">: 8 cyk.+ 1 den </t>
    </r>
    <r>
      <rPr>
        <sz val="9"/>
        <color theme="1"/>
        <rFont val="Calibri"/>
        <family val="2"/>
        <charset val="238"/>
        <scheme val="minor"/>
      </rPr>
      <t xml:space="preserve">(dle UL 95%CI mPFS), </t>
    </r>
    <r>
      <rPr>
        <u/>
        <sz val="9"/>
        <color theme="1"/>
        <rFont val="Calibri"/>
        <family val="2"/>
        <charset val="238"/>
        <scheme val="minor"/>
      </rPr>
      <t>RDI dle</t>
    </r>
    <r>
      <rPr>
        <u/>
        <vertAlign val="superscript"/>
        <sz val="9"/>
        <color theme="1"/>
        <rFont val="Calibri"/>
        <family val="2"/>
        <charset val="238"/>
        <scheme val="minor"/>
      </rPr>
      <t>4</t>
    </r>
    <r>
      <rPr>
        <u/>
        <sz val="9"/>
        <color theme="1"/>
        <rFont val="Calibri"/>
        <family val="2"/>
        <charset val="238"/>
        <scheme val="minor"/>
      </rPr>
      <t>: 84%</t>
    </r>
  </si>
  <si>
    <r>
      <t xml:space="preserve">40 mg (nad 75let 20 mg) p.o. 1x denně 1., 8., 15. a 22. den 28den. cyklu, </t>
    </r>
    <r>
      <rPr>
        <u/>
        <sz val="9"/>
        <color theme="1"/>
        <rFont val="Calibri"/>
        <family val="2"/>
        <charset val="238"/>
        <scheme val="minor"/>
      </rPr>
      <t>délka terap. dle</t>
    </r>
    <r>
      <rPr>
        <u/>
        <vertAlign val="superscript"/>
        <sz val="9"/>
        <color theme="1"/>
        <rFont val="Calibri"/>
        <family val="2"/>
        <charset val="238"/>
        <scheme val="minor"/>
      </rPr>
      <t>4</t>
    </r>
    <r>
      <rPr>
        <u/>
        <sz val="9"/>
        <color theme="1"/>
        <rFont val="Calibri"/>
        <family val="2"/>
        <charset val="238"/>
        <scheme val="minor"/>
      </rPr>
      <t xml:space="preserve">: 8 cyklů + 1 den </t>
    </r>
    <r>
      <rPr>
        <sz val="9"/>
        <color theme="1"/>
        <rFont val="Calibri"/>
        <family val="2"/>
        <charset val="238"/>
        <scheme val="minor"/>
      </rPr>
      <t xml:space="preserve">(dle UL 95%CI mPFS), </t>
    </r>
    <r>
      <rPr>
        <u/>
        <sz val="9"/>
        <color theme="1"/>
        <rFont val="Calibri"/>
        <family val="2"/>
        <charset val="238"/>
        <scheme val="minor"/>
      </rPr>
      <t>RDI dle</t>
    </r>
    <r>
      <rPr>
        <u/>
        <vertAlign val="superscript"/>
        <sz val="9"/>
        <color theme="1"/>
        <rFont val="Calibri"/>
        <family val="2"/>
        <charset val="238"/>
        <scheme val="minor"/>
      </rPr>
      <t>4</t>
    </r>
    <r>
      <rPr>
        <u/>
        <sz val="9"/>
        <color theme="1"/>
        <rFont val="Calibri"/>
        <family val="2"/>
        <charset val="238"/>
        <scheme val="minor"/>
      </rPr>
      <t>: 79%</t>
    </r>
  </si>
  <si>
    <t>jinak už žádné další</t>
  </si>
  <si>
    <t>nejlevnější léčba             (jen za LP)</t>
  </si>
  <si>
    <t>nejlevnější léčba             (vč. dalších nákladů)</t>
  </si>
  <si>
    <r>
      <t>každý pac. během léčby tromboprofylaxe min. s ASA (100mg 1x denně)</t>
    </r>
    <r>
      <rPr>
        <vertAlign val="superscript"/>
        <sz val="9"/>
        <color theme="1"/>
        <rFont val="Calibri"/>
        <family val="2"/>
        <charset val="238"/>
        <scheme val="minor"/>
      </rPr>
      <t>27,32</t>
    </r>
  </si>
  <si>
    <r>
      <rPr>
        <u/>
        <sz val="9"/>
        <color theme="1"/>
        <rFont val="Calibri"/>
        <family val="2"/>
        <charset val="238"/>
        <scheme val="minor"/>
      </rPr>
      <t>antimikrobialní profylaxe PJP</t>
    </r>
    <r>
      <rPr>
        <u/>
        <vertAlign val="superscript"/>
        <sz val="9"/>
        <color theme="1"/>
        <rFont val="Calibri"/>
        <family val="2"/>
        <charset val="238"/>
        <scheme val="minor"/>
      </rPr>
      <t>30,31</t>
    </r>
    <r>
      <rPr>
        <sz val="9"/>
        <color theme="1"/>
        <rFont val="Calibri"/>
        <family val="2"/>
        <charset val="238"/>
        <scheme val="minor"/>
      </rPr>
      <t>: trimethoprim/ sulfamethoxazole 480mg 1x denně nebo 960mg 3x za týden či 1x denně - po celou dobu režimu!</t>
    </r>
  </si>
  <si>
    <r>
      <t xml:space="preserve">4 mg p.o. 1x denně 1. až 21. den 28denního cyklu, </t>
    </r>
    <r>
      <rPr>
        <u/>
        <sz val="9"/>
        <color theme="1"/>
        <rFont val="Calibri"/>
        <family val="2"/>
        <charset val="238"/>
        <scheme val="minor"/>
      </rPr>
      <t>doba terap. dle</t>
    </r>
    <r>
      <rPr>
        <u/>
        <vertAlign val="superscript"/>
        <sz val="9"/>
        <color theme="1"/>
        <rFont val="Calibri"/>
        <family val="2"/>
        <charset val="238"/>
        <scheme val="minor"/>
      </rPr>
      <t>40</t>
    </r>
    <r>
      <rPr>
        <u/>
        <sz val="9"/>
        <color theme="1"/>
        <rFont val="Calibri"/>
        <family val="2"/>
        <charset val="238"/>
        <scheme val="minor"/>
      </rPr>
      <t>: 4 cyk. + 25 dní</t>
    </r>
    <r>
      <rPr>
        <sz val="9"/>
        <color theme="1"/>
        <rFont val="Calibri"/>
        <family val="2"/>
        <charset val="238"/>
        <scheme val="minor"/>
      </rPr>
      <t xml:space="preserve"> (dle LL 95%CI mPFS), </t>
    </r>
    <r>
      <rPr>
        <u/>
        <sz val="9"/>
        <color theme="1"/>
        <rFont val="Calibri"/>
        <family val="2"/>
        <charset val="238"/>
        <scheme val="minor"/>
      </rPr>
      <t>RDI dle</t>
    </r>
    <r>
      <rPr>
        <u/>
        <vertAlign val="superscript"/>
        <sz val="9"/>
        <color theme="1"/>
        <rFont val="Calibri"/>
        <family val="2"/>
        <charset val="238"/>
        <scheme val="minor"/>
      </rPr>
      <t>10</t>
    </r>
    <r>
      <rPr>
        <u/>
        <sz val="9"/>
        <color theme="1"/>
        <rFont val="Calibri"/>
        <family val="2"/>
        <charset val="238"/>
        <scheme val="minor"/>
      </rPr>
      <t>: 87%</t>
    </r>
  </si>
  <si>
    <r>
      <t xml:space="preserve">40 mg (nad 75let 20 mg) p.o. 1x denně 1., 8., 15. a 22. den 28denního cyklu, </t>
    </r>
    <r>
      <rPr>
        <u/>
        <sz val="9"/>
        <color theme="1"/>
        <rFont val="Calibri"/>
        <family val="2"/>
        <charset val="238"/>
        <scheme val="minor"/>
      </rPr>
      <t>doba terap. dle</t>
    </r>
    <r>
      <rPr>
        <u/>
        <vertAlign val="superscript"/>
        <sz val="9"/>
        <color theme="1"/>
        <rFont val="Calibri"/>
        <family val="2"/>
        <charset val="238"/>
        <scheme val="minor"/>
      </rPr>
      <t>40</t>
    </r>
    <r>
      <rPr>
        <u/>
        <sz val="9"/>
        <color theme="1"/>
        <rFont val="Calibri"/>
        <family val="2"/>
        <charset val="238"/>
        <scheme val="minor"/>
      </rPr>
      <t xml:space="preserve">: 4 cyk. + 25 dní </t>
    </r>
    <r>
      <rPr>
        <sz val="9"/>
        <color theme="1"/>
        <rFont val="Calibri"/>
        <family val="2"/>
        <charset val="238"/>
        <scheme val="minor"/>
      </rPr>
      <t>(dle LL 95%CI mPFS)</t>
    </r>
    <r>
      <rPr>
        <u/>
        <sz val="9"/>
        <color theme="1"/>
        <rFont val="Calibri"/>
        <family val="2"/>
        <charset val="238"/>
        <scheme val="minor"/>
      </rPr>
      <t>, RDI dle</t>
    </r>
    <r>
      <rPr>
        <u/>
        <vertAlign val="superscript"/>
        <sz val="9"/>
        <color theme="1"/>
        <rFont val="Calibri"/>
        <family val="2"/>
        <charset val="238"/>
        <scheme val="minor"/>
      </rPr>
      <t>10</t>
    </r>
    <r>
      <rPr>
        <u/>
        <sz val="9"/>
        <color theme="1"/>
        <rFont val="Calibri"/>
        <family val="2"/>
        <charset val="238"/>
        <scheme val="minor"/>
      </rPr>
      <t>:</t>
    </r>
    <r>
      <rPr>
        <sz val="9"/>
        <color theme="1"/>
        <rFont val="Calibri"/>
        <family val="2"/>
        <charset val="238"/>
        <scheme val="minor"/>
      </rPr>
      <t xml:space="preserve"> 87%</t>
    </r>
  </si>
  <si>
    <r>
      <t xml:space="preserve">4 mg p.o. 1x denně 1. až 21. den 28denního cyklu, </t>
    </r>
    <r>
      <rPr>
        <u/>
        <sz val="9"/>
        <color theme="1"/>
        <rFont val="Calibri"/>
        <family val="2"/>
        <charset val="238"/>
        <scheme val="minor"/>
      </rPr>
      <t>doba terap. dle</t>
    </r>
    <r>
      <rPr>
        <u/>
        <vertAlign val="superscript"/>
        <sz val="9"/>
        <color theme="1"/>
        <rFont val="Calibri"/>
        <family val="2"/>
        <charset val="238"/>
        <scheme val="minor"/>
      </rPr>
      <t>40</t>
    </r>
    <r>
      <rPr>
        <u/>
        <sz val="9"/>
        <color theme="1"/>
        <rFont val="Calibri"/>
        <family val="2"/>
        <charset val="238"/>
        <scheme val="minor"/>
      </rPr>
      <t>: 8 cyk. + 17 dní</t>
    </r>
    <r>
      <rPr>
        <sz val="9"/>
        <color theme="1"/>
        <rFont val="Calibri"/>
        <family val="2"/>
        <charset val="238"/>
        <scheme val="minor"/>
      </rPr>
      <t xml:space="preserve"> (dle UL 95%CI mPFS), </t>
    </r>
    <r>
      <rPr>
        <u/>
        <sz val="9"/>
        <color theme="1"/>
        <rFont val="Calibri"/>
        <family val="2"/>
        <charset val="238"/>
        <scheme val="minor"/>
      </rPr>
      <t>RDI dle</t>
    </r>
    <r>
      <rPr>
        <u/>
        <vertAlign val="superscript"/>
        <sz val="9"/>
        <color theme="1"/>
        <rFont val="Calibri"/>
        <family val="2"/>
        <charset val="238"/>
        <scheme val="minor"/>
      </rPr>
      <t>10</t>
    </r>
    <r>
      <rPr>
        <u/>
        <sz val="9"/>
        <color theme="1"/>
        <rFont val="Calibri"/>
        <family val="2"/>
        <charset val="238"/>
        <scheme val="minor"/>
      </rPr>
      <t>: 87%</t>
    </r>
  </si>
  <si>
    <r>
      <t xml:space="preserve">40 mg (nad 75let 20 mg) p.o. 1x denně 1., 8., 15. a 22. den 28denního cyklu, </t>
    </r>
    <r>
      <rPr>
        <u/>
        <sz val="9"/>
        <color theme="1"/>
        <rFont val="Calibri"/>
        <family val="2"/>
        <charset val="238"/>
        <scheme val="minor"/>
      </rPr>
      <t>doba terap. dle</t>
    </r>
    <r>
      <rPr>
        <u/>
        <vertAlign val="superscript"/>
        <sz val="9"/>
        <color theme="1"/>
        <rFont val="Calibri"/>
        <family val="2"/>
        <charset val="238"/>
        <scheme val="minor"/>
      </rPr>
      <t>40</t>
    </r>
    <r>
      <rPr>
        <u/>
        <sz val="9"/>
        <color theme="1"/>
        <rFont val="Calibri"/>
        <family val="2"/>
        <charset val="238"/>
        <scheme val="minor"/>
      </rPr>
      <t xml:space="preserve">: 8 cyk. + 17 dní </t>
    </r>
    <r>
      <rPr>
        <sz val="9"/>
        <color theme="1"/>
        <rFont val="Calibri"/>
        <family val="2"/>
        <charset val="238"/>
        <scheme val="minor"/>
      </rPr>
      <t>(dle UL 95%CI mPFS)</t>
    </r>
    <r>
      <rPr>
        <u/>
        <sz val="9"/>
        <color theme="1"/>
        <rFont val="Calibri"/>
        <family val="2"/>
        <charset val="238"/>
        <scheme val="minor"/>
      </rPr>
      <t>, RDI dle</t>
    </r>
    <r>
      <rPr>
        <u/>
        <vertAlign val="superscript"/>
        <sz val="9"/>
        <color theme="1"/>
        <rFont val="Calibri"/>
        <family val="2"/>
        <charset val="238"/>
        <scheme val="minor"/>
      </rPr>
      <t>10</t>
    </r>
    <r>
      <rPr>
        <u/>
        <sz val="9"/>
        <color theme="1"/>
        <rFont val="Calibri"/>
        <family val="2"/>
        <charset val="238"/>
        <scheme val="minor"/>
      </rPr>
      <t>: 87%</t>
    </r>
  </si>
  <si>
    <t xml:space="preserve">HIGH DOSE DEXAMETHASON   </t>
  </si>
  <si>
    <r>
      <t>cena léčby Anopyrinem 60x100mg</t>
    </r>
    <r>
      <rPr>
        <vertAlign val="superscript"/>
        <sz val="9"/>
        <color theme="1"/>
        <rFont val="Calibri"/>
        <family val="2"/>
        <charset val="238"/>
        <scheme val="minor"/>
      </rPr>
      <t xml:space="preserve">32 </t>
    </r>
    <r>
      <rPr>
        <sz val="9"/>
        <color theme="1"/>
        <rFont val="Calibri"/>
        <family val="2"/>
        <charset val="238"/>
        <scheme val="minor"/>
      </rPr>
      <t>za 28 dní</t>
    </r>
  </si>
  <si>
    <r>
      <t>cena léčby Cotrim. AL forte 20x960mg</t>
    </r>
    <r>
      <rPr>
        <vertAlign val="superscript"/>
        <sz val="9"/>
        <color theme="1"/>
        <rFont val="Calibri"/>
        <family val="2"/>
        <charset val="238"/>
        <scheme val="minor"/>
      </rPr>
      <t xml:space="preserve">31 </t>
    </r>
    <r>
      <rPr>
        <sz val="9"/>
        <color theme="1"/>
        <rFont val="Calibri"/>
        <family val="2"/>
        <charset val="238"/>
        <scheme val="minor"/>
      </rPr>
      <t>za 28 dní</t>
    </r>
  </si>
  <si>
    <r>
      <t>cena léčby Valacicl. Mylan 42x500mg</t>
    </r>
    <r>
      <rPr>
        <vertAlign val="superscript"/>
        <sz val="9"/>
        <color theme="1"/>
        <rFont val="Calibri"/>
        <family val="2"/>
        <charset val="238"/>
        <scheme val="minor"/>
      </rPr>
      <t>29</t>
    </r>
    <r>
      <rPr>
        <sz val="9"/>
        <color theme="1"/>
        <rFont val="Calibri"/>
        <family val="2"/>
        <charset val="238"/>
        <scheme val="minor"/>
      </rPr>
      <t xml:space="preserve"> za 28 dní</t>
    </r>
  </si>
  <si>
    <r>
      <t>cena managem. a léčby NÚ za 28 dní u Pd</t>
    </r>
    <r>
      <rPr>
        <vertAlign val="superscript"/>
        <sz val="9"/>
        <color theme="1"/>
        <rFont val="Calibri"/>
        <family val="2"/>
        <charset val="238"/>
        <scheme val="minor"/>
      </rPr>
      <t>36</t>
    </r>
  </si>
  <si>
    <t>podíl nákladů jednotl. LP z nákladu celého režimu LP</t>
  </si>
  <si>
    <t>podíl nákladů za  LP z celkových nákladů za režim</t>
  </si>
  <si>
    <t>cena s DPH (NCSD) k 31.5.2023</t>
  </si>
  <si>
    <t>K datu 31.5.2023 - bortezomib (1,3 mg/m2): BORTEZOMIB ACCORD inj. 1x 3,5mg (NCSD - 1.686,14 Kč)</t>
  </si>
  <si>
    <t>cena s DPH (NCSD) k 31.5.2023 vč. bonusu</t>
  </si>
  <si>
    <t>teklistamab</t>
  </si>
  <si>
    <t>TECVAYLI 10mg/1ml inj. roztok  1x 3ml (30mg)</t>
  </si>
  <si>
    <t>TECVAYLI 90mg/1ml inj. roztok  1x 1,7ml (153mg)</t>
  </si>
  <si>
    <t>37. Vzhledem k velmi nízkým cenám těchto přípravků byly náklady na tuto premedikaci zanedbány.</t>
  </si>
  <si>
    <t xml:space="preserve">38.  Náklady na 1 přípravu a aplikaci infuze belantamabu dle kódů (pro zjednodušení 1bod= 1Kč) ze zdroje pod pozn. 39: doba aplik. do 4 hod, kódy:  06555 (příprava inf.cyto z lyof. - 375 Kč), 42050 (onko stac. do 12 hod - 946 Kč), 9223 (i.v.infuze u dosp. - 153 Kč), </t>
  </si>
  <si>
    <t xml:space="preserve">      42520 (aplikace biologika/cyto - 285 Kč), CYTO SET s filtrem (179 Kč) - tj. celkem: 1.938 Kč. Náklady na 1 přípravu a aplikaci injekce teklistamabu dle kódů (pro zjednodušení 1bod= 1Kč) ze zdroje pod pozn. 39: 06551 (příprava inj.cyto bolusu - 256 Kč), </t>
  </si>
  <si>
    <t xml:space="preserve">      42050 (onko stac. do 12 hod - 946 Kč), 42520 (aplikace biologika/cyto - 285 Kč) - tj. celkem: 1.487 Kč.</t>
  </si>
  <si>
    <r>
      <t xml:space="preserve">    </t>
    </r>
    <r>
      <rPr>
        <b/>
        <sz val="9"/>
        <color theme="1"/>
        <rFont val="Calibri"/>
        <family val="2"/>
        <charset val="238"/>
        <scheme val="minor"/>
      </rPr>
      <t>Náklady na 1 aplikaci injekce dexamethazonu</t>
    </r>
    <r>
      <rPr>
        <sz val="9"/>
        <color theme="1"/>
        <rFont val="Calibri"/>
        <family val="2"/>
        <charset val="238"/>
        <scheme val="minor"/>
      </rPr>
      <t xml:space="preserve"> dle kódů (pro zjednodušení 1bod= 1Kč) ze zdroje pod pozn. 39: kód 09219 (i.v. inj. u dosp. - 72 Kč)</t>
    </r>
  </si>
  <si>
    <t>41. K datu 31.5.2023 - 2x denně 1 tbl VALACICLOVIR MYLAN 42x 500mg (NCSD – 224,62 Kč)</t>
  </si>
  <si>
    <r>
      <rPr>
        <u/>
        <sz val="9"/>
        <color theme="1"/>
        <rFont val="Calibri"/>
        <family val="2"/>
        <charset val="238"/>
        <scheme val="minor"/>
      </rPr>
      <t>antimikrobialní profylaxe PJP</t>
    </r>
    <r>
      <rPr>
        <u/>
        <vertAlign val="superscript"/>
        <sz val="9"/>
        <color theme="1"/>
        <rFont val="Calibri"/>
        <family val="2"/>
        <charset val="238"/>
        <scheme val="minor"/>
      </rPr>
      <t>42,43</t>
    </r>
    <r>
      <rPr>
        <sz val="9"/>
        <color theme="1"/>
        <rFont val="Calibri"/>
        <family val="2"/>
        <charset val="238"/>
        <scheme val="minor"/>
      </rPr>
      <t>: trimethoprim/ sulfamethoxazole 480mg 1x denně nebo 960mg 3x za týden či 1x denně - po celou dobu režimu!</t>
    </r>
  </si>
  <si>
    <t>43. K datu 31.5.2023 - režim 3x za týden 1 tbl COTRIMOXAZOL AL FORTE 20x 960mg (NCSD – 48,12 Kč)</t>
  </si>
  <si>
    <r>
      <rPr>
        <u/>
        <sz val="9"/>
        <color theme="1"/>
        <rFont val="Calibri"/>
        <family val="2"/>
        <charset val="238"/>
        <scheme val="minor"/>
      </rPr>
      <t>premed. před každou inj. jen u prvních 3 dávek step-up schématu</t>
    </r>
    <r>
      <rPr>
        <u/>
        <vertAlign val="superscript"/>
        <sz val="9"/>
        <color theme="1"/>
        <rFont val="Calibri"/>
        <family val="2"/>
        <charset val="238"/>
        <scheme val="minor"/>
      </rPr>
      <t>1,37</t>
    </r>
    <r>
      <rPr>
        <sz val="9"/>
        <color theme="1"/>
        <rFont val="Calibri"/>
        <family val="2"/>
        <charset val="238"/>
        <scheme val="minor"/>
      </rPr>
      <t xml:space="preserve">: dexamethason 16mg p.o./i.v., antihist. p.o./i.v., 650-1000mg p.o./i.v. paracet., </t>
    </r>
    <r>
      <rPr>
        <u/>
        <sz val="9"/>
        <color theme="1"/>
        <rFont val="Calibri"/>
        <family val="2"/>
        <charset val="238"/>
        <scheme val="minor"/>
      </rPr>
      <t>event. léčba sy z uvolnění cytokinů tocilizumabem</t>
    </r>
    <r>
      <rPr>
        <u/>
        <vertAlign val="superscript"/>
        <sz val="9"/>
        <color theme="1"/>
        <rFont val="Calibri"/>
        <family val="2"/>
        <charset val="238"/>
        <scheme val="minor"/>
      </rPr>
      <t>44,45</t>
    </r>
    <r>
      <rPr>
        <sz val="9"/>
        <color theme="1"/>
        <rFont val="Calibri"/>
        <family val="2"/>
        <charset val="238"/>
        <scheme val="minor"/>
      </rPr>
      <t xml:space="preserve">, </t>
    </r>
    <r>
      <rPr>
        <u/>
        <sz val="9"/>
        <color theme="1"/>
        <rFont val="Calibri"/>
        <family val="2"/>
        <charset val="238"/>
        <scheme val="minor"/>
      </rPr>
      <t>antivir. profyl.</t>
    </r>
    <r>
      <rPr>
        <u/>
        <vertAlign val="superscript"/>
        <sz val="9"/>
        <color theme="1"/>
        <rFont val="Calibri"/>
        <family val="2"/>
        <charset val="238"/>
        <scheme val="minor"/>
      </rPr>
      <t>40,41</t>
    </r>
    <r>
      <rPr>
        <sz val="9"/>
        <color theme="1"/>
        <rFont val="Calibri"/>
        <family val="2"/>
        <charset val="238"/>
        <scheme val="minor"/>
      </rPr>
      <t>: valacyclovir 2x 500mg po celou dobu režimu</t>
    </r>
  </si>
  <si>
    <t>44. K datu 31.5.2023 - tocilizumab (60 min. i.v. infuze - míchá se do 100ml FR): ROACTEMRA inf. 4x200mg/10ml (NSCD - 25.370,20 Kč), 4x400mg/20ml (NCSD - 50.740,58 Kč)</t>
  </si>
  <si>
    <t>K datu 31.5.2023 - 1x denně 1 tbl ANOPYRIN 60x 100mg (NCSD – 16,69 Kč)</t>
  </si>
  <si>
    <t>BLENREP 100mg konc. pro inf. roztok  1x</t>
  </si>
  <si>
    <t>belantamab mafodotin</t>
  </si>
  <si>
    <r>
      <t xml:space="preserve">1. den 0,06mg/kg s.c., cca 3. den (2.-7.den) 0,3mg/kg s.c., 2.-7.den po 2.dávce 1,5mg/kg s.c., pak každý týden udržovací dávka 1,5mg/kg s.c. , </t>
    </r>
    <r>
      <rPr>
        <u/>
        <sz val="9"/>
        <color theme="1"/>
        <rFont val="Calibri"/>
        <family val="2"/>
        <charset val="238"/>
        <scheme val="minor"/>
      </rPr>
      <t>doba terap. dle</t>
    </r>
    <r>
      <rPr>
        <u/>
        <vertAlign val="superscript"/>
        <sz val="9"/>
        <color theme="1"/>
        <rFont val="Calibri"/>
        <family val="2"/>
        <charset val="238"/>
        <scheme val="minor"/>
      </rPr>
      <t>8</t>
    </r>
    <r>
      <rPr>
        <u/>
        <sz val="9"/>
        <color theme="1"/>
        <rFont val="Calibri"/>
        <family val="2"/>
        <charset val="238"/>
        <scheme val="minor"/>
      </rPr>
      <t>: medián ze 165 pac. - 8,5 měsíce (10 cyklů po 21 dnech)</t>
    </r>
    <r>
      <rPr>
        <sz val="9"/>
        <color theme="1"/>
        <rFont val="Calibri"/>
        <family val="2"/>
        <charset val="238"/>
        <scheme val="minor"/>
      </rPr>
      <t xml:space="preserve">, </t>
    </r>
    <r>
      <rPr>
        <u/>
        <sz val="9"/>
        <color theme="1"/>
        <rFont val="Calibri"/>
        <family val="2"/>
        <charset val="238"/>
        <scheme val="minor"/>
      </rPr>
      <t>RDI dle</t>
    </r>
    <r>
      <rPr>
        <u/>
        <vertAlign val="superscript"/>
        <sz val="9"/>
        <color theme="1"/>
        <rFont val="Calibri"/>
        <family val="2"/>
        <charset val="238"/>
        <scheme val="minor"/>
      </rPr>
      <t>8</t>
    </r>
    <r>
      <rPr>
        <u/>
        <sz val="9"/>
        <color theme="1"/>
        <rFont val="Calibri"/>
        <family val="2"/>
        <charset val="238"/>
        <scheme val="minor"/>
      </rPr>
      <t>: medián - 93,7%, míra ukončení pro NÚ či odmítnutí pac. dle</t>
    </r>
    <r>
      <rPr>
        <u/>
        <vertAlign val="superscript"/>
        <sz val="9"/>
        <color theme="1"/>
        <rFont val="Calibri"/>
        <family val="2"/>
        <charset val="238"/>
        <scheme val="minor"/>
      </rPr>
      <t>8</t>
    </r>
    <r>
      <rPr>
        <u/>
        <sz val="9"/>
        <color theme="1"/>
        <rFont val="Calibri"/>
        <family val="2"/>
        <charset val="238"/>
        <scheme val="minor"/>
      </rPr>
      <t>: 4,2%</t>
    </r>
  </si>
  <si>
    <r>
      <t>Další náklady dle</t>
    </r>
    <r>
      <rPr>
        <b/>
        <u/>
        <vertAlign val="superscript"/>
        <sz val="9"/>
        <color theme="1"/>
        <rFont val="Calibri"/>
        <family val="2"/>
        <charset val="238"/>
        <scheme val="minor"/>
      </rPr>
      <t>8</t>
    </r>
    <r>
      <rPr>
        <b/>
        <u/>
        <sz val="9"/>
        <color theme="1"/>
        <rFont val="Calibri"/>
        <family val="2"/>
        <charset val="238"/>
        <scheme val="minor"/>
      </rPr>
      <t>:</t>
    </r>
  </si>
  <si>
    <t xml:space="preserve">        na management péče pac. při jakémkoliv režimu: před progresí - cca 460 Kč/ měsíc  </t>
  </si>
  <si>
    <r>
      <t xml:space="preserve">cena za léčbu u 1 pac. (za LP) při </t>
    </r>
    <r>
      <rPr>
        <b/>
        <u/>
        <sz val="11"/>
        <color theme="1"/>
        <rFont val="Calibri"/>
        <family val="2"/>
        <charset val="238"/>
        <scheme val="minor"/>
      </rPr>
      <t>dávk. dle sloupce "dávkování</t>
    </r>
    <r>
      <rPr>
        <b/>
        <sz val="11"/>
        <color theme="1"/>
        <rFont val="Calibri"/>
        <family val="2"/>
        <charset val="238"/>
        <scheme val="minor"/>
      </rPr>
      <t xml:space="preserve">"                                        </t>
    </r>
    <r>
      <rPr>
        <sz val="9"/>
        <color theme="1"/>
        <rFont val="Calibri"/>
        <family val="2"/>
        <charset val="238"/>
        <scheme val="minor"/>
      </rPr>
      <t>(počítání event. celých inj. lahv.)</t>
    </r>
  </si>
  <si>
    <r>
      <t>40mg/den (nad 75let 20 mg) 1.-4.den, 9.-12.den a 17.-20.den 28den. cyklu</t>
    </r>
    <r>
      <rPr>
        <vertAlign val="superscript"/>
        <sz val="9"/>
        <color theme="1"/>
        <rFont val="Calibri"/>
        <family val="2"/>
        <charset val="238"/>
        <scheme val="minor"/>
      </rPr>
      <t>49</t>
    </r>
    <r>
      <rPr>
        <sz val="9"/>
        <color theme="1"/>
        <rFont val="Calibri"/>
        <family val="2"/>
        <charset val="238"/>
        <scheme val="minor"/>
      </rPr>
      <t xml:space="preserve">, </t>
    </r>
    <r>
      <rPr>
        <u/>
        <sz val="9"/>
        <color theme="1"/>
        <rFont val="Calibri"/>
        <family val="2"/>
        <charset val="238"/>
        <scheme val="minor"/>
      </rPr>
      <t>délka terap. dle</t>
    </r>
    <r>
      <rPr>
        <u/>
        <vertAlign val="superscript"/>
        <sz val="9"/>
        <color theme="1"/>
        <rFont val="Calibri"/>
        <family val="2"/>
        <charset val="238"/>
        <scheme val="minor"/>
      </rPr>
      <t>49</t>
    </r>
    <r>
      <rPr>
        <u/>
        <sz val="9"/>
        <color theme="1"/>
        <rFont val="Calibri"/>
        <family val="2"/>
        <charset val="238"/>
        <scheme val="minor"/>
      </rPr>
      <t>: 1,9 měsíce - tj. 2 cyk. + 2 dny</t>
    </r>
    <r>
      <rPr>
        <sz val="9"/>
        <color theme="1"/>
        <rFont val="Calibri"/>
        <family val="2"/>
        <charset val="238"/>
        <scheme val="minor"/>
      </rPr>
      <t xml:space="preserve"> (dle bodové hodnoty mPFS), </t>
    </r>
    <r>
      <rPr>
        <u/>
        <sz val="9"/>
        <color theme="1"/>
        <rFont val="Calibri"/>
        <family val="2"/>
        <charset val="238"/>
        <scheme val="minor"/>
      </rPr>
      <t>RDI</t>
    </r>
    <r>
      <rPr>
        <u/>
        <vertAlign val="superscript"/>
        <sz val="9"/>
        <color theme="1"/>
        <rFont val="Calibri"/>
        <family val="2"/>
        <charset val="238"/>
        <scheme val="minor"/>
      </rPr>
      <t>49</t>
    </r>
    <r>
      <rPr>
        <u/>
        <sz val="9"/>
        <color theme="1"/>
        <rFont val="Calibri"/>
        <family val="2"/>
        <charset val="238"/>
        <scheme val="minor"/>
      </rPr>
      <t>: 100%</t>
    </r>
  </si>
  <si>
    <t>cena za léčbu 1 pacienta vč. dalších nákladů za 1 měsíc léčby</t>
  </si>
  <si>
    <r>
      <t xml:space="preserve">2,5 mg/kg i.v.infuzí  jednou za 3 týdny, </t>
    </r>
    <r>
      <rPr>
        <u/>
        <sz val="9"/>
        <color theme="1"/>
        <rFont val="Calibri"/>
        <family val="2"/>
        <charset val="238"/>
        <scheme val="minor"/>
      </rPr>
      <t>doba terapie dle</t>
    </r>
    <r>
      <rPr>
        <u/>
        <vertAlign val="superscript"/>
        <sz val="9"/>
        <color theme="1"/>
        <rFont val="Calibri"/>
        <family val="2"/>
        <charset val="238"/>
        <scheme val="minor"/>
      </rPr>
      <t>36,50</t>
    </r>
    <r>
      <rPr>
        <u/>
        <sz val="9"/>
        <color theme="1"/>
        <rFont val="Calibri"/>
        <family val="2"/>
        <charset val="238"/>
        <scheme val="minor"/>
      </rPr>
      <t>: medián - 3 cykly po 21 dnech</t>
    </r>
    <r>
      <rPr>
        <sz val="9"/>
        <color theme="1"/>
        <rFont val="Calibri"/>
        <family val="2"/>
        <charset val="238"/>
        <scheme val="minor"/>
      </rPr>
      <t xml:space="preserve"> (mPFS byl 2,9 měs.), </t>
    </r>
    <r>
      <rPr>
        <u/>
        <sz val="9"/>
        <color theme="1"/>
        <rFont val="Calibri"/>
        <family val="2"/>
        <charset val="238"/>
        <scheme val="minor"/>
      </rPr>
      <t>RDI dle</t>
    </r>
    <r>
      <rPr>
        <u/>
        <vertAlign val="superscript"/>
        <sz val="9"/>
        <color theme="1"/>
        <rFont val="Calibri"/>
        <family val="2"/>
        <charset val="238"/>
        <scheme val="minor"/>
      </rPr>
      <t>36</t>
    </r>
    <r>
      <rPr>
        <u/>
        <sz val="9"/>
        <color theme="1"/>
        <rFont val="Calibri"/>
        <family val="2"/>
        <charset val="238"/>
        <scheme val="minor"/>
      </rPr>
      <t>: medián po 13 měs. folow up - 95,6%, míra ukončení pro NÚ či odmítnutí pac. dle</t>
    </r>
    <r>
      <rPr>
        <u/>
        <vertAlign val="superscript"/>
        <sz val="9"/>
        <color theme="1"/>
        <rFont val="Calibri"/>
        <family val="2"/>
        <charset val="238"/>
        <scheme val="minor"/>
      </rPr>
      <t xml:space="preserve">36 </t>
    </r>
    <r>
      <rPr>
        <u/>
        <sz val="9"/>
        <color theme="1"/>
        <rFont val="Calibri"/>
        <family val="2"/>
        <charset val="238"/>
        <scheme val="minor"/>
      </rPr>
      <t>po 13 měs. folow up: 16%</t>
    </r>
  </si>
  <si>
    <t xml:space="preserve">        na léčbu NÚ/měsíc na léčbě:  3.756 Kč u TECVAYLI, 4.000 Kč (jako odhad s přihlédnutím i k jiným SŘ přípravků na MM) pro všechny ostatní režimy</t>
  </si>
  <si>
    <r>
      <t xml:space="preserve">Dle zdroje pod pozn. 48 (metodou MAIC) byl HR pro PFS 0.63 (95% CI 0.34–1.15; P=0.1338) - nebylo statisticky významné kvůli malému adjust. počtu pacientů. Dle HR 0,63 byl mPFS u BLENREPU </t>
    </r>
    <r>
      <rPr>
        <u/>
        <sz val="9"/>
        <color theme="1"/>
        <rFont val="Calibri"/>
        <family val="2"/>
        <charset val="238"/>
        <scheme val="minor"/>
      </rPr>
      <t>velmi orientačně přepočítán na mPFS u TECVAYLI vynásobením 1,59 - to odpovídá mPFS 4,6 měsíce</t>
    </r>
  </si>
  <si>
    <t>TECVAYLI 10mg/1ml inj. roztok  1x3ml (30mg) nebo  90mg/1ml inj. roztok  1x 1,7ml (153mg)</t>
  </si>
  <si>
    <t>Janssen-Cilag</t>
  </si>
  <si>
    <r>
      <t>cena za léčbu 1 pac. vč. dalších nákladů do progrese dle mPFS</t>
    </r>
    <r>
      <rPr>
        <b/>
        <sz val="10"/>
        <color theme="1"/>
        <rFont val="Calibri"/>
        <family val="2"/>
        <charset val="238"/>
        <scheme val="minor"/>
      </rPr>
      <t xml:space="preserve"> u BLENREPU a adjustovaného odhadu</t>
    </r>
    <r>
      <rPr>
        <b/>
        <vertAlign val="superscript"/>
        <sz val="10"/>
        <color theme="1"/>
        <rFont val="Calibri"/>
        <family val="2"/>
        <charset val="238"/>
        <scheme val="minor"/>
      </rPr>
      <t>50</t>
    </r>
    <r>
      <rPr>
        <b/>
        <sz val="10"/>
        <color theme="1"/>
        <rFont val="Calibri"/>
        <family val="2"/>
        <charset val="238"/>
        <scheme val="minor"/>
      </rPr>
      <t xml:space="preserve"> mPFS u TECVAYLI</t>
    </r>
  </si>
  <si>
    <r>
      <rPr>
        <b/>
        <sz val="16"/>
        <color theme="1"/>
        <rFont val="Calibri"/>
        <family val="2"/>
        <charset val="238"/>
        <scheme val="minor"/>
      </rPr>
      <t xml:space="preserve">TECVAYLI </t>
    </r>
    <r>
      <rPr>
        <b/>
        <sz val="12"/>
        <color theme="1"/>
        <rFont val="Calibri"/>
        <family val="2"/>
        <charset val="238"/>
        <scheme val="minor"/>
      </rPr>
      <t>monoterapie-adjust. vůči BLENREPU dle</t>
    </r>
    <r>
      <rPr>
        <b/>
        <vertAlign val="superscript"/>
        <sz val="12"/>
        <color theme="1"/>
        <rFont val="Calibri"/>
        <family val="2"/>
        <charset val="238"/>
        <scheme val="minor"/>
      </rPr>
      <t xml:space="preserve">48,50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1.5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>(pro těl. hm. do 99kg)</t>
    </r>
  </si>
  <si>
    <r>
      <t xml:space="preserve">skupina   </t>
    </r>
    <r>
      <rPr>
        <sz val="9"/>
        <color theme="1"/>
        <rFont val="Calibri"/>
        <family val="2"/>
        <charset val="238"/>
        <scheme val="minor"/>
      </rPr>
      <t>(BCMA = B cell maturation antigen)</t>
    </r>
  </si>
  <si>
    <r>
      <rPr>
        <b/>
        <sz val="9"/>
        <color theme="1"/>
        <rFont val="Calibri"/>
        <family val="2"/>
        <charset val="238"/>
        <scheme val="minor"/>
      </rPr>
      <t xml:space="preserve">BiTE  </t>
    </r>
    <r>
      <rPr>
        <sz val="9"/>
        <color theme="1"/>
        <rFont val="Calibri"/>
        <family val="2"/>
        <charset val="238"/>
        <scheme val="minor"/>
      </rPr>
      <t xml:space="preserve">                       (tzv. bispecific T cell engagers) </t>
    </r>
    <r>
      <rPr>
        <b/>
        <sz val="9"/>
        <color theme="1"/>
        <rFont val="Calibri"/>
        <family val="2"/>
        <charset val="238"/>
        <scheme val="minor"/>
      </rPr>
      <t>proti BCMA</t>
    </r>
    <r>
      <rPr>
        <sz val="9"/>
        <color theme="1"/>
        <rFont val="Calibri"/>
        <family val="2"/>
        <charset val="238"/>
        <scheme val="minor"/>
      </rPr>
      <t xml:space="preserve">           </t>
    </r>
  </si>
  <si>
    <r>
      <rPr>
        <b/>
        <sz val="9"/>
        <color theme="1"/>
        <rFont val="Calibri"/>
        <family val="2"/>
        <charset val="238"/>
        <scheme val="minor"/>
      </rPr>
      <t xml:space="preserve">ADC    </t>
    </r>
    <r>
      <rPr>
        <sz val="9"/>
        <color theme="1"/>
        <rFont val="Calibri"/>
        <family val="2"/>
        <charset val="238"/>
        <scheme val="minor"/>
      </rPr>
      <t xml:space="preserve">                           (tzv. konjugát mAb a léku) </t>
    </r>
    <r>
      <rPr>
        <b/>
        <sz val="9"/>
        <color theme="1"/>
        <rFont val="Calibri"/>
        <family val="2"/>
        <charset val="238"/>
        <scheme val="minor"/>
      </rPr>
      <t>proti BCMA</t>
    </r>
  </si>
  <si>
    <t>GlaxoSmithKline</t>
  </si>
  <si>
    <t>BLENREP 100mg konc. pro inf. roztok  1 lahvička</t>
  </si>
  <si>
    <r>
      <t xml:space="preserve">v monoterapii u pacientů s RRMM, kteří </t>
    </r>
    <r>
      <rPr>
        <u/>
        <sz val="9"/>
        <color theme="1"/>
        <rFont val="Calibri"/>
        <family val="2"/>
        <charset val="238"/>
        <scheme val="minor"/>
      </rPr>
      <t xml:space="preserve">byli již dříve léčeni alespoň čtyřmi typy léčby </t>
    </r>
    <r>
      <rPr>
        <sz val="9"/>
        <color theme="1"/>
        <rFont val="Calibri"/>
        <family val="2"/>
        <charset val="238"/>
        <scheme val="minor"/>
      </rPr>
      <t xml:space="preserve">a jejichž MM </t>
    </r>
    <r>
      <rPr>
        <u/>
        <sz val="9"/>
        <color theme="1"/>
        <rFont val="Calibri"/>
        <family val="2"/>
        <charset val="238"/>
        <scheme val="minor"/>
      </rPr>
      <t>je refrakterní vůči alespoň jednomu PI, jedné IMiDs a mAb proti CD38</t>
    </r>
    <r>
      <rPr>
        <sz val="9"/>
        <color theme="1"/>
        <rFont val="Calibri"/>
        <family val="2"/>
        <charset val="238"/>
        <scheme val="minor"/>
      </rPr>
      <t xml:space="preserve">, a kteří během poslední léčby vykazovali progresi onemocnění </t>
    </r>
  </si>
  <si>
    <r>
      <t xml:space="preserve">v monoterapii u pacientů s RRMM, kteří </t>
    </r>
    <r>
      <rPr>
        <u/>
        <sz val="9"/>
        <color theme="1"/>
        <rFont val="Calibri"/>
        <family val="2"/>
        <charset val="238"/>
        <scheme val="minor"/>
      </rPr>
      <t>dostali nejméně tři předchozí terapie zahrnující IMiDs, PI a mAb proti CD38</t>
    </r>
    <r>
      <rPr>
        <sz val="9"/>
        <color theme="1"/>
        <rFont val="Calibri"/>
        <family val="2"/>
        <charset val="238"/>
        <scheme val="minor"/>
      </rPr>
      <t>, a při poslední terapii vykázali progresi onemocnění</t>
    </r>
  </si>
  <si>
    <r>
      <t>upozornění dle SPC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9"/>
        <color theme="1"/>
        <rFont val="Calibri"/>
        <family val="2"/>
        <charset val="238"/>
        <scheme val="minor"/>
      </rPr>
      <t xml:space="preserve">                                                                 (</t>
    </r>
    <r>
      <rPr>
        <u/>
        <sz val="9"/>
        <color theme="1"/>
        <rFont val="Calibri"/>
        <family val="2"/>
        <charset val="238"/>
        <scheme val="minor"/>
      </rPr>
      <t>podtržení  zvýrazňuje rozdíly mezi oběma LP</t>
    </r>
    <r>
      <rPr>
        <sz val="9"/>
        <color theme="1"/>
        <rFont val="Calibri"/>
        <family val="2"/>
        <charset val="238"/>
        <scheme val="minor"/>
      </rPr>
      <t>,            mAb = monoklonální protilátka, sy = syndrom)</t>
    </r>
  </si>
  <si>
    <r>
      <t>indikace dle SPC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  <r>
      <rPr>
        <b/>
        <sz val="11"/>
        <color theme="1"/>
        <rFont val="Calibri"/>
        <family val="2"/>
        <charset val="238"/>
        <scheme val="minor"/>
      </rPr>
      <t xml:space="preserve"> k 31.5.2023 </t>
    </r>
    <r>
      <rPr>
        <sz val="9"/>
        <color theme="1"/>
        <rFont val="Calibri"/>
        <family val="2"/>
        <charset val="238"/>
        <scheme val="minor"/>
      </rPr>
      <t xml:space="preserve">                                               (</t>
    </r>
    <r>
      <rPr>
        <u/>
        <sz val="9"/>
        <color theme="1"/>
        <rFont val="Calibri"/>
        <family val="2"/>
        <charset val="238"/>
        <scheme val="minor"/>
      </rPr>
      <t>podtržení  zvýrazňuje rozdíly mezi oběma LP</t>
    </r>
    <r>
      <rPr>
        <sz val="9"/>
        <color theme="1"/>
        <rFont val="Calibri"/>
        <family val="2"/>
        <charset val="238"/>
        <scheme val="minor"/>
      </rPr>
      <t>,                                                                      PI = inhibitor proteazomu,                                                          IMiDs = imunomodulační látky, mAb = monoklonální protilátka)</t>
    </r>
  </si>
  <si>
    <r>
      <t>* riziko rozvoje</t>
    </r>
    <r>
      <rPr>
        <u/>
        <sz val="9"/>
        <color theme="1"/>
        <rFont val="Calibri"/>
        <family val="2"/>
        <charset val="238"/>
        <scheme val="minor"/>
      </rPr>
      <t xml:space="preserve"> sy z uvolnění cytokinů (tzv. CRS)</t>
    </r>
    <r>
      <rPr>
        <sz val="9"/>
        <color theme="1"/>
        <rFont val="Calibri"/>
        <family val="2"/>
        <charset val="238"/>
        <scheme val="minor"/>
      </rPr>
      <t>,                      * riziko rozvoje závažné nebo život ohrožující neurol. toxicity včetně</t>
    </r>
    <r>
      <rPr>
        <u/>
        <sz val="9"/>
        <color theme="1"/>
        <rFont val="Calibri"/>
        <family val="2"/>
        <charset val="238"/>
        <scheme val="minor"/>
      </rPr>
      <t xml:space="preserve"> sy neurotox. asociované s imunitními efektorovými buňkami (tzv. ICANS)</t>
    </r>
    <r>
      <rPr>
        <sz val="9"/>
        <color theme="1"/>
        <rFont val="Calibri"/>
        <family val="2"/>
        <charset val="238"/>
        <scheme val="minor"/>
      </rPr>
      <t xml:space="preserve">,                         * </t>
    </r>
    <r>
      <rPr>
        <u/>
        <sz val="9"/>
        <color theme="1"/>
        <rFont val="Calibri"/>
        <family val="2"/>
        <charset val="238"/>
        <scheme val="minor"/>
      </rPr>
      <t>riz. rozvoje závaž.infekcí</t>
    </r>
    <r>
      <rPr>
        <sz val="9"/>
        <color theme="1"/>
        <rFont val="Calibri"/>
        <family val="2"/>
        <charset val="238"/>
        <scheme val="minor"/>
      </rPr>
      <t xml:space="preserve"> (vč. PML, reakt. hep.B,                                        *</t>
    </r>
    <r>
      <rPr>
        <u/>
        <sz val="9"/>
        <color theme="1"/>
        <rFont val="Calibri"/>
        <family val="2"/>
        <charset val="238"/>
        <scheme val="minor"/>
      </rPr>
      <t xml:space="preserve"> riz. rozvoje hypogamaglobulinemie, neutropenie</t>
    </r>
    <r>
      <rPr>
        <sz val="9"/>
        <color theme="1"/>
        <rFont val="Calibri"/>
        <family val="2"/>
        <charset val="238"/>
        <scheme val="minor"/>
      </rPr>
      <t xml:space="preserve">,  * riz. </t>
    </r>
    <r>
      <rPr>
        <u/>
        <sz val="9"/>
        <color theme="1"/>
        <rFont val="Calibri"/>
        <family val="2"/>
        <charset val="238"/>
        <scheme val="minor"/>
      </rPr>
      <t xml:space="preserve">inhibice enzymů CYP450 při uvolnění cytokinů </t>
    </r>
    <r>
      <rPr>
        <sz val="9"/>
        <color theme="1"/>
        <rFont val="Calibri"/>
        <family val="2"/>
        <charset val="238"/>
        <scheme val="minor"/>
      </rPr>
      <t>(hlavně při step-up schématu)</t>
    </r>
  </si>
  <si>
    <r>
      <t xml:space="preserve">* </t>
    </r>
    <r>
      <rPr>
        <u/>
        <sz val="9"/>
        <color theme="1"/>
        <rFont val="Calibri"/>
        <family val="2"/>
        <charset val="238"/>
        <scheme val="minor"/>
      </rPr>
      <t>riziko NÚ na rohovku (</t>
    </r>
    <r>
      <rPr>
        <sz val="9"/>
        <color theme="1"/>
        <rFont val="Calibri"/>
        <family val="2"/>
        <charset val="238"/>
        <scheme val="minor"/>
      </rPr>
      <t xml:space="preserve">keratopatie, epitel. změny s příznaky změny zrak.ostrosti, sy suchého oka),                               * </t>
    </r>
    <r>
      <rPr>
        <u/>
        <sz val="9"/>
        <color theme="1"/>
        <rFont val="Calibri"/>
        <family val="2"/>
        <charset val="238"/>
        <scheme val="minor"/>
      </rPr>
      <t>riziko trombocytopenie, pneumonitidy</t>
    </r>
    <r>
      <rPr>
        <sz val="9"/>
        <color theme="1"/>
        <rFont val="Calibri"/>
        <family val="2"/>
        <charset val="238"/>
        <scheme val="minor"/>
      </rPr>
      <t xml:space="preserve">,                             * </t>
    </r>
    <r>
      <rPr>
        <u/>
        <sz val="9"/>
        <color theme="1"/>
        <rFont val="Calibri"/>
        <family val="2"/>
        <charset val="238"/>
        <scheme val="minor"/>
      </rPr>
      <t>riziko reakcí souvisejících s infuzí</t>
    </r>
    <r>
      <rPr>
        <sz val="9"/>
        <color theme="1"/>
        <rFont val="Calibri"/>
        <family val="2"/>
        <charset val="238"/>
        <scheme val="minor"/>
      </rPr>
      <t xml:space="preserve"> (většina byla jen 1.-2.stupně)</t>
    </r>
  </si>
  <si>
    <r>
      <rPr>
        <b/>
        <sz val="12"/>
        <color theme="1"/>
        <rFont val="Calibri"/>
        <family val="2"/>
        <charset val="238"/>
        <scheme val="minor"/>
      </rPr>
      <t xml:space="preserve">KI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</t>
    </r>
    <r>
      <rPr>
        <sz val="9"/>
        <color theme="1"/>
        <rFont val="Calibri"/>
        <family val="2"/>
        <charset val="238"/>
        <scheme val="minor"/>
      </rPr>
      <t>(kromě hypersenzitivity na účinnou či pomoc. látku</t>
    </r>
    <r>
      <rPr>
        <sz val="11"/>
        <color theme="1"/>
        <rFont val="Calibri"/>
        <family val="2"/>
        <charset val="238"/>
        <scheme val="minor"/>
      </rPr>
      <t xml:space="preserve">)                                </t>
    </r>
    <r>
      <rPr>
        <b/>
        <sz val="11"/>
        <color theme="1"/>
        <rFont val="Calibri"/>
        <family val="2"/>
        <charset val="238"/>
        <scheme val="minor"/>
      </rPr>
      <t>dle SPC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</si>
  <si>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cena za léčbu 1 pac. vč. dalších nákl. dle uváděná doby terapie                               </t>
    </r>
    <r>
      <rPr>
        <sz val="9"/>
        <color theme="1"/>
        <rFont val="Calibri"/>
        <family val="2"/>
        <charset val="238"/>
        <scheme val="minor"/>
      </rPr>
      <t xml:space="preserve">(tj. náklady za aplik., léčbu NÚ (pro 75kg pac.), manag. nemoci, premed., atd., </t>
    </r>
    <r>
      <rPr>
        <u/>
        <sz val="9"/>
        <color theme="1"/>
        <rFont val="Calibri"/>
        <family val="2"/>
        <charset val="238"/>
        <scheme val="minor"/>
      </rPr>
      <t>kromě nákl. po progresi</t>
    </r>
    <r>
      <rPr>
        <sz val="9"/>
        <color theme="1"/>
        <rFont val="Calibri"/>
        <family val="2"/>
        <charset val="238"/>
        <scheme val="minor"/>
      </rPr>
      <t xml:space="preserve"> - viz také pozn. 38 a 45)</t>
    </r>
  </si>
  <si>
    <r>
      <rPr>
        <b/>
        <sz val="16"/>
        <color theme="1"/>
        <rFont val="Calibri"/>
        <family val="2"/>
        <charset val="238"/>
        <scheme val="minor"/>
      </rPr>
      <t xml:space="preserve">TECVAYLI </t>
    </r>
    <r>
      <rPr>
        <b/>
        <sz val="12"/>
        <color theme="1"/>
        <rFont val="Calibri"/>
        <family val="2"/>
        <charset val="238"/>
        <scheme val="minor"/>
      </rPr>
      <t>monoterapie-délka terapie 12 měsíců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1.5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>(pro těl. hm. do 99kg)</t>
    </r>
  </si>
  <si>
    <r>
      <rPr>
        <u/>
        <sz val="9"/>
        <color theme="1"/>
        <rFont val="Calibri"/>
        <family val="2"/>
        <charset val="238"/>
        <scheme val="minor"/>
      </rPr>
      <t>doba terap. dle</t>
    </r>
    <r>
      <rPr>
        <u/>
        <vertAlign val="superscript"/>
        <sz val="9"/>
        <color theme="1"/>
        <rFont val="Calibri"/>
        <family val="2"/>
        <charset val="238"/>
        <scheme val="minor"/>
      </rPr>
      <t>8</t>
    </r>
    <r>
      <rPr>
        <u/>
        <sz val="9"/>
        <color theme="1"/>
        <rFont val="Calibri"/>
        <family val="2"/>
        <charset val="238"/>
        <scheme val="minor"/>
      </rPr>
      <t xml:space="preserve">: </t>
    </r>
    <r>
      <rPr>
        <sz val="9"/>
        <color theme="1"/>
        <rFont val="Calibri"/>
        <family val="2"/>
        <charset val="238"/>
        <scheme val="minor"/>
      </rPr>
      <t xml:space="preserve">medián </t>
    </r>
    <r>
      <rPr>
        <u/>
        <sz val="9"/>
        <color theme="1"/>
        <rFont val="Calibri"/>
        <family val="2"/>
        <charset val="238"/>
        <scheme val="minor"/>
      </rPr>
      <t xml:space="preserve">ze 165 pac. </t>
    </r>
    <r>
      <rPr>
        <sz val="9"/>
        <color theme="1"/>
        <rFont val="Calibri"/>
        <family val="2"/>
        <charset val="238"/>
        <scheme val="minor"/>
      </rPr>
      <t xml:space="preserve">- 8,5 měsíce (10 cyklů po 21 dnech), rozmezí délky terapie bylo 0,2 až 24,4 měsíce) - </t>
    </r>
    <r>
      <rPr>
        <u/>
        <sz val="9"/>
        <color theme="1"/>
        <rFont val="Calibri"/>
        <family val="2"/>
        <charset val="238"/>
        <scheme val="minor"/>
      </rPr>
      <t xml:space="preserve">35,2% pacientů užívalo teklistamab minimálně 12 měíců </t>
    </r>
    <r>
      <rPr>
        <sz val="9"/>
        <color theme="1"/>
        <rFont val="Calibri"/>
        <family val="2"/>
        <charset val="238"/>
        <scheme val="minor"/>
      </rPr>
      <t xml:space="preserve">a 6,1% min. 18 měsíců, </t>
    </r>
    <r>
      <rPr>
        <u/>
        <sz val="9"/>
        <color theme="1"/>
        <rFont val="Calibri"/>
        <family val="2"/>
        <charset val="238"/>
        <scheme val="minor"/>
      </rPr>
      <t>RDI dle</t>
    </r>
    <r>
      <rPr>
        <u/>
        <vertAlign val="superscript"/>
        <sz val="9"/>
        <color theme="1"/>
        <rFont val="Calibri"/>
        <family val="2"/>
        <charset val="238"/>
        <scheme val="minor"/>
      </rPr>
      <t>8</t>
    </r>
    <r>
      <rPr>
        <u/>
        <sz val="9"/>
        <color theme="1"/>
        <rFont val="Calibri"/>
        <family val="2"/>
        <charset val="238"/>
        <scheme val="minor"/>
      </rPr>
      <t>: medián - 93,7%, míra ukončení pro NÚ či odmítnutí pac. dle</t>
    </r>
    <r>
      <rPr>
        <u/>
        <vertAlign val="superscript"/>
        <sz val="9"/>
        <color theme="1"/>
        <rFont val="Calibri"/>
        <family val="2"/>
        <charset val="238"/>
        <scheme val="minor"/>
      </rPr>
      <t>8</t>
    </r>
    <r>
      <rPr>
        <u/>
        <sz val="9"/>
        <color theme="1"/>
        <rFont val="Calibri"/>
        <family val="2"/>
        <charset val="238"/>
        <scheme val="minor"/>
      </rPr>
      <t>: 4,2%</t>
    </r>
  </si>
  <si>
    <r>
      <t>BLENREP</t>
    </r>
    <r>
      <rPr>
        <b/>
        <sz val="12"/>
        <color theme="1"/>
        <rFont val="Calibri"/>
        <family val="2"/>
        <charset val="238"/>
        <scheme val="minor"/>
      </rPr>
      <t xml:space="preserve"> monoterapie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 (pro těl. hmot. do 80 kg)</t>
    </r>
  </si>
  <si>
    <r>
      <t>BLENREP</t>
    </r>
    <r>
      <rPr>
        <b/>
        <sz val="12"/>
        <color theme="1"/>
        <rFont val="Calibri"/>
        <family val="2"/>
        <charset val="238"/>
        <scheme val="minor"/>
      </rPr>
      <t xml:space="preserve"> monoterapie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(pro těl. hmot. nad 80 kg)</t>
    </r>
  </si>
  <si>
    <r>
      <rPr>
        <b/>
        <sz val="16"/>
        <color theme="1"/>
        <rFont val="Calibri"/>
        <family val="2"/>
        <charset val="238"/>
        <scheme val="minor"/>
      </rPr>
      <t xml:space="preserve">TECVAYLI </t>
    </r>
    <r>
      <rPr>
        <b/>
        <sz val="12"/>
        <color theme="1"/>
        <rFont val="Calibri"/>
        <family val="2"/>
        <charset val="238"/>
        <scheme val="minor"/>
      </rPr>
      <t>monoterapie                               (pro těl. hmot. do 99 kg)</t>
    </r>
  </si>
  <si>
    <r>
      <t xml:space="preserve">Oční vyšetření, včetně vyšetření zrakové ostrosti a vyšetření štěrbinovou lampou, musí být provedeno před zahájením léčby, před každým ze tří následujících léčebných cyklů a během léčby, pokud je klinicky indikováno. Pacientům je třeba sdělit, aby během léčby používali </t>
    </r>
    <r>
      <rPr>
        <u/>
        <sz val="9"/>
        <color theme="1"/>
        <rFont val="Calibri"/>
        <family val="2"/>
        <charset val="238"/>
        <scheme val="minor"/>
      </rPr>
      <t>nejméně 4x denně umělé slzy</t>
    </r>
    <r>
      <rPr>
        <u/>
        <vertAlign val="superscript"/>
        <sz val="9"/>
        <color theme="1"/>
        <rFont val="Calibri"/>
        <family val="2"/>
        <charset val="238"/>
        <scheme val="minor"/>
      </rPr>
      <t xml:space="preserve">37 </t>
    </r>
    <r>
      <rPr>
        <u/>
        <sz val="9"/>
        <color theme="1"/>
        <rFont val="Calibri"/>
        <family val="2"/>
        <charset val="238"/>
        <scheme val="minor"/>
      </rPr>
      <t>bez konzervačních látek</t>
    </r>
    <r>
      <rPr>
        <sz val="9"/>
        <color theme="1"/>
        <rFont val="Calibri"/>
        <family val="2"/>
        <charset val="238"/>
        <scheme val="minor"/>
      </rPr>
      <t>. Pac. se musí do konce léčby vyhýbat používání kontaktních čoček.</t>
    </r>
  </si>
  <si>
    <r>
      <t>dávkování dle SPC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  <r>
      <rPr>
        <b/>
        <sz val="11"/>
        <color theme="1"/>
        <rFont val="Calibri"/>
        <family val="2"/>
        <charset val="238"/>
        <scheme val="minor"/>
      </rPr>
      <t xml:space="preserve">, délka podávání a RDI dle zdrojů z příslušných poznámek          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 (u high dose dexam. dle studie, pro účely přepočtů: 1 měsíc = 30,42 dne)</t>
    </r>
  </si>
  <si>
    <r>
      <t xml:space="preserve">LÉKOVÝ REŽIM                 </t>
    </r>
    <r>
      <rPr>
        <b/>
        <sz val="9"/>
        <color theme="1"/>
        <rFont val="Calibri"/>
        <family val="2"/>
        <charset val="238"/>
        <scheme val="minor"/>
      </rPr>
      <t xml:space="preserve">   (posuzovaný je zvýrazněn v modrých odstínech podbarvení)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</si>
</sst>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#,##0\ &quot;Kč&quot;;[Red]\-#,##0\ &quot;Kč&quot;"/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  <numFmt numFmtId="166" formatCode="0.0"/>
    <numFmt numFmtId="167" formatCode="0.0%"/>
    <numFmt numFmtId="168" formatCode="0.000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b/>
      <u/>
      <vertAlign val="superscript"/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vertAlign val="superscript"/>
      <sz val="9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vertAlign val="superscript"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1"/>
      <name val="Tahoma"/>
      <charset val="1"/>
    </font>
    <font>
      <b/>
      <sz val="11"/>
      <color theme="0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2" fillId="0" borderId="0"/>
    <xf numFmtId="0" fontId="23" fillId="0" borderId="0"/>
  </cellStyleXfs>
  <cellXfs count="163">
    <xf numFmtId="0" fontId="0" fillId="0" borderId="0" xfId="0"/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0" fillId="0" borderId="0" xfId="0" applyNumberFormat="1"/>
    <xf numFmtId="10" fontId="0" fillId="0" borderId="17" xfId="0" applyNumberFormat="1" applyBorder="1"/>
    <xf numFmtId="0" fontId="6" fillId="4" borderId="19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5" borderId="0" xfId="0" applyFont="1" applyFill="1"/>
    <xf numFmtId="0" fontId="0" fillId="5" borderId="0" xfId="0" applyFill="1"/>
    <xf numFmtId="0" fontId="16" fillId="5" borderId="0" xfId="0" applyFont="1" applyFill="1"/>
    <xf numFmtId="0" fontId="15" fillId="5" borderId="0" xfId="0" applyFont="1" applyFill="1"/>
    <xf numFmtId="0" fontId="15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/>
    </xf>
    <xf numFmtId="6" fontId="15" fillId="5" borderId="0" xfId="0" applyNumberFormat="1" applyFont="1" applyFill="1" applyAlignment="1">
      <alignment horizontal="center"/>
    </xf>
    <xf numFmtId="0" fontId="0" fillId="0" borderId="25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0" fontId="0" fillId="0" borderId="16" xfId="0" applyNumberFormat="1" applyBorder="1"/>
    <xf numFmtId="10" fontId="0" fillId="0" borderId="30" xfId="0" applyNumberFormat="1" applyBorder="1"/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6" fillId="0" borderId="0" xfId="0" applyFont="1"/>
    <xf numFmtId="10" fontId="0" fillId="0" borderId="31" xfId="0" applyNumberFormat="1" applyBorder="1"/>
    <xf numFmtId="0" fontId="6" fillId="0" borderId="12" xfId="0" applyFont="1" applyFill="1" applyBorder="1" applyAlignment="1">
      <alignment horizontal="center" vertical="center" wrapText="1"/>
    </xf>
    <xf numFmtId="165" fontId="0" fillId="0" borderId="0" xfId="0" applyNumberFormat="1"/>
    <xf numFmtId="0" fontId="6" fillId="0" borderId="12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0" fillId="0" borderId="33" xfId="0" applyNumberFormat="1" applyBorder="1" applyAlignment="1"/>
    <xf numFmtId="10" fontId="0" fillId="0" borderId="35" xfId="0" applyNumberFormat="1" applyBorder="1" applyAlignment="1"/>
    <xf numFmtId="0" fontId="6" fillId="4" borderId="1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164" fontId="3" fillId="4" borderId="21" xfId="1" applyNumberFormat="1" applyFont="1" applyFill="1" applyBorder="1" applyAlignment="1">
      <alignment horizontal="center" vertical="center"/>
    </xf>
    <xf numFmtId="164" fontId="3" fillId="4" borderId="6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6" fillId="9" borderId="19" xfId="0" applyFont="1" applyFill="1" applyBorder="1" applyAlignment="1">
      <alignment horizontal="center" vertical="center" wrapText="1"/>
    </xf>
    <xf numFmtId="167" fontId="10" fillId="0" borderId="0" xfId="0" applyNumberFormat="1" applyFont="1" applyBorder="1" applyAlignment="1">
      <alignment horizontal="center" vertical="center"/>
    </xf>
    <xf numFmtId="165" fontId="18" fillId="9" borderId="27" xfId="0" applyNumberFormat="1" applyFont="1" applyFill="1" applyBorder="1" applyAlignment="1">
      <alignment horizontal="center" vertical="center"/>
    </xf>
    <xf numFmtId="10" fontId="0" fillId="0" borderId="11" xfId="0" applyNumberFormat="1" applyBorder="1" applyAlignment="1"/>
    <xf numFmtId="168" fontId="18" fillId="9" borderId="1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8" borderId="11" xfId="0" applyFont="1" applyFill="1" applyBorder="1" applyAlignment="1">
      <alignment horizontal="center" vertical="center" wrapText="1"/>
    </xf>
    <xf numFmtId="165" fontId="13" fillId="7" borderId="11" xfId="0" applyNumberFormat="1" applyFont="1" applyFill="1" applyBorder="1" applyAlignment="1">
      <alignment horizontal="center" vertical="center"/>
    </xf>
    <xf numFmtId="9" fontId="10" fillId="0" borderId="36" xfId="0" applyNumberFormat="1" applyFont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9" fontId="10" fillId="0" borderId="38" xfId="0" applyNumberFormat="1" applyFont="1" applyBorder="1" applyAlignment="1">
      <alignment horizontal="center" vertical="center"/>
    </xf>
    <xf numFmtId="165" fontId="13" fillId="7" borderId="31" xfId="0" applyNumberFormat="1" applyFont="1" applyFill="1" applyBorder="1" applyAlignment="1">
      <alignment horizontal="center" vertical="center"/>
    </xf>
    <xf numFmtId="165" fontId="13" fillId="7" borderId="29" xfId="0" applyNumberFormat="1" applyFont="1" applyFill="1" applyBorder="1" applyAlignment="1">
      <alignment horizontal="center" vertical="center"/>
    </xf>
    <xf numFmtId="166" fontId="18" fillId="4" borderId="29" xfId="0" applyNumberFormat="1" applyFont="1" applyFill="1" applyBorder="1" applyAlignment="1">
      <alignment horizontal="center" vertical="center"/>
    </xf>
    <xf numFmtId="165" fontId="13" fillId="7" borderId="30" xfId="0" applyNumberFormat="1" applyFont="1" applyFill="1" applyBorder="1" applyAlignment="1">
      <alignment horizontal="center" vertical="center"/>
    </xf>
    <xf numFmtId="165" fontId="13" fillId="7" borderId="32" xfId="0" applyNumberFormat="1" applyFont="1" applyFill="1" applyBorder="1" applyAlignment="1">
      <alignment horizontal="center" vertical="center"/>
    </xf>
    <xf numFmtId="166" fontId="18" fillId="4" borderId="29" xfId="0" applyNumberFormat="1" applyFont="1" applyFill="1" applyBorder="1" applyAlignment="1">
      <alignment horizontal="center" vertical="center"/>
    </xf>
    <xf numFmtId="165" fontId="13" fillId="7" borderId="30" xfId="0" applyNumberFormat="1" applyFont="1" applyFill="1" applyBorder="1" applyAlignment="1">
      <alignment horizontal="center" vertical="center"/>
    </xf>
    <xf numFmtId="165" fontId="13" fillId="7" borderId="29" xfId="0" applyNumberFormat="1" applyFont="1" applyFill="1" applyBorder="1" applyAlignment="1">
      <alignment horizontal="center" vertical="center"/>
    </xf>
    <xf numFmtId="165" fontId="18" fillId="0" borderId="30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9" borderId="12" xfId="0" applyNumberFormat="1" applyFont="1" applyFill="1" applyBorder="1" applyAlignment="1">
      <alignment horizontal="center" vertical="center"/>
    </xf>
    <xf numFmtId="164" fontId="3" fillId="9" borderId="26" xfId="1" applyNumberFormat="1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 wrapText="1"/>
    </xf>
    <xf numFmtId="164" fontId="3" fillId="4" borderId="5" xfId="1" applyNumberFormat="1" applyFont="1" applyFill="1" applyBorder="1" applyAlignment="1">
      <alignment vertical="center"/>
    </xf>
    <xf numFmtId="0" fontId="10" fillId="9" borderId="37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9" borderId="12" xfId="0" applyFont="1" applyFill="1" applyBorder="1" applyAlignment="1">
      <alignment horizontal="left" vertical="center" wrapText="1"/>
    </xf>
    <xf numFmtId="165" fontId="14" fillId="11" borderId="7" xfId="0" applyNumberFormat="1" applyFont="1" applyFill="1" applyBorder="1" applyAlignment="1">
      <alignment horizontal="center" vertical="center"/>
    </xf>
    <xf numFmtId="0" fontId="25" fillId="10" borderId="20" xfId="0" applyFont="1" applyFill="1" applyBorder="1" applyAlignment="1">
      <alignment horizontal="center" vertical="center" wrapText="1"/>
    </xf>
    <xf numFmtId="165" fontId="14" fillId="11" borderId="40" xfId="0" applyNumberFormat="1" applyFont="1" applyFill="1" applyBorder="1" applyAlignment="1">
      <alignment horizontal="center" vertical="center"/>
    </xf>
    <xf numFmtId="10" fontId="0" fillId="0" borderId="30" xfId="0" applyNumberFormat="1" applyBorder="1" applyAlignment="1"/>
    <xf numFmtId="9" fontId="10" fillId="0" borderId="0" xfId="0" applyNumberFormat="1" applyFont="1" applyBorder="1" applyAlignment="1">
      <alignment horizontal="center" vertical="center"/>
    </xf>
    <xf numFmtId="0" fontId="2" fillId="12" borderId="11" xfId="0" applyFont="1" applyFill="1" applyBorder="1" applyAlignment="1">
      <alignment horizontal="center" vertical="center" wrapText="1"/>
    </xf>
    <xf numFmtId="0" fontId="6" fillId="12" borderId="19" xfId="0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horizontal="left" vertical="center" wrapText="1"/>
    </xf>
    <xf numFmtId="164" fontId="3" fillId="12" borderId="12" xfId="1" applyNumberFormat="1" applyFont="1" applyFill="1" applyBorder="1" applyAlignment="1">
      <alignment vertical="center"/>
    </xf>
    <xf numFmtId="164" fontId="3" fillId="12" borderId="26" xfId="1" applyNumberFormat="1" applyFont="1" applyFill="1" applyBorder="1" applyAlignment="1">
      <alignment horizontal="center" vertical="center"/>
    </xf>
    <xf numFmtId="165" fontId="18" fillId="12" borderId="41" xfId="0" applyNumberFormat="1" applyFont="1" applyFill="1" applyBorder="1" applyAlignment="1">
      <alignment horizontal="center" vertical="center"/>
    </xf>
    <xf numFmtId="165" fontId="27" fillId="7" borderId="29" xfId="0" applyNumberFormat="1" applyFont="1" applyFill="1" applyBorder="1" applyAlignment="1">
      <alignment horizontal="center" vertical="center"/>
    </xf>
    <xf numFmtId="165" fontId="13" fillId="10" borderId="31" xfId="0" applyNumberFormat="1" applyFont="1" applyFill="1" applyBorder="1" applyAlignment="1">
      <alignment horizontal="center" vertical="center"/>
    </xf>
    <xf numFmtId="165" fontId="13" fillId="10" borderId="29" xfId="0" applyNumberFormat="1" applyFont="1" applyFill="1" applyBorder="1" applyAlignment="1">
      <alignment horizontal="center" vertical="center"/>
    </xf>
    <xf numFmtId="165" fontId="13" fillId="10" borderId="42" xfId="0" applyNumberFormat="1" applyFont="1" applyFill="1" applyBorder="1" applyAlignment="1">
      <alignment horizontal="center" vertical="center"/>
    </xf>
    <xf numFmtId="165" fontId="28" fillId="10" borderId="40" xfId="0" applyNumberFormat="1" applyFont="1" applyFill="1" applyBorder="1" applyAlignment="1">
      <alignment horizontal="center" vertical="center"/>
    </xf>
    <xf numFmtId="0" fontId="2" fillId="13" borderId="20" xfId="0" applyFont="1" applyFill="1" applyBorder="1" applyAlignment="1">
      <alignment horizontal="center" vertical="center" wrapText="1"/>
    </xf>
    <xf numFmtId="9" fontId="10" fillId="0" borderId="1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9" fontId="10" fillId="0" borderId="29" xfId="0" applyNumberFormat="1" applyFont="1" applyBorder="1" applyAlignment="1">
      <alignment horizontal="center" vertical="center"/>
    </xf>
    <xf numFmtId="165" fontId="18" fillId="0" borderId="30" xfId="0" applyNumberFormat="1" applyFont="1" applyBorder="1" applyAlignment="1">
      <alignment horizontal="center" vertical="center"/>
    </xf>
    <xf numFmtId="165" fontId="18" fillId="0" borderId="29" xfId="0" applyNumberFormat="1" applyFont="1" applyBorder="1" applyAlignment="1">
      <alignment horizontal="center" vertical="center"/>
    </xf>
    <xf numFmtId="9" fontId="10" fillId="0" borderId="38" xfId="0" applyNumberFormat="1" applyFont="1" applyBorder="1" applyAlignment="1">
      <alignment horizontal="center" vertical="center"/>
    </xf>
    <xf numFmtId="9" fontId="10" fillId="0" borderId="39" xfId="0" applyNumberFormat="1" applyFont="1" applyBorder="1" applyAlignment="1">
      <alignment horizontal="center" vertical="center"/>
    </xf>
    <xf numFmtId="166" fontId="14" fillId="11" borderId="30" xfId="0" applyNumberFormat="1" applyFont="1" applyFill="1" applyBorder="1" applyAlignment="1">
      <alignment horizontal="center" vertical="center"/>
    </xf>
    <xf numFmtId="166" fontId="14" fillId="11" borderId="29" xfId="0" applyNumberFormat="1" applyFont="1" applyFill="1" applyBorder="1" applyAlignment="1">
      <alignment horizontal="center" vertical="center"/>
    </xf>
    <xf numFmtId="165" fontId="13" fillId="7" borderId="31" xfId="0" applyNumberFormat="1" applyFont="1" applyFill="1" applyBorder="1" applyAlignment="1">
      <alignment horizontal="center" vertical="center"/>
    </xf>
    <xf numFmtId="165" fontId="13" fillId="7" borderId="29" xfId="0" applyNumberFormat="1" applyFont="1" applyFill="1" applyBorder="1" applyAlignment="1">
      <alignment horizontal="center" vertical="center"/>
    </xf>
    <xf numFmtId="165" fontId="18" fillId="4" borderId="31" xfId="0" applyNumberFormat="1" applyFont="1" applyFill="1" applyBorder="1" applyAlignment="1">
      <alignment horizontal="center" vertical="center"/>
    </xf>
    <xf numFmtId="165" fontId="18" fillId="4" borderId="29" xfId="0" applyNumberFormat="1" applyFont="1" applyFill="1" applyBorder="1" applyAlignment="1">
      <alignment horizontal="center" vertical="center"/>
    </xf>
    <xf numFmtId="166" fontId="18" fillId="4" borderId="31" xfId="0" applyNumberFormat="1" applyFont="1" applyFill="1" applyBorder="1" applyAlignment="1">
      <alignment horizontal="center" vertical="center"/>
    </xf>
    <xf numFmtId="166" fontId="18" fillId="4" borderId="29" xfId="0" applyNumberFormat="1" applyFont="1" applyFill="1" applyBorder="1" applyAlignment="1">
      <alignment horizontal="center" vertical="center"/>
    </xf>
    <xf numFmtId="165" fontId="14" fillId="11" borderId="31" xfId="0" applyNumberFormat="1" applyFont="1" applyFill="1" applyBorder="1" applyAlignment="1">
      <alignment horizontal="center" vertical="center"/>
    </xf>
    <xf numFmtId="165" fontId="14" fillId="11" borderId="29" xfId="0" applyNumberFormat="1" applyFont="1" applyFill="1" applyBorder="1" applyAlignment="1">
      <alignment horizontal="center" vertical="center"/>
    </xf>
    <xf numFmtId="165" fontId="13" fillId="7" borderId="32" xfId="0" applyNumberFormat="1" applyFont="1" applyFill="1" applyBorder="1" applyAlignment="1">
      <alignment horizontal="center" vertical="center"/>
    </xf>
    <xf numFmtId="165" fontId="13" fillId="7" borderId="30" xfId="0" applyNumberFormat="1" applyFont="1" applyFill="1" applyBorder="1" applyAlignment="1">
      <alignment horizontal="center" vertical="center"/>
    </xf>
    <xf numFmtId="166" fontId="14" fillId="11" borderId="32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166" fontId="18" fillId="0" borderId="30" xfId="0" applyNumberFormat="1" applyFont="1" applyBorder="1" applyAlignment="1">
      <alignment horizontal="center" vertical="center"/>
    </xf>
    <xf numFmtId="166" fontId="18" fillId="0" borderId="29" xfId="0" applyNumberFormat="1" applyFont="1" applyBorder="1" applyAlignment="1">
      <alignment horizontal="center" vertical="center"/>
    </xf>
    <xf numFmtId="166" fontId="14" fillId="11" borderId="31" xfId="0" applyNumberFormat="1" applyFont="1" applyFill="1" applyBorder="1" applyAlignment="1">
      <alignment horizontal="center" vertical="center"/>
    </xf>
    <xf numFmtId="165" fontId="18" fillId="0" borderId="32" xfId="0" applyNumberFormat="1" applyFont="1" applyBorder="1" applyAlignment="1">
      <alignment horizontal="center" vertical="center"/>
    </xf>
    <xf numFmtId="166" fontId="18" fillId="0" borderId="32" xfId="0" applyNumberFormat="1" applyFont="1" applyBorder="1" applyAlignment="1">
      <alignment horizontal="center" vertical="center"/>
    </xf>
    <xf numFmtId="165" fontId="18" fillId="0" borderId="31" xfId="0" applyNumberFormat="1" applyFont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13" fillId="0" borderId="3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center" vertical="center"/>
    </xf>
    <xf numFmtId="166" fontId="18" fillId="0" borderId="30" xfId="0" applyNumberFormat="1" applyFont="1" applyBorder="1" applyAlignment="1">
      <alignment vertical="center"/>
    </xf>
    <xf numFmtId="165" fontId="28" fillId="10" borderId="30" xfId="0" applyNumberFormat="1" applyFont="1" applyFill="1" applyBorder="1" applyAlignment="1">
      <alignment horizontal="center" vertical="center"/>
    </xf>
    <xf numFmtId="165" fontId="14" fillId="11" borderId="30" xfId="0" applyNumberFormat="1" applyFont="1" applyFill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5" fontId="18" fillId="0" borderId="33" xfId="0" applyNumberFormat="1" applyFont="1" applyBorder="1" applyAlignment="1">
      <alignment horizontal="center" vertical="center"/>
    </xf>
    <xf numFmtId="166" fontId="18" fillId="0" borderId="33" xfId="0" applyNumberFormat="1" applyFont="1" applyBorder="1" applyAlignment="1">
      <alignment vertical="center"/>
    </xf>
    <xf numFmtId="165" fontId="13" fillId="7" borderId="33" xfId="0" applyNumberFormat="1" applyFont="1" applyFill="1" applyBorder="1" applyAlignment="1">
      <alignment horizontal="center" vertical="center"/>
    </xf>
    <xf numFmtId="165" fontId="28" fillId="10" borderId="33" xfId="0" applyNumberFormat="1" applyFont="1" applyFill="1" applyBorder="1" applyAlignment="1">
      <alignment horizontal="center" vertical="center"/>
    </xf>
    <xf numFmtId="165" fontId="14" fillId="11" borderId="3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12" borderId="8" xfId="0" applyFont="1" applyFill="1" applyBorder="1" applyAlignment="1">
      <alignment vertical="center" wrapText="1"/>
    </xf>
    <xf numFmtId="167" fontId="10" fillId="0" borderId="11" xfId="0" applyNumberFormat="1" applyFont="1" applyBorder="1" applyAlignment="1">
      <alignment horizontal="center" vertical="center"/>
    </xf>
    <xf numFmtId="167" fontId="10" fillId="0" borderId="11" xfId="0" applyNumberFormat="1" applyFont="1" applyBorder="1" applyAlignment="1">
      <alignment horizontal="center" vertical="center"/>
    </xf>
    <xf numFmtId="167" fontId="10" fillId="0" borderId="29" xfId="0" applyNumberFormat="1" applyFont="1" applyBorder="1" applyAlignment="1">
      <alignment horizontal="center" vertical="center"/>
    </xf>
  </cellXfs>
  <cellStyles count="4">
    <cellStyle name="Excel Built-in Normal" xfId="3"/>
    <cellStyle name="Měna" xfId="1" builtinId="4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0</xdr:row>
      <xdr:rowOff>104775</xdr:rowOff>
    </xdr:from>
    <xdr:to>
      <xdr:col>34</xdr:col>
      <xdr:colOff>35718</xdr:colOff>
      <xdr:row>62</xdr:row>
      <xdr:rowOff>23812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09549" y="104775"/>
          <a:ext cx="20471607" cy="116705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20</xdr:col>
      <xdr:colOff>471487</xdr:colOff>
      <xdr:row>22</xdr:row>
      <xdr:rowOff>190499</xdr:rowOff>
    </xdr:from>
    <xdr:to>
      <xdr:col>25</xdr:col>
      <xdr:colOff>452436</xdr:colOff>
      <xdr:row>24</xdr:row>
      <xdr:rowOff>190499</xdr:rowOff>
    </xdr:to>
    <xdr:sp macro="" textlink="">
      <xdr:nvSpPr>
        <xdr:cNvPr id="9" name="Ovál 8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SpPr/>
      </xdr:nvSpPr>
      <xdr:spPr>
        <a:xfrm>
          <a:off x="12615862" y="4321968"/>
          <a:ext cx="3017043" cy="38100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18</xdr:col>
      <xdr:colOff>559592</xdr:colOff>
      <xdr:row>28</xdr:row>
      <xdr:rowOff>166688</xdr:rowOff>
    </xdr:from>
    <xdr:to>
      <xdr:col>24</xdr:col>
      <xdr:colOff>119062</xdr:colOff>
      <xdr:row>30</xdr:row>
      <xdr:rowOff>119063</xdr:rowOff>
    </xdr:to>
    <xdr:sp macro="" textlink="">
      <xdr:nvSpPr>
        <xdr:cNvPr id="12" name="Ovál 11">
          <a:extLst>
            <a:ext uri="{FF2B5EF4-FFF2-40B4-BE49-F238E27FC236}">
              <a16:creationId xmlns="" xmlns:a16="http://schemas.microsoft.com/office/drawing/2014/main" id="{00000000-0008-0000-0600-00000C000000}"/>
            </a:ext>
          </a:extLst>
        </xdr:cNvPr>
        <xdr:cNvSpPr/>
      </xdr:nvSpPr>
      <xdr:spPr>
        <a:xfrm>
          <a:off x="11489530" y="5441157"/>
          <a:ext cx="3202782" cy="3333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20</xdr:col>
      <xdr:colOff>267230</xdr:colOff>
      <xdr:row>32</xdr:row>
      <xdr:rowOff>112448</xdr:rowOff>
    </xdr:from>
    <xdr:to>
      <xdr:col>26</xdr:col>
      <xdr:colOff>320146</xdr:colOff>
      <xdr:row>35</xdr:row>
      <xdr:rowOff>59531</xdr:rowOff>
    </xdr:to>
    <xdr:sp macro="" textlink="">
      <xdr:nvSpPr>
        <xdr:cNvPr id="15" name="Ovál 14">
          <a:extLst>
            <a:ext uri="{FF2B5EF4-FFF2-40B4-BE49-F238E27FC236}">
              <a16:creationId xmlns="" xmlns:a16="http://schemas.microsoft.com/office/drawing/2014/main" id="{00000000-0008-0000-0600-00000F000000}"/>
            </a:ext>
          </a:extLst>
        </xdr:cNvPr>
        <xdr:cNvSpPr/>
      </xdr:nvSpPr>
      <xdr:spPr>
        <a:xfrm>
          <a:off x="12411605" y="6148917"/>
          <a:ext cx="3696229" cy="51858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18</xdr:col>
      <xdr:colOff>243418</xdr:colOff>
      <xdr:row>35</xdr:row>
      <xdr:rowOff>177270</xdr:rowOff>
    </xdr:from>
    <xdr:to>
      <xdr:col>28</xdr:col>
      <xdr:colOff>497417</xdr:colOff>
      <xdr:row>38</xdr:row>
      <xdr:rowOff>124355</xdr:rowOff>
    </xdr:to>
    <xdr:sp macro="" textlink="">
      <xdr:nvSpPr>
        <xdr:cNvPr id="16" name="Ovál 15">
          <a:extLst>
            <a:ext uri="{FF2B5EF4-FFF2-40B4-BE49-F238E27FC236}">
              <a16:creationId xmlns="" xmlns:a16="http://schemas.microsoft.com/office/drawing/2014/main" id="{00000000-0008-0000-0600-000010000000}"/>
            </a:ext>
          </a:extLst>
        </xdr:cNvPr>
        <xdr:cNvSpPr/>
      </xdr:nvSpPr>
      <xdr:spPr>
        <a:xfrm>
          <a:off x="11173356" y="6785239"/>
          <a:ext cx="6326186" cy="51858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 editAs="oneCell">
    <xdr:from>
      <xdr:col>1</xdr:col>
      <xdr:colOff>273843</xdr:colOff>
      <xdr:row>2</xdr:row>
      <xdr:rowOff>178594</xdr:rowOff>
    </xdr:from>
    <xdr:to>
      <xdr:col>12</xdr:col>
      <xdr:colOff>540543</xdr:colOff>
      <xdr:row>26</xdr:row>
      <xdr:rowOff>157163</xdr:rowOff>
    </xdr:to>
    <xdr:pic>
      <xdr:nvPicPr>
        <xdr:cNvPr id="20" name="Obrázek 19">
          <a:extLst>
            <a:ext uri="{FF2B5EF4-FFF2-40B4-BE49-F238E27FC236}">
              <a16:creationId xmlns="" xmlns:a16="http://schemas.microsoft.com/office/drawing/2014/main" id="{00000000-0008-0000-0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" y="500063"/>
          <a:ext cx="6946106" cy="4550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154782</xdr:colOff>
      <xdr:row>15</xdr:row>
      <xdr:rowOff>142875</xdr:rowOff>
    </xdr:from>
    <xdr:to>
      <xdr:col>12</xdr:col>
      <xdr:colOff>517259</xdr:colOff>
      <xdr:row>26</xdr:row>
      <xdr:rowOff>119062</xdr:rowOff>
    </xdr:to>
    <xdr:sp macro="" textlink="">
      <xdr:nvSpPr>
        <xdr:cNvPr id="21" name="Ovál 20">
          <a:extLst>
            <a:ext uri="{FF2B5EF4-FFF2-40B4-BE49-F238E27FC236}">
              <a16:creationId xmlns="" xmlns:a16="http://schemas.microsoft.com/office/drawing/2014/main" id="{00000000-0008-0000-0600-000015000000}"/>
            </a:ext>
          </a:extLst>
        </xdr:cNvPr>
        <xdr:cNvSpPr/>
      </xdr:nvSpPr>
      <xdr:spPr>
        <a:xfrm>
          <a:off x="4405313" y="2940844"/>
          <a:ext cx="3398571" cy="2071687"/>
        </a:xfrm>
        <a:prstGeom prst="ellipse">
          <a:avLst/>
        </a:prstGeom>
        <a:noFill/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 editAs="oneCell">
    <xdr:from>
      <xdr:col>2</xdr:col>
      <xdr:colOff>488156</xdr:colOff>
      <xdr:row>27</xdr:row>
      <xdr:rowOff>178594</xdr:rowOff>
    </xdr:from>
    <xdr:to>
      <xdr:col>15</xdr:col>
      <xdr:colOff>516732</xdr:colOff>
      <xdr:row>60</xdr:row>
      <xdr:rowOff>138113</xdr:rowOff>
    </xdr:to>
    <xdr:pic>
      <xdr:nvPicPr>
        <xdr:cNvPr id="22" name="Obrázek 21">
          <a:extLst>
            <a:ext uri="{FF2B5EF4-FFF2-40B4-BE49-F238E27FC236}">
              <a16:creationId xmlns=""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594" y="5262563"/>
          <a:ext cx="7922419" cy="6246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381000</xdr:colOff>
      <xdr:row>43</xdr:row>
      <xdr:rowOff>71437</xdr:rowOff>
    </xdr:from>
    <xdr:to>
      <xdr:col>15</xdr:col>
      <xdr:colOff>166688</xdr:colOff>
      <xdr:row>45</xdr:row>
      <xdr:rowOff>178594</xdr:rowOff>
    </xdr:to>
    <xdr:sp macro="" textlink="">
      <xdr:nvSpPr>
        <xdr:cNvPr id="5" name="TextovéPole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5238750" y="8203406"/>
          <a:ext cx="4036219" cy="488157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000" b="1"/>
            <a:t>VGPR</a:t>
          </a:r>
          <a:r>
            <a:rPr lang="cs-CZ" sz="1000" b="1" baseline="0"/>
            <a:t> - velmi dobrá částečná odpověď  , VGPR or better = sCR+CR+VGPR</a:t>
          </a:r>
        </a:p>
        <a:p>
          <a:r>
            <a:rPr lang="cs-CZ" sz="1000" b="1" baseline="0"/>
            <a:t>sCR - striktní úplná  léčebná odpověď</a:t>
          </a:r>
          <a:endParaRPr lang="cs-CZ" sz="1000" b="1"/>
        </a:p>
      </xdr:txBody>
    </xdr:sp>
    <xdr:clientData/>
  </xdr:twoCellAnchor>
  <xdr:twoCellAnchor editAs="oneCell">
    <xdr:from>
      <xdr:col>15</xdr:col>
      <xdr:colOff>107156</xdr:colOff>
      <xdr:row>3</xdr:row>
      <xdr:rowOff>178593</xdr:rowOff>
    </xdr:from>
    <xdr:to>
      <xdr:col>21</xdr:col>
      <xdr:colOff>192881</xdr:colOff>
      <xdr:row>18</xdr:row>
      <xdr:rowOff>61912</xdr:rowOff>
    </xdr:to>
    <xdr:pic>
      <xdr:nvPicPr>
        <xdr:cNvPr id="23" name="Obrázek 22">
          <a:extLst>
            <a:ext uri="{FF2B5EF4-FFF2-40B4-BE49-F238E27FC236}">
              <a16:creationId xmlns=""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5437" y="690562"/>
          <a:ext cx="3729038" cy="2740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476250</xdr:colOff>
      <xdr:row>3</xdr:row>
      <xdr:rowOff>154782</xdr:rowOff>
    </xdr:from>
    <xdr:to>
      <xdr:col>27</xdr:col>
      <xdr:colOff>561976</xdr:colOff>
      <xdr:row>18</xdr:row>
      <xdr:rowOff>66676</xdr:rowOff>
    </xdr:to>
    <xdr:pic>
      <xdr:nvPicPr>
        <xdr:cNvPr id="24" name="Obrázek 23">
          <a:extLst>
            <a:ext uri="{FF2B5EF4-FFF2-40B4-BE49-F238E27FC236}">
              <a16:creationId xmlns="" xmlns:a16="http://schemas.microsoft.com/office/drawing/2014/main" id="{00000000-0008-0000-0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7844" y="666751"/>
          <a:ext cx="3729038" cy="27693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501386</xdr:colOff>
      <xdr:row>45</xdr:row>
      <xdr:rowOff>11907</xdr:rowOff>
    </xdr:from>
    <xdr:to>
      <xdr:col>24</xdr:col>
      <xdr:colOff>515315</xdr:colOff>
      <xdr:row>58</xdr:row>
      <xdr:rowOff>148167</xdr:rowOff>
    </xdr:to>
    <xdr:pic>
      <xdr:nvPicPr>
        <xdr:cNvPr id="13" name="Obrázek 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2719" y="8531490"/>
          <a:ext cx="4924596" cy="2612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114299</xdr:rowOff>
    </xdr:from>
    <xdr:to>
      <xdr:col>25</xdr:col>
      <xdr:colOff>552450</xdr:colOff>
      <xdr:row>57</xdr:row>
      <xdr:rowOff>179917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09550" y="114299"/>
          <a:ext cx="15688733" cy="109241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 editAs="oneCell">
    <xdr:from>
      <xdr:col>1</xdr:col>
      <xdr:colOff>228599</xdr:colOff>
      <xdr:row>2</xdr:row>
      <xdr:rowOff>38100</xdr:rowOff>
    </xdr:from>
    <xdr:to>
      <xdr:col>13</xdr:col>
      <xdr:colOff>314324</xdr:colOff>
      <xdr:row>15</xdr:row>
      <xdr:rowOff>57150</xdr:rowOff>
    </xdr:to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199" y="419100"/>
          <a:ext cx="7400925" cy="24955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171450</xdr:colOff>
      <xdr:row>10</xdr:row>
      <xdr:rowOff>28575</xdr:rowOff>
    </xdr:from>
    <xdr:to>
      <xdr:col>5</xdr:col>
      <xdr:colOff>95250</xdr:colOff>
      <xdr:row>11</xdr:row>
      <xdr:rowOff>0</xdr:rowOff>
    </xdr:to>
    <xdr:sp macro="" textlink="">
      <xdr:nvSpPr>
        <xdr:cNvPr id="4" name="Ovál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>
        <a:xfrm>
          <a:off x="781050" y="1933575"/>
          <a:ext cx="2362200" cy="1619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4</xdr:col>
      <xdr:colOff>295275</xdr:colOff>
      <xdr:row>11</xdr:row>
      <xdr:rowOff>76201</xdr:rowOff>
    </xdr:from>
    <xdr:to>
      <xdr:col>9</xdr:col>
      <xdr:colOff>9525</xdr:colOff>
      <xdr:row>12</xdr:row>
      <xdr:rowOff>66675</xdr:rowOff>
    </xdr:to>
    <xdr:sp macro="" textlink="">
      <xdr:nvSpPr>
        <xdr:cNvPr id="5" name="TextovéPole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2733675" y="2171701"/>
          <a:ext cx="2762250" cy="1809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cs-CZ" sz="1000" b="1"/>
            <a:t>(BLENREP)</a:t>
          </a:r>
        </a:p>
      </xdr:txBody>
    </xdr:sp>
    <xdr:clientData/>
  </xdr:twoCellAnchor>
  <xdr:twoCellAnchor>
    <xdr:from>
      <xdr:col>4</xdr:col>
      <xdr:colOff>238125</xdr:colOff>
      <xdr:row>8</xdr:row>
      <xdr:rowOff>180975</xdr:rowOff>
    </xdr:from>
    <xdr:to>
      <xdr:col>4</xdr:col>
      <xdr:colOff>283844</xdr:colOff>
      <xdr:row>9</xdr:row>
      <xdr:rowOff>171450</xdr:rowOff>
    </xdr:to>
    <xdr:sp macro="" textlink="">
      <xdr:nvSpPr>
        <xdr:cNvPr id="6" name="Pravá složená závorka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/>
      </xdr:nvSpPr>
      <xdr:spPr>
        <a:xfrm>
          <a:off x="2676525" y="1704975"/>
          <a:ext cx="45719" cy="1809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4</xdr:col>
      <xdr:colOff>390525</xdr:colOff>
      <xdr:row>9</xdr:row>
      <xdr:rowOff>9525</xdr:rowOff>
    </xdr:from>
    <xdr:to>
      <xdr:col>6</xdr:col>
      <xdr:colOff>304800</xdr:colOff>
      <xdr:row>9</xdr:row>
      <xdr:rowOff>171450</xdr:rowOff>
    </xdr:to>
    <xdr:sp macro="" textlink="">
      <xdr:nvSpPr>
        <xdr:cNvPr id="7" name="TextovéPole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2828925" y="1724025"/>
          <a:ext cx="1133475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cs-CZ" sz="1000" b="1"/>
            <a:t>CAR-T terapie</a:t>
          </a:r>
        </a:p>
      </xdr:txBody>
    </xdr:sp>
    <xdr:clientData/>
  </xdr:twoCellAnchor>
  <xdr:twoCellAnchor editAs="oneCell">
    <xdr:from>
      <xdr:col>1</xdr:col>
      <xdr:colOff>238125</xdr:colOff>
      <xdr:row>15</xdr:row>
      <xdr:rowOff>66675</xdr:rowOff>
    </xdr:from>
    <xdr:to>
      <xdr:col>13</xdr:col>
      <xdr:colOff>419100</xdr:colOff>
      <xdr:row>19</xdr:row>
      <xdr:rowOff>144316</xdr:rowOff>
    </xdr:to>
    <xdr:pic>
      <xdr:nvPicPr>
        <xdr:cNvPr id="8" name="Obrázek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2924175"/>
          <a:ext cx="7496175" cy="839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314325</xdr:colOff>
      <xdr:row>16</xdr:row>
      <xdr:rowOff>57150</xdr:rowOff>
    </xdr:from>
    <xdr:to>
      <xdr:col>13</xdr:col>
      <xdr:colOff>523875</xdr:colOff>
      <xdr:row>18</xdr:row>
      <xdr:rowOff>47625</xdr:rowOff>
    </xdr:to>
    <xdr:sp macro="" textlink="">
      <xdr:nvSpPr>
        <xdr:cNvPr id="9" name="Ovál 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/>
      </xdr:nvSpPr>
      <xdr:spPr>
        <a:xfrm>
          <a:off x="3971925" y="3105150"/>
          <a:ext cx="4476750" cy="3714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5</xdr:col>
      <xdr:colOff>514350</xdr:colOff>
      <xdr:row>4</xdr:row>
      <xdr:rowOff>76199</xdr:rowOff>
    </xdr:from>
    <xdr:to>
      <xdr:col>13</xdr:col>
      <xdr:colOff>152401</xdr:colOff>
      <xdr:row>7</xdr:row>
      <xdr:rowOff>123825</xdr:rowOff>
    </xdr:to>
    <xdr:sp macro="" textlink="">
      <xdr:nvSpPr>
        <xdr:cNvPr id="10" name="TextovéPole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3562350" y="838199"/>
          <a:ext cx="4514851" cy="61912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cs-CZ" sz="850" b="1" u="sng"/>
            <a:t>V ČR je</a:t>
          </a:r>
          <a:r>
            <a:rPr lang="cs-CZ" sz="850" b="1" u="sng" baseline="0"/>
            <a:t> léčba bendamustinem ve vyšších liních off-label</a:t>
          </a:r>
          <a:r>
            <a:rPr lang="cs-CZ" sz="850" b="1" baseline="0"/>
            <a:t>, dle SPC: "</a:t>
          </a:r>
          <a:r>
            <a:rPr lang="cs-CZ" sz="850" b="1" i="1" baseline="0"/>
            <a:t>l</a:t>
          </a:r>
          <a:r>
            <a:rPr lang="cs-CZ" sz="850" b="1" i="1"/>
            <a:t>éčba první linie MM (stadia II s progresí nebo stadia III dle Durie-Salmona) v kombinaci s prednisonem u pacientů starších 65 let, pro které není vhodná autologní transplantace kmenových buněk a kteří v době diagnózy trpí klinickou neuropatií, což vylučuje použití terapie obsahující thalidomid nebo bortezomib</a:t>
          </a:r>
          <a:r>
            <a:rPr lang="cs-CZ" sz="850" b="1"/>
            <a:t>" </a:t>
          </a:r>
        </a:p>
      </xdr:txBody>
    </xdr:sp>
    <xdr:clientData/>
  </xdr:twoCellAnchor>
  <xdr:twoCellAnchor editAs="oneCell">
    <xdr:from>
      <xdr:col>13</xdr:col>
      <xdr:colOff>560917</xdr:colOff>
      <xdr:row>1</xdr:row>
      <xdr:rowOff>74083</xdr:rowOff>
    </xdr:from>
    <xdr:to>
      <xdr:col>25</xdr:col>
      <xdr:colOff>42334</xdr:colOff>
      <xdr:row>33</xdr:row>
      <xdr:rowOff>26458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0750" y="264583"/>
          <a:ext cx="6847417" cy="604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190500</xdr:colOff>
      <xdr:row>1</xdr:row>
      <xdr:rowOff>31750</xdr:rowOff>
    </xdr:from>
    <xdr:to>
      <xdr:col>19</xdr:col>
      <xdr:colOff>582084</xdr:colOff>
      <xdr:row>2</xdr:row>
      <xdr:rowOff>137584</xdr:rowOff>
    </xdr:to>
    <xdr:sp macro="" textlink="">
      <xdr:nvSpPr>
        <xdr:cNvPr id="12" name="TextovéPole 11"/>
        <xdr:cNvSpPr txBox="1"/>
      </xdr:nvSpPr>
      <xdr:spPr>
        <a:xfrm>
          <a:off x="10625667" y="222250"/>
          <a:ext cx="1619250" cy="296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/>
            <a:t>Dle zdroje pod pozn. 51</a:t>
          </a:r>
        </a:p>
      </xdr:txBody>
    </xdr:sp>
    <xdr:clientData/>
  </xdr:twoCellAnchor>
  <xdr:twoCellAnchor editAs="oneCell">
    <xdr:from>
      <xdr:col>4</xdr:col>
      <xdr:colOff>275166</xdr:colOff>
      <xdr:row>22</xdr:row>
      <xdr:rowOff>127000</xdr:rowOff>
    </xdr:from>
    <xdr:to>
      <xdr:col>13</xdr:col>
      <xdr:colOff>63499</xdr:colOff>
      <xdr:row>53</xdr:row>
      <xdr:rowOff>179374</xdr:rowOff>
    </xdr:to>
    <xdr:pic>
      <xdr:nvPicPr>
        <xdr:cNvPr id="13" name="Obrázek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499" y="4318000"/>
          <a:ext cx="5312833" cy="5957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42332</xdr:colOff>
      <xdr:row>22</xdr:row>
      <xdr:rowOff>84666</xdr:rowOff>
    </xdr:from>
    <xdr:to>
      <xdr:col>7</xdr:col>
      <xdr:colOff>433916</xdr:colOff>
      <xdr:row>24</xdr:row>
      <xdr:rowOff>0</xdr:rowOff>
    </xdr:to>
    <xdr:sp macro="" textlink="">
      <xdr:nvSpPr>
        <xdr:cNvPr id="14" name="TextovéPole 13"/>
        <xdr:cNvSpPr txBox="1"/>
      </xdr:nvSpPr>
      <xdr:spPr>
        <a:xfrm>
          <a:off x="3111499" y="4275666"/>
          <a:ext cx="1619250" cy="296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/>
            <a:t>Dle zdroje pod pozn. 52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abSelected="1" zoomScale="90" zoomScaleNormal="9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B20" sqref="B20"/>
    </sheetView>
  </sheetViews>
  <sheetFormatPr defaultRowHeight="15" x14ac:dyDescent="0.25"/>
  <cols>
    <col min="1" max="1" width="1.5703125" customWidth="1"/>
    <col min="2" max="2" width="23.85546875" customWidth="1"/>
    <col min="3" max="3" width="19.28515625" customWidth="1"/>
    <col min="4" max="4" width="11.85546875" customWidth="1"/>
    <col min="5" max="5" width="37.7109375" customWidth="1"/>
    <col min="6" max="6" width="36.28515625" customWidth="1"/>
    <col min="7" max="7" width="12.85546875" customWidth="1"/>
    <col min="8" max="8" width="13.28515625" customWidth="1"/>
    <col min="9" max="9" width="19" customWidth="1"/>
    <col min="10" max="10" width="13.5703125" hidden="1" customWidth="1"/>
    <col min="11" max="11" width="25.140625" customWidth="1"/>
    <col min="12" max="12" width="20.28515625" customWidth="1"/>
    <col min="13" max="13" width="19.140625" customWidth="1"/>
    <col min="14" max="14" width="7.28515625" customWidth="1"/>
    <col min="15" max="15" width="11.85546875" customWidth="1"/>
    <col min="16" max="16" width="11" customWidth="1"/>
    <col min="17" max="17" width="11.5703125" customWidth="1"/>
    <col min="18" max="18" width="6.7109375" customWidth="1"/>
    <col min="19" max="19" width="12.85546875" customWidth="1"/>
    <col min="20" max="20" width="10.42578125" customWidth="1"/>
    <col min="21" max="21" width="10.5703125" customWidth="1"/>
    <col min="22" max="22" width="10" customWidth="1"/>
    <col min="23" max="23" width="11.7109375" customWidth="1"/>
    <col min="24" max="24" width="11.85546875" customWidth="1"/>
    <col min="25" max="26" width="11.7109375" customWidth="1"/>
    <col min="27" max="29" width="12" bestFit="1" customWidth="1"/>
  </cols>
  <sheetData>
    <row r="1" spans="2:29" ht="3.75" customHeight="1" thickBot="1" x14ac:dyDescent="0.3">
      <c r="B1" s="127"/>
      <c r="C1" s="127"/>
      <c r="D1" s="127"/>
      <c r="E1" s="127"/>
      <c r="F1" s="127"/>
      <c r="G1" s="127"/>
      <c r="H1" s="127"/>
      <c r="I1" s="127"/>
      <c r="J1" s="127"/>
      <c r="K1" s="47"/>
      <c r="L1" s="47"/>
      <c r="M1" s="47"/>
      <c r="N1" s="47"/>
    </row>
    <row r="2" spans="2:29" ht="0.75" hidden="1" customHeight="1" thickBot="1" x14ac:dyDescent="0.3"/>
    <row r="3" spans="2:29" ht="94.5" customHeight="1" thickTop="1" thickBot="1" x14ac:dyDescent="0.3">
      <c r="B3" s="1" t="s">
        <v>85</v>
      </c>
      <c r="C3" s="1" t="s">
        <v>5</v>
      </c>
      <c r="D3" s="6" t="s">
        <v>1</v>
      </c>
      <c r="E3" s="2" t="s">
        <v>84</v>
      </c>
      <c r="F3" s="2" t="s">
        <v>12</v>
      </c>
      <c r="G3" s="8" t="s">
        <v>33</v>
      </c>
      <c r="H3" s="8" t="s">
        <v>35</v>
      </c>
      <c r="I3" s="15" t="s">
        <v>55</v>
      </c>
      <c r="J3" s="15" t="s">
        <v>3</v>
      </c>
      <c r="K3" s="16" t="s">
        <v>77</v>
      </c>
      <c r="L3" s="105" t="s">
        <v>63</v>
      </c>
      <c r="M3" s="90" t="s">
        <v>57</v>
      </c>
      <c r="N3" s="7" t="s">
        <v>2</v>
      </c>
      <c r="P3" s="51" t="s">
        <v>18</v>
      </c>
      <c r="Q3" s="51" t="s">
        <v>19</v>
      </c>
      <c r="R3" s="67" t="s">
        <v>31</v>
      </c>
      <c r="S3" s="67" t="s">
        <v>32</v>
      </c>
      <c r="T3" s="51" t="s">
        <v>27</v>
      </c>
      <c r="U3" s="51" t="s">
        <v>28</v>
      </c>
      <c r="V3" s="51" t="s">
        <v>29</v>
      </c>
      <c r="W3" s="51" t="s">
        <v>30</v>
      </c>
      <c r="X3" s="51"/>
      <c r="Y3" s="51"/>
      <c r="Z3" s="51"/>
      <c r="AA3" s="51"/>
      <c r="AB3" s="51"/>
      <c r="AC3" s="51"/>
    </row>
    <row r="4" spans="2:29" ht="30.75" hidden="1" customHeight="1" thickTop="1" thickBot="1" x14ac:dyDescent="0.3">
      <c r="B4" s="128" t="s">
        <v>11</v>
      </c>
      <c r="C4" s="45" t="s">
        <v>10</v>
      </c>
      <c r="D4" s="17" t="s">
        <v>4</v>
      </c>
      <c r="E4" s="27" t="s">
        <v>13</v>
      </c>
      <c r="F4" s="32" t="s">
        <v>20</v>
      </c>
      <c r="G4" s="35">
        <v>116714.25</v>
      </c>
      <c r="H4" s="39">
        <f t="shared" ref="H4:H5" si="0">G4-O4</f>
        <v>116714.25</v>
      </c>
      <c r="I4" s="133">
        <f>((H4*3*0.84)+((H4/21)*0.84))+(((H5/20)*8*3*0.79)+((H5/20)*2*0.79))</f>
        <v>299349.37604999996</v>
      </c>
      <c r="J4" s="134">
        <f t="shared" ref="J4:J10" si="1">I4/P4</f>
        <v>1</v>
      </c>
      <c r="K4" s="124">
        <f>(I4+(3.04*(T4+U4+V4+W4+X4+Y4)))</f>
        <v>324771.79556999996</v>
      </c>
      <c r="L4" s="76"/>
      <c r="M4" s="126"/>
      <c r="N4" s="10">
        <v>0</v>
      </c>
      <c r="O4" s="9">
        <f>N4*G4</f>
        <v>0</v>
      </c>
      <c r="P4" s="43">
        <f>I4</f>
        <v>299349.37604999996</v>
      </c>
      <c r="Q4" s="43">
        <f>K4</f>
        <v>324771.79556999996</v>
      </c>
      <c r="R4" s="108"/>
      <c r="S4" s="109">
        <f>I4/K4</f>
        <v>0.92172220658699244</v>
      </c>
      <c r="T4" s="70">
        <f>(16.69/60)*28</f>
        <v>7.7886666666666668</v>
      </c>
      <c r="U4" s="70">
        <f>48.12/20*28*2</f>
        <v>134.73599999999999</v>
      </c>
      <c r="V4" s="70">
        <f>224.62/42*28*2</f>
        <v>299.49333333333334</v>
      </c>
      <c r="W4" s="107">
        <f>2624+5296.62</f>
        <v>7920.62</v>
      </c>
      <c r="X4" s="107">
        <v>0</v>
      </c>
      <c r="Y4" s="107">
        <v>0</v>
      </c>
    </row>
    <row r="5" spans="2:29" ht="46.5" hidden="1" customHeight="1" thickTop="1" thickBot="1" x14ac:dyDescent="0.3">
      <c r="B5" s="129"/>
      <c r="C5" s="46" t="s">
        <v>9</v>
      </c>
      <c r="D5" s="28" t="s">
        <v>6</v>
      </c>
      <c r="E5" s="31" t="s">
        <v>14</v>
      </c>
      <c r="F5" s="31" t="s">
        <v>21</v>
      </c>
      <c r="G5" s="36">
        <v>546.15</v>
      </c>
      <c r="H5" s="38">
        <f t="shared" si="0"/>
        <v>546.15</v>
      </c>
      <c r="I5" s="111"/>
      <c r="J5" s="131"/>
      <c r="K5" s="125"/>
      <c r="L5" s="75"/>
      <c r="M5" s="114"/>
      <c r="N5" s="10">
        <v>0</v>
      </c>
      <c r="O5" s="9">
        <f t="shared" ref="O5:O8" si="2">N5*G5</f>
        <v>0</v>
      </c>
      <c r="R5" s="108"/>
      <c r="S5" s="106"/>
      <c r="T5" s="70">
        <f t="shared" ref="T5:T18" si="3">(16.69/60)*28</f>
        <v>7.7886666666666668</v>
      </c>
      <c r="U5" s="70">
        <f t="shared" ref="U5:U18" si="4">48.12/20*28*2</f>
        <v>134.73599999999999</v>
      </c>
      <c r="V5" s="70">
        <f t="shared" ref="V5:V18" si="5">224.62/42*28*2</f>
        <v>299.49333333333334</v>
      </c>
      <c r="W5" s="107"/>
      <c r="X5" s="107"/>
      <c r="Y5" s="107"/>
    </row>
    <row r="6" spans="2:29" ht="30" hidden="1" customHeight="1" thickTop="1" thickBot="1" x14ac:dyDescent="0.3">
      <c r="B6" s="128" t="s">
        <v>11</v>
      </c>
      <c r="C6" s="45" t="s">
        <v>10</v>
      </c>
      <c r="D6" s="17" t="s">
        <v>4</v>
      </c>
      <c r="E6" s="27" t="s">
        <v>15</v>
      </c>
      <c r="F6" s="32" t="s">
        <v>20</v>
      </c>
      <c r="G6" s="35">
        <v>116714.25</v>
      </c>
      <c r="H6" s="39">
        <f t="shared" ref="H6:H7" si="6">G6-O6</f>
        <v>116714.25</v>
      </c>
      <c r="I6" s="110">
        <f>((H6*8*0.84)+((H6/21)*0.84))+(((H7/20)*8*8*0.79)+((H7/20)*2*0.79))</f>
        <v>790412.14304999996</v>
      </c>
      <c r="J6" s="130">
        <f t="shared" si="1"/>
        <v>2.6404335745733385</v>
      </c>
      <c r="K6" s="116">
        <f>(I6+(8.04*(T6+U6+V6+W6+X6+Y6)))</f>
        <v>857647.7525699999</v>
      </c>
      <c r="L6" s="72"/>
      <c r="M6" s="132"/>
      <c r="N6" s="41">
        <v>0</v>
      </c>
      <c r="O6" s="9">
        <f t="shared" ref="O6:O7" si="7">N6*G6</f>
        <v>0</v>
      </c>
      <c r="P6" s="43">
        <f>I4</f>
        <v>299349.37604999996</v>
      </c>
      <c r="Q6" s="43">
        <f>Q4</f>
        <v>324771.79556999996</v>
      </c>
      <c r="S6" s="106">
        <f t="shared" ref="S6" si="8">I6/K6</f>
        <v>0.92160463393214309</v>
      </c>
      <c r="T6" s="70">
        <f t="shared" si="3"/>
        <v>7.7886666666666668</v>
      </c>
      <c r="U6" s="70">
        <f t="shared" si="4"/>
        <v>134.73599999999999</v>
      </c>
      <c r="V6" s="70">
        <f t="shared" si="5"/>
        <v>299.49333333333334</v>
      </c>
      <c r="W6" s="107">
        <f>W4</f>
        <v>7920.62</v>
      </c>
      <c r="X6" s="107">
        <v>0</v>
      </c>
      <c r="Y6" s="107">
        <v>0</v>
      </c>
    </row>
    <row r="7" spans="2:29" ht="46.5" hidden="1" customHeight="1" thickTop="1" thickBot="1" x14ac:dyDescent="0.3">
      <c r="B7" s="129"/>
      <c r="C7" s="46" t="s">
        <v>9</v>
      </c>
      <c r="D7" s="28" t="s">
        <v>6</v>
      </c>
      <c r="E7" s="42" t="s">
        <v>16</v>
      </c>
      <c r="F7" s="44" t="s">
        <v>21</v>
      </c>
      <c r="G7" s="36">
        <v>546.15</v>
      </c>
      <c r="H7" s="38">
        <f t="shared" si="6"/>
        <v>546.15</v>
      </c>
      <c r="I7" s="110"/>
      <c r="J7" s="131"/>
      <c r="K7" s="117"/>
      <c r="L7" s="73"/>
      <c r="M7" s="115"/>
      <c r="N7" s="29">
        <v>0</v>
      </c>
      <c r="O7" s="9">
        <f t="shared" si="7"/>
        <v>0</v>
      </c>
      <c r="S7" s="106"/>
      <c r="T7" s="70">
        <f t="shared" si="3"/>
        <v>7.7886666666666668</v>
      </c>
      <c r="U7" s="70">
        <f t="shared" si="4"/>
        <v>134.73599999999999</v>
      </c>
      <c r="V7" s="70">
        <f t="shared" si="5"/>
        <v>299.49333333333334</v>
      </c>
      <c r="W7" s="107"/>
      <c r="X7" s="107"/>
      <c r="Y7" s="107"/>
    </row>
    <row r="8" spans="2:29" ht="32.25" hidden="1" customHeight="1" thickTop="1" thickBot="1" x14ac:dyDescent="0.3">
      <c r="B8" s="128" t="s">
        <v>7</v>
      </c>
      <c r="C8" s="45" t="s">
        <v>10</v>
      </c>
      <c r="D8" s="17" t="s">
        <v>4</v>
      </c>
      <c r="E8" s="27" t="s">
        <v>22</v>
      </c>
      <c r="F8" s="32" t="s">
        <v>20</v>
      </c>
      <c r="G8" s="35">
        <v>116714.25</v>
      </c>
      <c r="H8" s="39">
        <f t="shared" ref="H8:H9" si="9">G8-O8</f>
        <v>116714.25</v>
      </c>
      <c r="I8" s="135">
        <f>((H8*5*0.87))+(((H9/20)*8*5*0.87))</f>
        <v>508657.28849999997</v>
      </c>
      <c r="J8" s="130">
        <f t="shared" si="1"/>
        <v>1.6992094495464709</v>
      </c>
      <c r="K8" s="116">
        <f>(I8+(4.89*(T8+U8+V8+W8+X8+Y8)))</f>
        <v>549550.58831999998</v>
      </c>
      <c r="L8" s="75"/>
      <c r="M8" s="114"/>
      <c r="N8" s="41">
        <v>0</v>
      </c>
      <c r="O8" s="9">
        <f t="shared" si="2"/>
        <v>0</v>
      </c>
      <c r="P8" s="43">
        <f>I4</f>
        <v>299349.37604999996</v>
      </c>
      <c r="Q8" s="43">
        <f>Q6</f>
        <v>324771.79556999996</v>
      </c>
      <c r="S8" s="106">
        <f t="shared" ref="S8" si="10">I8/K8</f>
        <v>0.9255877426225444</v>
      </c>
      <c r="T8" s="70">
        <f t="shared" si="3"/>
        <v>7.7886666666666668</v>
      </c>
      <c r="U8" s="70">
        <f t="shared" si="4"/>
        <v>134.73599999999999</v>
      </c>
      <c r="V8" s="70">
        <f t="shared" si="5"/>
        <v>299.49333333333334</v>
      </c>
      <c r="W8" s="107">
        <f>W6</f>
        <v>7920.62</v>
      </c>
      <c r="X8" s="107">
        <v>0</v>
      </c>
      <c r="Y8" s="107">
        <v>0</v>
      </c>
    </row>
    <row r="9" spans="2:29" ht="37.5" hidden="1" customHeight="1" thickTop="1" thickBot="1" x14ac:dyDescent="0.3">
      <c r="B9" s="129"/>
      <c r="C9" s="46" t="s">
        <v>9</v>
      </c>
      <c r="D9" s="28" t="s">
        <v>6</v>
      </c>
      <c r="E9" s="34" t="s">
        <v>23</v>
      </c>
      <c r="F9" s="44" t="s">
        <v>21</v>
      </c>
      <c r="G9" s="36">
        <v>546.15</v>
      </c>
      <c r="H9" s="38">
        <f t="shared" si="9"/>
        <v>546.15</v>
      </c>
      <c r="I9" s="111"/>
      <c r="J9" s="131"/>
      <c r="K9" s="117"/>
      <c r="L9" s="73"/>
      <c r="M9" s="115"/>
      <c r="N9" s="29">
        <v>0</v>
      </c>
      <c r="O9" s="9">
        <f t="shared" ref="O9:O10" si="11">N9*G9</f>
        <v>0</v>
      </c>
      <c r="S9" s="106"/>
      <c r="T9" s="70">
        <f t="shared" si="3"/>
        <v>7.7886666666666668</v>
      </c>
      <c r="U9" s="70">
        <f t="shared" si="4"/>
        <v>134.73599999999999</v>
      </c>
      <c r="V9" s="70">
        <f t="shared" si="5"/>
        <v>299.49333333333334</v>
      </c>
      <c r="W9" s="107"/>
      <c r="X9" s="107"/>
      <c r="Y9" s="107"/>
    </row>
    <row r="10" spans="2:29" ht="3" hidden="1" customHeight="1" thickTop="1" thickBot="1" x14ac:dyDescent="0.3">
      <c r="B10" s="128" t="s">
        <v>7</v>
      </c>
      <c r="C10" s="45" t="s">
        <v>10</v>
      </c>
      <c r="D10" s="17" t="s">
        <v>4</v>
      </c>
      <c r="E10" s="27" t="s">
        <v>24</v>
      </c>
      <c r="F10" s="32" t="s">
        <v>20</v>
      </c>
      <c r="G10" s="35">
        <v>116714.25</v>
      </c>
      <c r="H10" s="39">
        <f t="shared" ref="H10:H12" si="12">G10-O10</f>
        <v>116714.25</v>
      </c>
      <c r="I10" s="110">
        <f>((H10*8*0.87)+((H10/21)*17*0.87))+(((H11/20)*8*8*0.87)+((H11/20)*6*0.87))</f>
        <v>896194.38567857142</v>
      </c>
      <c r="J10" s="130">
        <f t="shared" si="1"/>
        <v>2.9938074283103941</v>
      </c>
      <c r="K10" s="116">
        <f>(I10+(8.61*(T10+U10+V10+W10+X10+Y10)))</f>
        <v>968196.69885857136</v>
      </c>
      <c r="L10" s="75"/>
      <c r="M10" s="114"/>
      <c r="N10" s="41">
        <v>0</v>
      </c>
      <c r="O10" s="9">
        <f t="shared" si="11"/>
        <v>0</v>
      </c>
      <c r="P10" s="43">
        <f>I4</f>
        <v>299349.37604999996</v>
      </c>
      <c r="Q10" s="43">
        <f>Q8</f>
        <v>324771.79556999996</v>
      </c>
      <c r="S10" s="106">
        <f t="shared" ref="S10" si="13">I10/K10</f>
        <v>0.92563255662316857</v>
      </c>
      <c r="T10" s="70">
        <f t="shared" si="3"/>
        <v>7.7886666666666668</v>
      </c>
      <c r="U10" s="70">
        <f t="shared" si="4"/>
        <v>134.73599999999999</v>
      </c>
      <c r="V10" s="70">
        <f t="shared" si="5"/>
        <v>299.49333333333334</v>
      </c>
      <c r="W10" s="107">
        <f>W8</f>
        <v>7920.62</v>
      </c>
      <c r="X10" s="107">
        <v>0</v>
      </c>
      <c r="Y10" s="107">
        <v>0</v>
      </c>
    </row>
    <row r="11" spans="2:29" ht="42.75" hidden="1" customHeight="1" thickTop="1" thickBot="1" x14ac:dyDescent="0.3">
      <c r="B11" s="129"/>
      <c r="C11" s="46" t="s">
        <v>9</v>
      </c>
      <c r="D11" s="28" t="s">
        <v>6</v>
      </c>
      <c r="E11" s="49" t="s">
        <v>25</v>
      </c>
      <c r="F11" s="44" t="s">
        <v>21</v>
      </c>
      <c r="G11" s="36">
        <v>546.15</v>
      </c>
      <c r="H11" s="38">
        <f t="shared" si="12"/>
        <v>546.15</v>
      </c>
      <c r="I11" s="111"/>
      <c r="J11" s="131"/>
      <c r="K11" s="117"/>
      <c r="L11" s="73"/>
      <c r="M11" s="115"/>
      <c r="N11" s="29">
        <v>0</v>
      </c>
      <c r="O11" s="9">
        <f t="shared" ref="O11" si="14">N11*G11</f>
        <v>0</v>
      </c>
      <c r="S11" s="106"/>
      <c r="T11" s="70">
        <f t="shared" si="3"/>
        <v>7.7886666666666668</v>
      </c>
      <c r="U11" s="70">
        <f t="shared" si="4"/>
        <v>134.73599999999999</v>
      </c>
      <c r="V11" s="70">
        <f t="shared" si="5"/>
        <v>299.49333333333334</v>
      </c>
      <c r="W11" s="107"/>
      <c r="X11" s="107"/>
      <c r="Y11" s="107"/>
    </row>
    <row r="12" spans="2:29" ht="54.75" customHeight="1" thickTop="1" thickBot="1" x14ac:dyDescent="0.3">
      <c r="B12" s="146" t="s">
        <v>80</v>
      </c>
      <c r="C12" s="50" t="s">
        <v>50</v>
      </c>
      <c r="D12" s="147" t="s">
        <v>51</v>
      </c>
      <c r="E12" s="142" t="s">
        <v>58</v>
      </c>
      <c r="F12" s="142" t="s">
        <v>83</v>
      </c>
      <c r="G12" s="35">
        <v>126016.03</v>
      </c>
      <c r="H12" s="152">
        <f t="shared" si="12"/>
        <v>126016.03</v>
      </c>
      <c r="I12" s="153">
        <f>((2*H12)*3*0.956)</f>
        <v>722827.94807999989</v>
      </c>
      <c r="J12" s="154" t="e">
        <f>I12/P12</f>
        <v>#DIV/0!</v>
      </c>
      <c r="K12" s="155">
        <f>I12+(3*1938)+(3*460)+(3*4000)</f>
        <v>742021.94807999989</v>
      </c>
      <c r="L12" s="156">
        <f>(K12/63)*88.2</f>
        <v>1038830.7273119999</v>
      </c>
      <c r="M12" s="157">
        <f>(K12/63)*30.42</f>
        <v>358290.59778719995</v>
      </c>
      <c r="N12" s="30">
        <v>0</v>
      </c>
      <c r="O12" s="9"/>
      <c r="S12" s="160">
        <f>I12/K12</f>
        <v>0.9741328406125116</v>
      </c>
      <c r="T12" s="70">
        <f t="shared" si="3"/>
        <v>7.7886666666666668</v>
      </c>
      <c r="U12" s="70">
        <f t="shared" si="4"/>
        <v>134.73599999999999</v>
      </c>
      <c r="V12" s="70">
        <f t="shared" si="5"/>
        <v>299.49333333333334</v>
      </c>
      <c r="W12" s="70"/>
      <c r="X12" s="70"/>
      <c r="Y12" s="70"/>
    </row>
    <row r="13" spans="2:29" ht="55.5" customHeight="1" thickTop="1" thickBot="1" x14ac:dyDescent="0.3">
      <c r="B13" s="144" t="s">
        <v>81</v>
      </c>
      <c r="C13" s="17" t="s">
        <v>50</v>
      </c>
      <c r="D13" s="145" t="s">
        <v>51</v>
      </c>
      <c r="E13" s="143"/>
      <c r="F13" s="143"/>
      <c r="G13" s="37">
        <v>126016.03</v>
      </c>
      <c r="H13" s="148">
        <f t="shared" ref="H13" si="15">G13-O13</f>
        <v>126016.03</v>
      </c>
      <c r="I13" s="80">
        <f>((3*H13)*3*0.956)</f>
        <v>1084241.92212</v>
      </c>
      <c r="J13" s="149" t="e">
        <f>I13/P13</f>
        <v>#DIV/0!</v>
      </c>
      <c r="K13" s="78">
        <f>I13+(3*1938)+(3*460)+(3*4000)</f>
        <v>1103435.92212</v>
      </c>
      <c r="L13" s="150">
        <f>(K13/63)*88.2</f>
        <v>1544810.2909680002</v>
      </c>
      <c r="M13" s="151">
        <f>(K13/63)*30.42</f>
        <v>532801.91668080003</v>
      </c>
      <c r="N13" s="30">
        <v>0</v>
      </c>
      <c r="O13" s="9">
        <f t="shared" ref="O13" si="16">N13*G13</f>
        <v>0</v>
      </c>
      <c r="P13" s="43"/>
      <c r="Q13" s="43"/>
      <c r="R13" s="71"/>
      <c r="S13" s="160">
        <f>I13/K13</f>
        <v>0.98260524275562544</v>
      </c>
      <c r="T13" s="70">
        <f t="shared" si="3"/>
        <v>7.7886666666666668</v>
      </c>
      <c r="U13" s="70">
        <f t="shared" si="4"/>
        <v>134.73599999999999</v>
      </c>
      <c r="V13" s="70">
        <f t="shared" si="5"/>
        <v>299.49333333333334</v>
      </c>
      <c r="W13" s="70">
        <v>0</v>
      </c>
      <c r="X13" s="70"/>
      <c r="Y13" s="70">
        <v>0</v>
      </c>
      <c r="Z13" s="70"/>
      <c r="AA13" s="70"/>
    </row>
    <row r="14" spans="2:29" ht="42" customHeight="1" thickTop="1" thickBot="1" x14ac:dyDescent="0.3">
      <c r="B14" s="140" t="s">
        <v>82</v>
      </c>
      <c r="C14" s="84" t="s">
        <v>37</v>
      </c>
      <c r="D14" s="136" t="s">
        <v>36</v>
      </c>
      <c r="E14" s="136" t="s">
        <v>52</v>
      </c>
      <c r="F14" s="138" t="s">
        <v>47</v>
      </c>
      <c r="G14" s="58">
        <v>24462.46</v>
      </c>
      <c r="H14" s="56">
        <f t="shared" ref="H14:H15" si="17">G14-O14</f>
        <v>24462.46</v>
      </c>
      <c r="I14" s="118">
        <f>((H15+(2*H14))*0.937)+((H15*36)*0.937)</f>
        <v>4370621.5080000013</v>
      </c>
      <c r="J14" s="120" t="e">
        <f t="shared" ref="J14" si="18">I14/P14</f>
        <v>#DIV/0!</v>
      </c>
      <c r="K14" s="116">
        <f>(I14+(39*1487)+(8.5*460)+(8.5*3756)+((224.62/42)*2*259)+(((25370.2/4)+(50740.58/4))*0.36))</f>
        <v>4474070.7915333351</v>
      </c>
      <c r="L14" s="101"/>
      <c r="M14" s="122">
        <f>(K14/259)*30.42</f>
        <v>525487.38794766052</v>
      </c>
      <c r="N14" s="52">
        <v>0</v>
      </c>
      <c r="O14" s="9">
        <f t="shared" ref="O14" si="19">N14*G14</f>
        <v>0</v>
      </c>
      <c r="P14" s="43"/>
      <c r="Q14" s="43"/>
      <c r="R14" s="112"/>
      <c r="S14" s="161">
        <f>I14/K14</f>
        <v>0.97687804052428051</v>
      </c>
      <c r="T14" s="70">
        <f t="shared" si="3"/>
        <v>7.7886666666666668</v>
      </c>
      <c r="U14" s="70">
        <f t="shared" si="4"/>
        <v>134.73599999999999</v>
      </c>
      <c r="V14" s="70">
        <f t="shared" si="5"/>
        <v>299.49333333333334</v>
      </c>
      <c r="W14" s="107">
        <v>0</v>
      </c>
      <c r="X14" s="107">
        <v>0</v>
      </c>
      <c r="Y14" s="107"/>
      <c r="AB14" s="107"/>
      <c r="AC14" s="107"/>
    </row>
    <row r="15" spans="2:29" ht="39" customHeight="1" thickTop="1" thickBot="1" x14ac:dyDescent="0.3">
      <c r="B15" s="141"/>
      <c r="C15" s="59" t="s">
        <v>38</v>
      </c>
      <c r="D15" s="137"/>
      <c r="E15" s="137"/>
      <c r="F15" s="139"/>
      <c r="G15" s="85">
        <v>124744.84</v>
      </c>
      <c r="H15" s="57">
        <f t="shared" si="17"/>
        <v>124744.84</v>
      </c>
      <c r="I15" s="119"/>
      <c r="J15" s="121"/>
      <c r="K15" s="117"/>
      <c r="L15" s="102"/>
      <c r="M15" s="123"/>
      <c r="N15" s="53">
        <v>0</v>
      </c>
      <c r="O15" s="9">
        <f t="shared" ref="O15" si="20">N15*G15</f>
        <v>0</v>
      </c>
      <c r="R15" s="113"/>
      <c r="S15" s="161"/>
      <c r="T15" s="70">
        <f t="shared" si="3"/>
        <v>7.7886666666666668</v>
      </c>
      <c r="U15" s="70">
        <f t="shared" si="4"/>
        <v>134.73599999999999</v>
      </c>
      <c r="V15" s="70">
        <f t="shared" si="5"/>
        <v>299.49333333333334</v>
      </c>
      <c r="W15" s="107"/>
      <c r="X15" s="107"/>
      <c r="Y15" s="107"/>
      <c r="AB15" s="107"/>
      <c r="AC15" s="107"/>
    </row>
    <row r="16" spans="2:29" ht="75" customHeight="1" thickTop="1" thickBot="1" x14ac:dyDescent="0.3">
      <c r="B16" s="94" t="s">
        <v>64</v>
      </c>
      <c r="C16" s="95"/>
      <c r="D16" s="95" t="s">
        <v>36</v>
      </c>
      <c r="E16" s="96" t="s">
        <v>60</v>
      </c>
      <c r="F16" s="96"/>
      <c r="G16" s="97"/>
      <c r="H16" s="98"/>
      <c r="I16" s="99"/>
      <c r="J16" s="74"/>
      <c r="K16" s="100"/>
      <c r="L16" s="104">
        <f>(K14/259)*139.93</f>
        <v>2417207.4357500374</v>
      </c>
      <c r="M16" s="91">
        <f>(K14/259)*30.42</f>
        <v>525487.38794766052</v>
      </c>
      <c r="N16" s="92"/>
      <c r="O16" s="9"/>
      <c r="R16" s="93"/>
      <c r="S16" s="162"/>
      <c r="T16" s="70"/>
      <c r="U16" s="70"/>
      <c r="V16" s="70"/>
      <c r="W16" s="70"/>
      <c r="X16" s="70"/>
      <c r="Y16" s="70"/>
      <c r="AB16" s="70"/>
      <c r="AC16" s="70"/>
    </row>
    <row r="17" spans="1:29" ht="81" customHeight="1" thickTop="1" thickBot="1" x14ac:dyDescent="0.3">
      <c r="B17" s="94" t="s">
        <v>78</v>
      </c>
      <c r="C17" s="95"/>
      <c r="D17" s="95" t="s">
        <v>36</v>
      </c>
      <c r="E17" s="159" t="s">
        <v>79</v>
      </c>
      <c r="F17" s="96"/>
      <c r="G17" s="97"/>
      <c r="H17" s="98"/>
      <c r="I17" s="99"/>
      <c r="J17" s="77"/>
      <c r="K17" s="79">
        <f>(K14/259)*365</f>
        <v>6305157.679187905</v>
      </c>
      <c r="L17" s="104"/>
      <c r="M17" s="91"/>
      <c r="N17" s="92"/>
      <c r="O17" s="9"/>
      <c r="R17" s="93"/>
      <c r="S17" s="162"/>
      <c r="T17" s="81"/>
      <c r="U17" s="81"/>
      <c r="V17" s="81"/>
      <c r="W17" s="81"/>
      <c r="X17" s="81"/>
      <c r="Y17" s="81"/>
      <c r="AB17" s="81"/>
      <c r="AC17" s="81"/>
    </row>
    <row r="18" spans="1:29" ht="57" customHeight="1" thickTop="1" thickBot="1" x14ac:dyDescent="0.3">
      <c r="B18" s="86" t="s">
        <v>26</v>
      </c>
      <c r="C18" s="60" t="s">
        <v>9</v>
      </c>
      <c r="D18" s="61" t="s">
        <v>6</v>
      </c>
      <c r="E18" s="88" t="s">
        <v>56</v>
      </c>
      <c r="F18" s="88" t="s">
        <v>45</v>
      </c>
      <c r="G18" s="82">
        <v>542.9</v>
      </c>
      <c r="H18" s="83">
        <f>G18-O18</f>
        <v>542.9</v>
      </c>
      <c r="I18" s="63">
        <f>(((H18/20)*24*2)+((H18/20)*4))</f>
        <v>1411.54</v>
      </c>
      <c r="J18" s="65" t="e">
        <f>I18/P18</f>
        <v>#DIV/0!</v>
      </c>
      <c r="K18" s="68">
        <f>(I18+(2.07*(T18+U18+V18+W18+X18+Y18)))</f>
        <v>10606.517260000001</v>
      </c>
      <c r="L18" s="103"/>
      <c r="M18" s="89">
        <f>(K18/58)*30.42</f>
        <v>5562.9354318827591</v>
      </c>
      <c r="N18" s="64">
        <v>0</v>
      </c>
      <c r="O18" s="9">
        <f t="shared" ref="O18" si="21">N18*G18</f>
        <v>0</v>
      </c>
      <c r="P18" s="43"/>
      <c r="R18" s="62"/>
      <c r="S18" s="162">
        <f>I18/K18</f>
        <v>0.13308232715778373</v>
      </c>
      <c r="T18" s="70">
        <f t="shared" si="3"/>
        <v>7.7886666666666668</v>
      </c>
      <c r="U18" s="70">
        <f t="shared" si="4"/>
        <v>134.73599999999999</v>
      </c>
      <c r="V18" s="70">
        <f t="shared" si="5"/>
        <v>299.49333333333334</v>
      </c>
      <c r="W18" s="66">
        <v>4000</v>
      </c>
    </row>
    <row r="19" spans="1:29" ht="7.5" customHeight="1" thickTop="1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S19" s="69"/>
    </row>
    <row r="20" spans="1:29" ht="12.75" customHeight="1" x14ac:dyDescent="0.25">
      <c r="A20" s="20"/>
      <c r="B20" s="19" t="s">
        <v>40</v>
      </c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29" ht="12.75" customHeight="1" x14ac:dyDescent="0.25">
      <c r="A21" s="20"/>
      <c r="B21" s="19" t="s">
        <v>41</v>
      </c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29" ht="12.75" customHeight="1" x14ac:dyDescent="0.25">
      <c r="A22" s="20"/>
      <c r="B22" s="19" t="s">
        <v>42</v>
      </c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29" ht="12.75" customHeight="1" x14ac:dyDescent="0.25">
      <c r="A23" s="20"/>
      <c r="B23" s="19" t="s">
        <v>43</v>
      </c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29" ht="14.25" customHeight="1" x14ac:dyDescent="0.25">
      <c r="A24" s="20"/>
      <c r="B24" s="21" t="s">
        <v>53</v>
      </c>
      <c r="C24" s="21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29" ht="12" customHeight="1" x14ac:dyDescent="0.25">
      <c r="A25" s="20"/>
      <c r="B25" s="19" t="s">
        <v>54</v>
      </c>
      <c r="C25" s="19"/>
      <c r="D25" s="20"/>
      <c r="E25" s="22"/>
      <c r="F25" s="22"/>
      <c r="G25" s="23"/>
      <c r="H25" s="20"/>
      <c r="I25" s="20"/>
      <c r="J25" s="20"/>
      <c r="K25" s="20"/>
      <c r="L25" s="20"/>
      <c r="M25" s="20"/>
      <c r="N25" s="20"/>
      <c r="O25" s="20"/>
    </row>
    <row r="26" spans="1:29" ht="12" customHeight="1" x14ac:dyDescent="0.25">
      <c r="A26" s="20"/>
      <c r="B26" s="19" t="s">
        <v>59</v>
      </c>
      <c r="C26" s="19"/>
      <c r="D26" s="20"/>
      <c r="E26" s="20"/>
      <c r="F26" s="20"/>
      <c r="G26" s="24"/>
      <c r="H26" s="20"/>
      <c r="I26" s="20"/>
      <c r="J26" s="20"/>
      <c r="K26" s="20"/>
      <c r="L26" s="20"/>
      <c r="M26" s="20"/>
      <c r="N26" s="20"/>
      <c r="O26" s="20"/>
    </row>
    <row r="27" spans="1:29" ht="0.75" customHeight="1" x14ac:dyDescent="0.25">
      <c r="A27" s="20"/>
      <c r="B27" s="20"/>
      <c r="C27" s="20"/>
      <c r="D27" s="20"/>
      <c r="E27" s="20"/>
      <c r="F27" s="20"/>
      <c r="G27" s="25"/>
      <c r="H27" s="20"/>
      <c r="I27" s="20"/>
      <c r="J27" s="20"/>
      <c r="K27" s="20"/>
      <c r="L27" s="20"/>
      <c r="M27" s="20"/>
      <c r="N27" s="20"/>
      <c r="O27" s="20"/>
    </row>
    <row r="28" spans="1:29" ht="5.25" customHeight="1" x14ac:dyDescent="0.25">
      <c r="A28" s="20"/>
      <c r="B28" s="21"/>
      <c r="C28" s="21"/>
      <c r="D28" s="20"/>
      <c r="E28" s="20"/>
      <c r="F28" s="20"/>
      <c r="G28" s="25"/>
      <c r="H28" s="20"/>
      <c r="I28" s="20"/>
      <c r="J28" s="20"/>
      <c r="K28" s="20"/>
      <c r="L28" s="20"/>
      <c r="M28" s="20"/>
      <c r="N28" s="20"/>
      <c r="O28" s="20"/>
    </row>
    <row r="29" spans="1:29" ht="12" customHeight="1" x14ac:dyDescent="0.25">
      <c r="A29" s="20"/>
      <c r="B29" s="19" t="s">
        <v>44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29" ht="12" customHeight="1" x14ac:dyDescent="0.25">
      <c r="A30" s="20"/>
      <c r="B30" s="19" t="s">
        <v>46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29" ht="12" customHeight="1" x14ac:dyDescent="0.25">
      <c r="A31" s="20"/>
      <c r="B31" s="19" t="s">
        <v>49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29" ht="12" customHeight="1" x14ac:dyDescent="0.25">
      <c r="A32" s="20"/>
      <c r="B32" s="19" t="s">
        <v>39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x14ac:dyDescent="0.25">
      <c r="A33" s="20"/>
      <c r="B33" s="19" t="s">
        <v>48</v>
      </c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x14ac:dyDescent="0.25">
      <c r="B34" s="40" t="s">
        <v>34</v>
      </c>
    </row>
  </sheetData>
  <mergeCells count="55">
    <mergeCell ref="B10:B11"/>
    <mergeCell ref="J10:J11"/>
    <mergeCell ref="D14:D15"/>
    <mergeCell ref="E14:E15"/>
    <mergeCell ref="F14:F15"/>
    <mergeCell ref="B14:B15"/>
    <mergeCell ref="F12:F13"/>
    <mergeCell ref="E12:E13"/>
    <mergeCell ref="K4:K5"/>
    <mergeCell ref="M4:M5"/>
    <mergeCell ref="K8:K9"/>
    <mergeCell ref="M8:M9"/>
    <mergeCell ref="B1:J1"/>
    <mergeCell ref="B4:B5"/>
    <mergeCell ref="B6:B7"/>
    <mergeCell ref="I6:I7"/>
    <mergeCell ref="J6:J7"/>
    <mergeCell ref="K6:K7"/>
    <mergeCell ref="M6:M7"/>
    <mergeCell ref="I4:I5"/>
    <mergeCell ref="J4:J5"/>
    <mergeCell ref="B8:B9"/>
    <mergeCell ref="I8:I9"/>
    <mergeCell ref="J8:J9"/>
    <mergeCell ref="I10:I11"/>
    <mergeCell ref="R14:R15"/>
    <mergeCell ref="M10:M11"/>
    <mergeCell ref="K10:K11"/>
    <mergeCell ref="I14:I15"/>
    <mergeCell ref="J14:J15"/>
    <mergeCell ref="K14:K15"/>
    <mergeCell ref="M14:M15"/>
    <mergeCell ref="R4:R5"/>
    <mergeCell ref="S4:S5"/>
    <mergeCell ref="W4:W5"/>
    <mergeCell ref="W6:W7"/>
    <mergeCell ref="W8:W9"/>
    <mergeCell ref="X4:X5"/>
    <mergeCell ref="X6:X7"/>
    <mergeCell ref="X8:X9"/>
    <mergeCell ref="X10:X11"/>
    <mergeCell ref="X14:X15"/>
    <mergeCell ref="AC14:AC15"/>
    <mergeCell ref="Y4:Y5"/>
    <mergeCell ref="Y6:Y7"/>
    <mergeCell ref="Y8:Y9"/>
    <mergeCell ref="Y10:Y11"/>
    <mergeCell ref="Y14:Y15"/>
    <mergeCell ref="S6:S7"/>
    <mergeCell ref="S8:S9"/>
    <mergeCell ref="S10:S11"/>
    <mergeCell ref="S14:S15"/>
    <mergeCell ref="AB14:AB15"/>
    <mergeCell ref="W14:W15"/>
    <mergeCell ref="W10:W11"/>
  </mergeCells>
  <pageMargins left="0.7" right="0.7" top="0.78740157499999996" bottom="0.78740157499999996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"/>
  <sheetViews>
    <sheetView zoomScale="90" zoomScaleNormal="9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N8" sqref="N8"/>
    </sheetView>
  </sheetViews>
  <sheetFormatPr defaultRowHeight="15" x14ac:dyDescent="0.25"/>
  <cols>
    <col min="1" max="1" width="1.7109375" customWidth="1"/>
    <col min="2" max="2" width="18.85546875" customWidth="1"/>
    <col min="3" max="3" width="11.140625" customWidth="1"/>
    <col min="4" max="4" width="12.7109375" customWidth="1"/>
    <col min="5" max="5" width="10.85546875" customWidth="1"/>
    <col min="6" max="6" width="26.28515625" customWidth="1"/>
    <col min="7" max="7" width="19.85546875" customWidth="1"/>
    <col min="8" max="8" width="39.28515625" customWidth="1"/>
  </cols>
  <sheetData>
    <row r="1" spans="2:8" ht="3.75" customHeight="1" thickBot="1" x14ac:dyDescent="0.3"/>
    <row r="2" spans="2:8" ht="77.25" customHeight="1" thickTop="1" thickBot="1" x14ac:dyDescent="0.3">
      <c r="B2" s="1" t="s">
        <v>8</v>
      </c>
      <c r="C2" s="6" t="s">
        <v>1</v>
      </c>
      <c r="D2" s="6" t="s">
        <v>65</v>
      </c>
      <c r="E2" s="2" t="s">
        <v>0</v>
      </c>
      <c r="F2" s="2" t="s">
        <v>73</v>
      </c>
      <c r="G2" s="4" t="s">
        <v>76</v>
      </c>
      <c r="H2" s="5" t="s">
        <v>72</v>
      </c>
    </row>
    <row r="3" spans="2:8" ht="92.25" customHeight="1" thickTop="1" x14ac:dyDescent="0.25">
      <c r="B3" s="26" t="s">
        <v>69</v>
      </c>
      <c r="C3" s="147" t="s">
        <v>51</v>
      </c>
      <c r="D3" s="33" t="s">
        <v>67</v>
      </c>
      <c r="E3" s="18" t="s">
        <v>68</v>
      </c>
      <c r="F3" s="158" t="s">
        <v>70</v>
      </c>
      <c r="G3" s="48" t="s">
        <v>17</v>
      </c>
      <c r="H3" s="13" t="s">
        <v>75</v>
      </c>
    </row>
    <row r="4" spans="2:8" ht="93" customHeight="1" thickBot="1" x14ac:dyDescent="0.3">
      <c r="B4" s="12" t="s">
        <v>61</v>
      </c>
      <c r="C4" s="54" t="s">
        <v>36</v>
      </c>
      <c r="D4" s="11" t="s">
        <v>66</v>
      </c>
      <c r="E4" s="3" t="s">
        <v>62</v>
      </c>
      <c r="F4" s="87" t="s">
        <v>71</v>
      </c>
      <c r="G4" s="55" t="s">
        <v>17</v>
      </c>
      <c r="H4" s="14" t="s">
        <v>74</v>
      </c>
    </row>
    <row r="5" spans="2:8" ht="15.75" thickTop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28" zoomScale="90" zoomScaleNormal="90" workbookViewId="0">
      <selection activeCell="O33" sqref="O33"/>
    </sheetView>
  </sheetViews>
  <sheetFormatPr defaultRowHeight="15" x14ac:dyDescent="0.25"/>
  <sheetData>
    <row r="1" ht="10.5" customHeight="1" x14ac:dyDescent="0.35"/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22" zoomScale="90" zoomScaleNormal="90" workbookViewId="0">
      <selection activeCell="AA42" sqref="AA42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Ceny za léčbu</vt:lpstr>
      <vt:lpstr>LP vs kompar. vlastnost</vt:lpstr>
      <vt:lpstr>Obrázky</vt:lpstr>
      <vt:lpstr>obrázky2</vt:lpstr>
    </vt:vector>
  </TitlesOfParts>
  <Company>FN Olomouc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Klobouk Jan, Mgr.</dc:creator>
  <cp:lastModifiedBy>Dudovi</cp:lastModifiedBy>
  <cp:lastPrinted>2022-09-26T13:26:14Z</cp:lastPrinted>
  <dcterms:created xsi:type="dcterms:W3CDTF">2022-06-13T12:17:50Z</dcterms:created>
  <dcterms:modified xsi:type="dcterms:W3CDTF">2023-06-01T19:17:06Z</dcterms:modified>
</cp:coreProperties>
</file>