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4"/>
  <workbookPr defaultThemeVersion="124226"/>
  <mc:AlternateContent xmlns:mc="http://schemas.openxmlformats.org/markup-compatibility/2006">
    <mc:Choice Requires="x15">
      <x15ac:absPath xmlns:x15ac="http://schemas.microsoft.com/office/spreadsheetml/2010/11/ac" url="C:\Users\65894\Desktop\FE analýzy\PAH\"/>
    </mc:Choice>
  </mc:AlternateContent>
  <xr:revisionPtr revIDLastSave="0" documentId="13_ncr:1_{813E2175-E055-4C44-9B93-0E0BD3AF0612}" xr6:coauthVersionLast="36" xr6:coauthVersionMax="36" xr10:uidLastSave="{00000000-0000-0000-0000-000000000000}"/>
  <bookViews>
    <workbookView xWindow="0" yWindow="140" windowWidth="20730" windowHeight="9800" xr2:uid="{00000000-000D-0000-FFFF-FFFF00000000}"/>
  </bookViews>
  <sheets>
    <sheet name="List1" sheetId="1" r:id="rId1"/>
  </sheets>
  <definedNames>
    <definedName name="_xlnm._FilterDatabase" localSheetId="0" hidden="1">List1!$A$2:$AH$43</definedName>
  </definedNames>
  <calcPr calcId="191029"/>
</workbook>
</file>

<file path=xl/calcChain.xml><?xml version="1.0" encoding="utf-8"?>
<calcChain xmlns="http://schemas.openxmlformats.org/spreadsheetml/2006/main">
  <c r="W43" i="1" l="1"/>
  <c r="W42" i="1"/>
  <c r="V43" i="1"/>
  <c r="V42" i="1"/>
  <c r="W41" i="1"/>
  <c r="V41" i="1"/>
  <c r="V40" i="1"/>
  <c r="W40" i="1"/>
  <c r="AI31" i="1" l="1"/>
  <c r="W31" i="1"/>
  <c r="V31" i="1"/>
  <c r="W37" i="1"/>
  <c r="V37" i="1"/>
  <c r="W36" i="1"/>
  <c r="V36" i="1"/>
  <c r="W33" i="1"/>
  <c r="V33" i="1"/>
  <c r="W32" i="1"/>
  <c r="V32" i="1"/>
  <c r="W30" i="1"/>
  <c r="V30" i="1"/>
  <c r="W26" i="1"/>
  <c r="V26" i="1"/>
  <c r="W22" i="1"/>
  <c r="V22" i="1"/>
  <c r="W14" i="1"/>
  <c r="V14" i="1"/>
  <c r="V35" i="1" l="1"/>
  <c r="W35" i="1"/>
  <c r="V28" i="1"/>
  <c r="W24" i="1"/>
  <c r="W28" i="1"/>
  <c r="V24" i="1"/>
  <c r="AI40" i="1"/>
  <c r="AI38" i="1"/>
  <c r="W29" i="1"/>
  <c r="V29" i="1"/>
  <c r="AI42" i="1"/>
  <c r="AI41" i="1"/>
  <c r="AI39" i="1"/>
  <c r="AI36" i="1"/>
  <c r="AI35" i="1"/>
  <c r="AI43" i="1"/>
  <c r="AI34" i="1"/>
  <c r="AI32" i="1"/>
  <c r="AI30" i="1"/>
  <c r="AI29" i="1"/>
  <c r="AI28" i="1"/>
  <c r="AI27" i="1"/>
  <c r="AI26" i="1"/>
  <c r="AI25" i="1"/>
  <c r="AI24" i="1"/>
  <c r="AI23" i="1"/>
  <c r="U17" i="1" s="1"/>
  <c r="V17" i="1" s="1"/>
  <c r="AI20" i="1"/>
  <c r="AI19" i="1"/>
  <c r="AI18" i="1"/>
  <c r="AI14" i="1"/>
  <c r="AI13" i="1"/>
  <c r="U39" i="1" l="1"/>
  <c r="V39" i="1" s="1"/>
  <c r="U18" i="1"/>
  <c r="V18" i="1" s="1"/>
  <c r="AC26" i="1"/>
  <c r="AC30" i="1"/>
  <c r="AC28" i="1"/>
  <c r="W17" i="1"/>
  <c r="U20" i="1"/>
  <c r="V20" i="1" s="1"/>
  <c r="U38" i="1"/>
  <c r="W38" i="1" s="1"/>
  <c r="W39" i="1"/>
  <c r="W18" i="1"/>
  <c r="AI6" i="1"/>
  <c r="W20" i="1" l="1"/>
  <c r="V38" i="1"/>
  <c r="U13" i="1"/>
  <c r="AI22" i="1"/>
  <c r="AI21" i="1"/>
  <c r="AI33" i="1"/>
  <c r="U27" i="1"/>
  <c r="AI8" i="1"/>
  <c r="U25" i="1" s="1"/>
  <c r="AI11" i="1"/>
  <c r="V25" i="1" l="1"/>
  <c r="W25" i="1"/>
  <c r="U21" i="1"/>
  <c r="W21" i="1" s="1"/>
  <c r="U8" i="1"/>
  <c r="U11" i="1"/>
  <c r="V11" i="1" s="1"/>
  <c r="V27" i="1"/>
  <c r="W27" i="1"/>
  <c r="V13" i="1"/>
  <c r="W13" i="1"/>
  <c r="U34" i="1"/>
  <c r="W34" i="1" s="1"/>
  <c r="AI4" i="1"/>
  <c r="U16" i="1" s="1"/>
  <c r="AI12" i="1"/>
  <c r="AI10" i="1"/>
  <c r="U10" i="1" s="1"/>
  <c r="AI9" i="1"/>
  <c r="U9" i="1" s="1"/>
  <c r="AI7" i="1"/>
  <c r="AI5" i="1"/>
  <c r="Y41" i="1" l="1"/>
  <c r="AB41" i="1" s="1"/>
  <c r="Y34" i="1"/>
  <c r="AB34" i="1" s="1"/>
  <c r="Y43" i="1"/>
  <c r="AB43" i="1" s="1"/>
  <c r="Y40" i="1"/>
  <c r="AB40" i="1" s="1"/>
  <c r="Y42" i="1"/>
  <c r="AB42" i="1" s="1"/>
  <c r="Y38" i="1"/>
  <c r="AB38" i="1" s="1"/>
  <c r="X31" i="1"/>
  <c r="U12" i="1"/>
  <c r="W12" i="1" s="1"/>
  <c r="X27" i="1"/>
  <c r="X13" i="1"/>
  <c r="Z13" i="1" s="1"/>
  <c r="X36" i="1"/>
  <c r="X32" i="1"/>
  <c r="X37" i="1"/>
  <c r="X33" i="1"/>
  <c r="X28" i="1"/>
  <c r="X26" i="1"/>
  <c r="X22" i="1"/>
  <c r="X39" i="1"/>
  <c r="X35" i="1"/>
  <c r="X24" i="1"/>
  <c r="X30" i="1"/>
  <c r="X29" i="1"/>
  <c r="X14" i="1"/>
  <c r="X17" i="1"/>
  <c r="X18" i="1"/>
  <c r="X20" i="1"/>
  <c r="X25" i="1"/>
  <c r="U23" i="1"/>
  <c r="U7" i="1"/>
  <c r="V7" i="1" s="1"/>
  <c r="U19" i="1"/>
  <c r="V21" i="1"/>
  <c r="X21" i="1" s="1"/>
  <c r="W11" i="1"/>
  <c r="U4" i="1"/>
  <c r="V8" i="1"/>
  <c r="W8" i="1"/>
  <c r="Y8" i="1" s="1"/>
  <c r="V9" i="1"/>
  <c r="W9" i="1"/>
  <c r="Y9" i="1" s="1"/>
  <c r="V10" i="1"/>
  <c r="X10" i="1" s="1"/>
  <c r="W10" i="1"/>
  <c r="Y10" i="1" s="1"/>
  <c r="V34" i="1"/>
  <c r="V16" i="1"/>
  <c r="X16" i="1" s="1"/>
  <c r="W16" i="1"/>
  <c r="U6" i="1"/>
  <c r="AI3" i="1"/>
  <c r="U3" i="1" s="1"/>
  <c r="X41" i="1" l="1"/>
  <c r="X40" i="1"/>
  <c r="X34" i="1"/>
  <c r="X43" i="1"/>
  <c r="X42" i="1"/>
  <c r="X38" i="1"/>
  <c r="W7" i="1"/>
  <c r="Y27" i="1"/>
  <c r="AB27" i="1" s="1"/>
  <c r="Y31" i="1"/>
  <c r="Y25" i="1"/>
  <c r="AB25" i="1" s="1"/>
  <c r="V12" i="1"/>
  <c r="X12" i="1" s="1"/>
  <c r="Z12" i="1" s="1"/>
  <c r="Y12" i="1"/>
  <c r="Y28" i="1"/>
  <c r="AB28" i="1" s="1"/>
  <c r="Y30" i="1"/>
  <c r="Y33" i="1"/>
  <c r="Y24" i="1"/>
  <c r="AB24" i="1" s="1"/>
  <c r="Y14" i="1"/>
  <c r="AB14" i="1" s="1"/>
  <c r="Y37" i="1"/>
  <c r="Y26" i="1"/>
  <c r="AB26" i="1" s="1"/>
  <c r="Y29" i="1"/>
  <c r="AB29" i="1" s="1"/>
  <c r="Y35" i="1"/>
  <c r="Y32" i="1"/>
  <c r="Y22" i="1"/>
  <c r="AB22" i="1" s="1"/>
  <c r="Y36" i="1"/>
  <c r="AB36" i="1" s="1"/>
  <c r="Y18" i="1"/>
  <c r="AB18" i="1" s="1"/>
  <c r="Y20" i="1"/>
  <c r="AB20" i="1" s="1"/>
  <c r="Y39" i="1"/>
  <c r="AB39" i="1" s="1"/>
  <c r="Y17" i="1"/>
  <c r="AB17" i="1" s="1"/>
  <c r="Y21" i="1"/>
  <c r="AB21" i="1" s="1"/>
  <c r="Y16" i="1"/>
  <c r="AB16" i="1" s="1"/>
  <c r="Y13" i="1"/>
  <c r="AB13" i="1" s="1"/>
  <c r="W23" i="1"/>
  <c r="Y23" i="1" s="1"/>
  <c r="AB23" i="1" s="1"/>
  <c r="V23" i="1"/>
  <c r="X23" i="1" s="1"/>
  <c r="V19" i="1"/>
  <c r="X19" i="1" s="1"/>
  <c r="W19" i="1"/>
  <c r="Y19" i="1" s="1"/>
  <c r="AB19" i="1" s="1"/>
  <c r="V4" i="1"/>
  <c r="W4" i="1"/>
  <c r="X9" i="1"/>
  <c r="V6" i="1"/>
  <c r="X6" i="1" s="1"/>
  <c r="W6" i="1"/>
  <c r="Y6" i="1" s="1"/>
  <c r="AB6" i="1" s="1"/>
  <c r="V3" i="1"/>
  <c r="W3" i="1"/>
  <c r="X8" i="1"/>
  <c r="U5" i="1"/>
  <c r="U15" i="1"/>
  <c r="AB12" i="1" l="1"/>
  <c r="AD12" i="1"/>
  <c r="X4" i="1"/>
  <c r="Y4" i="1"/>
  <c r="V5" i="1"/>
  <c r="W5" i="1"/>
  <c r="V15" i="1"/>
  <c r="X15" i="1" s="1"/>
  <c r="W15" i="1"/>
  <c r="Y15" i="1" s="1"/>
  <c r="AB15" i="1" s="1"/>
  <c r="X3" i="1"/>
  <c r="Y7" i="1" l="1"/>
  <c r="X5" i="1"/>
  <c r="X7" i="1"/>
  <c r="Y3" i="1"/>
  <c r="Y5" i="1"/>
</calcChain>
</file>

<file path=xl/sharedStrings.xml><?xml version="1.0" encoding="utf-8"?>
<sst xmlns="http://schemas.openxmlformats.org/spreadsheetml/2006/main" count="679" uniqueCount="373">
  <si>
    <t>obratový bonus</t>
  </si>
  <si>
    <t>název přípravku</t>
  </si>
  <si>
    <t>výrobce</t>
  </si>
  <si>
    <t>ATC skupina</t>
  </si>
  <si>
    <r>
      <rPr>
        <vertAlign val="superscript"/>
        <sz val="8"/>
        <color theme="1"/>
        <rFont val="Calibri"/>
        <family val="2"/>
        <charset val="238"/>
        <scheme val="minor"/>
      </rPr>
      <t>1</t>
    </r>
    <r>
      <rPr>
        <sz val="8"/>
        <color theme="1"/>
        <rFont val="Calibri"/>
        <family val="2"/>
        <charset val="238"/>
        <scheme val="minor"/>
      </rPr>
      <t xml:space="preserve"> AISLP - 2020.3k, stav k 1.8.2020</t>
    </r>
  </si>
  <si>
    <t>způsob podání</t>
  </si>
  <si>
    <t>p.o.</t>
  </si>
  <si>
    <t>bosentan</t>
  </si>
  <si>
    <t>Bosentan Abdi 125mg tbl flm 56 (monoterapie)</t>
  </si>
  <si>
    <t>Bosentan Accord 125mg tbl flm 56 (monoterapie)</t>
  </si>
  <si>
    <t>Bosentan AVMC 125mg tbl flm 56 (monoterapie)</t>
  </si>
  <si>
    <t>Bosentan Ebewe 125mg tbl flm 56 (monoterapie)</t>
  </si>
  <si>
    <t>Bosentan Pharmascience International 125mg tbl flm 56 (monoterapie)</t>
  </si>
  <si>
    <t>Bosentan Welding 125mg tbl flm 56 (monoterapie)</t>
  </si>
  <si>
    <t>Stayveer 125mg tbl flm 56 (monoterapie)</t>
  </si>
  <si>
    <r>
      <t xml:space="preserve">dávkování </t>
    </r>
    <r>
      <rPr>
        <sz val="9"/>
        <rFont val="Arial"/>
        <family val="2"/>
        <charset val="238"/>
      </rPr>
      <t>dle SPC</t>
    </r>
    <r>
      <rPr>
        <vertAlign val="superscript"/>
        <sz val="9"/>
        <rFont val="Arial"/>
        <family val="2"/>
        <charset val="238"/>
      </rPr>
      <t xml:space="preserve">1 </t>
    </r>
    <r>
      <rPr>
        <sz val="9"/>
        <rFont val="Arial"/>
        <family val="2"/>
        <charset val="238"/>
      </rPr>
      <t>(výběr týkající se PAH)</t>
    </r>
  </si>
  <si>
    <t>C02KX01</t>
  </si>
  <si>
    <r>
      <t xml:space="preserve">k léčbě pacientů s </t>
    </r>
    <r>
      <rPr>
        <u/>
        <sz val="8"/>
        <color rgb="FF000000"/>
        <rFont val="Calibri"/>
        <family val="2"/>
        <charset val="238"/>
        <scheme val="minor"/>
      </rPr>
      <t>PAH ve funkční třídě III. dle klasifikace NYHA</t>
    </r>
  </si>
  <si>
    <t>Abdi Farma</t>
  </si>
  <si>
    <r>
      <t xml:space="preserve">U dospělých má být léčba </t>
    </r>
    <r>
      <rPr>
        <u/>
        <sz val="8"/>
        <color rgb="FF000000"/>
        <rFont val="Calibri"/>
        <family val="2"/>
        <charset val="238"/>
        <scheme val="minor"/>
      </rPr>
      <t>zahájena dávkou 62,5 mg 2x denně po dobu 4 týdnů</t>
    </r>
    <r>
      <rPr>
        <sz val="8"/>
        <color rgb="FF000000"/>
        <rFont val="Calibri"/>
        <family val="2"/>
        <charset val="238"/>
        <scheme val="minor"/>
      </rPr>
      <t xml:space="preserve">, která poté má být zvýšena </t>
    </r>
    <r>
      <rPr>
        <u/>
        <sz val="8"/>
        <color rgb="FF000000"/>
        <rFont val="Calibri"/>
        <family val="2"/>
        <charset val="238"/>
        <scheme val="minor"/>
      </rPr>
      <t>na udržovací dávku 125 mg 2x denně</t>
    </r>
    <r>
      <rPr>
        <sz val="8"/>
        <color rgb="FF000000"/>
        <rFont val="Calibri"/>
        <family val="2"/>
        <charset val="238"/>
        <scheme val="minor"/>
      </rPr>
      <t xml:space="preserve">. Stejná doporučení platí pro znovunasazení po přerušení léčby. V případě klin. zhoršení (např. zkrácení vzdálenosti při 6MWD o nejméně 10% oproti měření před léčbou) i navzdory léčbě  probíhající nejméně 8 týdnů (cílová dávka nejméně 4 týdny) mají být zváženy alternat. terapie. Nicméně někteří pac., kteří nezareagují na léčbu  ani po 8 týdnech, mohou příznivě reagovat po dalších 4 až 8 týdnech léčby. </t>
    </r>
  </si>
  <si>
    <t>Accord</t>
  </si>
  <si>
    <t>AV Medical Consulting</t>
  </si>
  <si>
    <r>
      <rPr>
        <vertAlign val="superscript"/>
        <sz val="8"/>
        <color rgb="FF000000"/>
        <rFont val="Calibri"/>
        <family val="2"/>
        <charset val="238"/>
        <scheme val="minor"/>
      </rPr>
      <t>4</t>
    </r>
    <r>
      <rPr>
        <sz val="8"/>
        <color rgb="FF000000"/>
        <rFont val="Calibri"/>
        <family val="2"/>
        <charset val="238"/>
        <scheme val="minor"/>
      </rPr>
      <t xml:space="preserve"> Funkční klasifikace plicní hypertenze je uvedene níže v Table V</t>
    </r>
  </si>
  <si>
    <r>
      <rPr>
        <vertAlign val="superscript"/>
        <sz val="8"/>
        <color theme="1"/>
        <rFont val="Calibri"/>
        <family val="2"/>
        <charset val="238"/>
        <scheme val="minor"/>
      </rPr>
      <t>6</t>
    </r>
    <r>
      <rPr>
        <sz val="8"/>
        <color theme="1"/>
        <rFont val="Calibri"/>
        <family val="2"/>
        <charset val="238"/>
        <scheme val="minor"/>
      </rPr>
      <t xml:space="preserve"> Canadian agency for drugs and Technologies in Health. Drugs for pulmonary arterial hypertension: comparative efficacy, safety, and cost-effectiveness. March 2015.</t>
    </r>
  </si>
  <si>
    <t>*možné reverzibilní zvýšení jaterních enzymů,  *riziko jaterní cirrhozy a selhání, *riziko zhoršení chron. srdeč. selhání (pravděpod. retencí tekutin), *riziko snižení hladiny hemoglobinu</t>
  </si>
  <si>
    <t>Ebewe Pharma</t>
  </si>
  <si>
    <t>Pharmascience International</t>
  </si>
  <si>
    <r>
      <t xml:space="preserve">Léčba PAH s cílem zlepšení zátěžové kapacity a symptomů u pac. </t>
    </r>
    <r>
      <rPr>
        <u/>
        <sz val="8"/>
        <color rgb="FF000000"/>
        <rFont val="Calibri"/>
        <family val="2"/>
        <charset val="238"/>
        <scheme val="minor"/>
      </rPr>
      <t>s onem. stupně  III podle fční klasif.WHO</t>
    </r>
    <r>
      <rPr>
        <sz val="8"/>
        <color rgb="FF000000"/>
        <rFont val="Calibri"/>
        <family val="2"/>
        <charset val="238"/>
        <scheme val="minor"/>
      </rPr>
      <t xml:space="preserve">. Účinnost byla prokázána </t>
    </r>
    <r>
      <rPr>
        <u/>
        <sz val="8"/>
        <color rgb="FF000000"/>
        <rFont val="Calibri"/>
        <family val="2"/>
        <charset val="238"/>
        <scheme val="minor"/>
      </rPr>
      <t xml:space="preserve">u těchto indikací: </t>
    </r>
    <r>
      <rPr>
        <sz val="8"/>
        <color rgb="FF000000"/>
        <rFont val="Calibri"/>
        <family val="2"/>
        <charset val="238"/>
        <scheme val="minor"/>
      </rPr>
      <t xml:space="preserve">* Primární (idiopatická a dědičná) PAH, * PAH sek. při sklerodermii bez významného interstic. plicního onem., * PAH sdružená s vrozenými levo-pravými zkraty a Eisenmengerovým sy.                                                                                                                                                                               </t>
    </r>
    <r>
      <rPr>
        <u/>
        <sz val="8"/>
        <color rgb="FF000000"/>
        <rFont val="Calibri"/>
        <family val="2"/>
        <charset val="238"/>
        <scheme val="minor"/>
      </rPr>
      <t>Určitá zlepšení byla také prokázána u pac. s PAH stupně II podle fční klasif.WHO</t>
    </r>
    <r>
      <rPr>
        <sz val="8"/>
        <color rgb="FF000000"/>
        <rFont val="Calibri"/>
        <family val="2"/>
        <charset val="238"/>
        <scheme val="minor"/>
      </rPr>
      <t xml:space="preserve">.  </t>
    </r>
  </si>
  <si>
    <t>Janssen- Cilag</t>
  </si>
  <si>
    <t>C02KX02</t>
  </si>
  <si>
    <t>ambrisentan</t>
  </si>
  <si>
    <t>Ambrisentan Accord 5mg tbl flm 30                                   (monoterapie)</t>
  </si>
  <si>
    <t>Volibris 5mg tbl flm 30                                   (monoterapie)</t>
  </si>
  <si>
    <r>
      <t xml:space="preserve">K léčbě  </t>
    </r>
    <r>
      <rPr>
        <u/>
        <sz val="8"/>
        <color theme="1"/>
        <rFont val="Calibri"/>
        <family val="2"/>
        <charset val="238"/>
        <scheme val="minor"/>
      </rPr>
      <t>PAH  II. a III. funkční třídy (FC) dle klasifikace WHO</t>
    </r>
    <r>
      <rPr>
        <sz val="8"/>
        <color theme="1"/>
        <rFont val="Calibri"/>
        <family val="2"/>
        <charset val="238"/>
        <scheme val="minor"/>
      </rPr>
      <t xml:space="preserve"> u dospělých pacientů </t>
    </r>
    <r>
      <rPr>
        <u/>
        <sz val="8"/>
        <color theme="1"/>
        <rFont val="Calibri"/>
        <family val="2"/>
        <charset val="238"/>
        <scheme val="minor"/>
      </rPr>
      <t>včetně použití v kombinované terapii</t>
    </r>
    <r>
      <rPr>
        <sz val="8"/>
        <color theme="1"/>
        <rFont val="Calibri"/>
        <family val="2"/>
        <charset val="238"/>
        <scheme val="minor"/>
      </rPr>
      <t xml:space="preserve">. </t>
    </r>
    <r>
      <rPr>
        <u/>
        <sz val="8"/>
        <color theme="1"/>
        <rFont val="Calibri"/>
        <family val="2"/>
        <charset val="238"/>
        <scheme val="minor"/>
      </rPr>
      <t xml:space="preserve">Účinnost byla prokázána u </t>
    </r>
    <r>
      <rPr>
        <sz val="8"/>
        <color theme="1"/>
        <rFont val="Calibri"/>
        <family val="2"/>
        <charset val="238"/>
        <scheme val="minor"/>
      </rPr>
      <t>idiopatické PAH (IPAH) a PAH spojené s onemocněním pojivové tkáně.</t>
    </r>
  </si>
  <si>
    <t>ambrisentan + tadalafil</t>
  </si>
  <si>
    <r>
      <t>V</t>
    </r>
    <r>
      <rPr>
        <u/>
        <sz val="8"/>
        <color theme="1"/>
        <rFont val="Calibri"/>
        <family val="2"/>
        <charset val="238"/>
        <scheme val="minor"/>
      </rPr>
      <t xml:space="preserve"> kombinaci s tadalafilem, ambrisentan má být titrován do dávky 10 mg  1x denně.</t>
    </r>
    <r>
      <rPr>
        <sz val="8"/>
        <color theme="1"/>
        <rFont val="Calibri"/>
        <family val="2"/>
        <charset val="238"/>
        <scheme val="minor"/>
      </rPr>
      <t xml:space="preserve"> Při užívání v kombinaci s tadalafilem, </t>
    </r>
    <r>
      <rPr>
        <u/>
        <sz val="8"/>
        <color theme="1"/>
        <rFont val="Calibri"/>
        <family val="2"/>
        <charset val="238"/>
        <scheme val="minor"/>
      </rPr>
      <t>pacienti začínali s 5 mg ambrisentanu a 20 mg tadalafilu</t>
    </r>
    <r>
      <rPr>
        <sz val="8"/>
        <color theme="1"/>
        <rFont val="Calibri"/>
        <family val="2"/>
        <charset val="238"/>
        <scheme val="minor"/>
      </rPr>
      <t xml:space="preserve">. V závislosti na snášenlivosti </t>
    </r>
    <r>
      <rPr>
        <u/>
        <sz val="8"/>
        <color theme="1"/>
        <rFont val="Calibri"/>
        <family val="2"/>
        <charset val="238"/>
        <scheme val="minor"/>
      </rPr>
      <t>byla dávka tadalafilu zvýšena na 40 mg po 4 týdnech a dávka ambrisentanu byla zvýšena na 10 mg po 8 týdnech</t>
    </r>
    <r>
      <rPr>
        <sz val="8"/>
        <color theme="1"/>
        <rFont val="Calibri"/>
        <family val="2"/>
        <charset val="238"/>
        <scheme val="minor"/>
      </rPr>
      <t>. Toho dosáhlo více než 90% pacientů. Dávky také mohly být sníženy v závislosti na snášenlivosti.</t>
    </r>
  </si>
  <si>
    <t>IB pro FC II                                              IB pro FC III                                           IIbC pro FC IV</t>
  </si>
  <si>
    <r>
      <rPr>
        <u/>
        <sz val="10"/>
        <color rgb="FF000000"/>
        <rFont val="Calibri"/>
        <family val="2"/>
        <charset val="238"/>
        <scheme val="minor"/>
      </rPr>
      <t>IA pro FC II</t>
    </r>
    <r>
      <rPr>
        <sz val="10"/>
        <color rgb="FF000000"/>
        <rFont val="Calibri"/>
        <family val="2"/>
        <charset val="238"/>
        <scheme val="minor"/>
      </rPr>
      <t xml:space="preserve">                                             </t>
    </r>
    <r>
      <rPr>
        <u/>
        <sz val="10"/>
        <color rgb="FF000000"/>
        <rFont val="Calibri"/>
        <family val="2"/>
        <charset val="238"/>
        <scheme val="minor"/>
      </rPr>
      <t xml:space="preserve"> IA pro FC III </t>
    </r>
    <r>
      <rPr>
        <sz val="10"/>
        <color rgb="FF000000"/>
        <rFont val="Calibri"/>
        <family val="2"/>
        <charset val="238"/>
        <scheme val="minor"/>
      </rPr>
      <t xml:space="preserve">                                          IIbC pro FC IV</t>
    </r>
  </si>
  <si>
    <t xml:space="preserve">* Středně těžká až těžká porucha fce jater, tedy třída B nebo C podle Child-Pugha , *Výchozí hodnoty jaterních aminotransferáz (tedy AST  a/nebo ALT) &gt;3x ULN, *Současné užívání cyklosporinu A, *Těhotenství, * Ženy ve fertilním věku nepoužívající spolehlivou antikoncepci. </t>
  </si>
  <si>
    <t>*Těžká porucha fce jater (s cirhozou nebo bez), *Výchozí hodnoty jaterních aminotransferáz (tedy AST  a/nebo ALT) &gt;3x ULN, *Idiopat.plicní fibroza se sekund.plicní hypertenzí nebo bez ní, *Těhotenství, * Ženy ve fertilním věku nepoužívající spolehlivou antikoncepci, * Kojení.</t>
  </si>
  <si>
    <t>*riziko zvýšení jaterních enzymů, *periferní edémy či edém plic  s možností vzniku plicní  veno-okluzivní choroby,  *riziko snižení hladiny hemoglobinu a hematokritu</t>
  </si>
  <si>
    <t>*Těžká porucha fce jater (s cirhozou nebo bez), *Výchozí hodnoty jaterních aminotransferáz (tedy AST  a/nebo ALT) &gt;3x ULN, *Idiopat.plicní fibroza se sekund.plicní hypertenzí nebo bez ní, *Těhotenství, * Ženy ve fertilním věku nepoužívající spolehlivou antikoncepci, * Kojení, *Hypersenz. na soju.</t>
  </si>
  <si>
    <t>GSK</t>
  </si>
  <si>
    <t>macitentan</t>
  </si>
  <si>
    <t>C02KX04</t>
  </si>
  <si>
    <t>nemá zatím v ČR úhradu</t>
  </si>
  <si>
    <r>
      <t xml:space="preserve">V </t>
    </r>
    <r>
      <rPr>
        <u/>
        <sz val="8"/>
        <color theme="1"/>
        <rFont val="Calibri"/>
        <family val="2"/>
        <charset val="238"/>
        <scheme val="minor"/>
      </rPr>
      <t>monoterapii nebo v kombinované terapii</t>
    </r>
    <r>
      <rPr>
        <sz val="8"/>
        <color theme="1"/>
        <rFont val="Calibri"/>
        <family val="2"/>
        <charset val="238"/>
        <scheme val="minor"/>
      </rPr>
      <t xml:space="preserve"> indikován k dlouhodobé</t>
    </r>
    <r>
      <rPr>
        <u/>
        <sz val="8"/>
        <color theme="1"/>
        <rFont val="Calibri"/>
        <family val="2"/>
        <charset val="238"/>
        <scheme val="minor"/>
      </rPr>
      <t xml:space="preserve"> léčbě PAH u</t>
    </r>
    <r>
      <rPr>
        <sz val="8"/>
        <color theme="1"/>
        <rFont val="Calibri"/>
        <family val="2"/>
        <charset val="238"/>
        <scheme val="minor"/>
      </rPr>
      <t xml:space="preserve"> dospělých pacientů </t>
    </r>
    <r>
      <rPr>
        <u/>
        <sz val="8"/>
        <color theme="1"/>
        <rFont val="Calibri"/>
        <family val="2"/>
        <charset val="238"/>
        <scheme val="minor"/>
      </rPr>
      <t>funkční třídy WHO II až III</t>
    </r>
    <r>
      <rPr>
        <sz val="8"/>
        <color theme="1"/>
        <rFont val="Calibri"/>
        <family val="2"/>
        <charset val="238"/>
        <scheme val="minor"/>
      </rPr>
      <t xml:space="preserve">. </t>
    </r>
    <r>
      <rPr>
        <u/>
        <sz val="8"/>
        <color theme="1"/>
        <rFont val="Calibri"/>
        <family val="2"/>
        <charset val="238"/>
        <scheme val="minor"/>
      </rPr>
      <t>Účinnost byla prokázána u</t>
    </r>
    <r>
      <rPr>
        <sz val="8"/>
        <color theme="1"/>
        <rFont val="Calibri"/>
        <family val="2"/>
        <charset val="238"/>
        <scheme val="minor"/>
      </rPr>
      <t xml:space="preserve"> populace pacientů s PAH, včetně idiopatické a dědičné PAH, PAH spojené s onemocněním pojivové tkáně a PAH spojené s korigovaným jednoduchým vrozeným srdečním onemocněním.</t>
    </r>
  </si>
  <si>
    <r>
      <t xml:space="preserve">Doporučená dávka je </t>
    </r>
    <r>
      <rPr>
        <u/>
        <sz val="8"/>
        <color rgb="FF000000"/>
        <rFont val="Calibri"/>
        <family val="2"/>
        <charset val="238"/>
        <scheme val="minor"/>
      </rPr>
      <t>10 mg denně</t>
    </r>
    <r>
      <rPr>
        <sz val="8"/>
        <color rgb="FF000000"/>
        <rFont val="Calibri"/>
        <family val="2"/>
        <charset val="238"/>
        <scheme val="minor"/>
      </rPr>
      <t>.</t>
    </r>
  </si>
  <si>
    <t>*Těžká porucha fce jater (s cirhozou nebo bez), *Výchozí hodnoty jaterních aminotransferáz (tedy AST  a/nebo ALT) &gt;3x ULN, *Těhotenství, * Ženy ve fertilním věku nepoužívající spolehlivou antikoncepci, *Kojení, *Hypersenz. na soju.</t>
  </si>
  <si>
    <t>*riziko zvýšení jater. enzymů (nedoporučuje se podávat u střed. těžké jaterní dysfci), *riziko edému plic  s možností vzniku plicní  veno-okluz. choroby,  *riziko snižení hladiny hemoglobinu (nedoporučuje se zahajovat léčbu při těžké anémii), *při renál.dysfci je vyšší riziko hypotenze a anémie.</t>
  </si>
  <si>
    <t>C02KX05</t>
  </si>
  <si>
    <t>riociguat</t>
  </si>
  <si>
    <t xml:space="preserve"> název látky</t>
  </si>
  <si>
    <t>název farmakol. skupiny</t>
  </si>
  <si>
    <t>Antagonisté endotelin. receptorů (ERA)</t>
  </si>
  <si>
    <t>ERA + PDE5i</t>
  </si>
  <si>
    <t>Stimulátory guanylátcyklázy (GCS)</t>
  </si>
  <si>
    <r>
      <t xml:space="preserve">Doporučená </t>
    </r>
    <r>
      <rPr>
        <u/>
        <sz val="8"/>
        <color rgb="FF000000"/>
        <rFont val="Calibri"/>
        <family val="2"/>
        <charset val="238"/>
        <scheme val="minor"/>
      </rPr>
      <t>úvodní dávka je 1 mg 3x denně</t>
    </r>
    <r>
      <rPr>
        <sz val="8"/>
        <color rgb="FF000000"/>
        <rFont val="Calibri"/>
        <family val="2"/>
        <charset val="238"/>
        <scheme val="minor"/>
      </rPr>
      <t xml:space="preserve"> (cca s odstupem 6-8 hod.) </t>
    </r>
    <r>
      <rPr>
        <u/>
        <sz val="8"/>
        <color rgb="FF000000"/>
        <rFont val="Calibri"/>
        <family val="2"/>
        <charset val="238"/>
        <scheme val="minor"/>
      </rPr>
      <t>po dobu 2 týdnů</t>
    </r>
    <r>
      <rPr>
        <sz val="8"/>
        <color rgb="FF000000"/>
        <rFont val="Calibri"/>
        <family val="2"/>
        <charset val="238"/>
        <scheme val="minor"/>
      </rPr>
      <t xml:space="preserve">. </t>
    </r>
    <r>
      <rPr>
        <u/>
        <sz val="8"/>
        <color rgb="FF000000"/>
        <rFont val="Calibri"/>
        <family val="2"/>
        <charset val="238"/>
        <scheme val="minor"/>
      </rPr>
      <t xml:space="preserve">Dávka se má zvyšovat po 0,5 mg 3x denně každé 2 týdny na max. dávku 2,5 mg 3x denně, pokud je </t>
    </r>
    <r>
      <rPr>
        <sz val="8"/>
        <color rgb="FF000000"/>
        <rFont val="Calibri"/>
        <family val="2"/>
        <charset val="238"/>
        <scheme val="minor"/>
      </rPr>
      <t>sTK &gt;= 95 mmHg a pacient nemá žádné známky hypotenze. U některých pacientů s PAH může být dosaženo adekv. odpovědi v 6MWD při dávce 1,5 mg 3x denně. Pokud klesne sTK pod 95 mmHg, má být dávka udržována za předpokladu, že pac. nemá žádné známky hypotenze. Pokud kdykoli během titrační fáze klesne sTK pod 95 mmHg a pacient má známky hypotenze, má být aktuální dávka snížena o 0,5 mg 3x denně. Při intoleranci má být vždy zváženo snížení dávky. V případě, že musí být léčba přerušena na dobu 3 dnů nebo delší, léčba má být znovu zahájena dávkou 1 mg  3x denně po dobu 2 týdnů a pokračujte v režimu titrace dávky, který je popsán výše.</t>
    </r>
  </si>
  <si>
    <t>*Současné podávání s PDE-5i (jako je sildenafil, tadalafil, vardenafil), *Těžká porucha funkce jater (Child-Pugh C), *Těhotenství, *Současné podávání s nitráty nebo donory NO (jako je amylnitrit) v jakékoli formě, včetně rekreačních drog, takzvaných "poppers", *Pacienti se sTK &lt; 95 mmHg při zahájení léčby, *Pacienti s plicní hypertenzí asociovanou s idiopatickými intersticiálními pneumoniemi (PH-IIP).</t>
  </si>
  <si>
    <t>*riziko hypotenze (zvláště u pac. užív. antihypertenziva, s hypovolémií, autonomní dysfcí, s renál. insuficiencí, atd.), *riziko edému plic  s možností vzniku plicní  veno-okluz. choroby,  *snížení hladin léku u kuřáků, *riziko krvácení z dýchacího traktu (zvláště u pac. užívajících antikoagul.), *nedoporučuje se podávat u pac. se zvýš. aminotrans. &gt;3x ULN a konjug.bilirub. &gt;2x ULN</t>
  </si>
  <si>
    <t>Bayer</t>
  </si>
  <si>
    <r>
      <t>násobek poměru cena/účinnost</t>
    </r>
    <r>
      <rPr>
        <b/>
        <vertAlign val="superscript"/>
        <sz val="8"/>
        <rFont val="Arial"/>
        <family val="2"/>
        <charset val="238"/>
      </rPr>
      <t>8</t>
    </r>
    <r>
      <rPr>
        <b/>
        <sz val="8"/>
        <rFont val="Arial"/>
        <family val="2"/>
        <charset val="238"/>
      </rPr>
      <t xml:space="preserve"> vůči nákl. nejefekt. za 1. 6 měsíců léčby                    (CEA-add on)</t>
    </r>
  </si>
  <si>
    <r>
      <t>násobek poměru cena/účinnost</t>
    </r>
    <r>
      <rPr>
        <b/>
        <vertAlign val="superscript"/>
        <sz val="8"/>
        <rFont val="Arial"/>
        <family val="2"/>
        <charset val="238"/>
      </rPr>
      <t>8</t>
    </r>
    <r>
      <rPr>
        <b/>
        <sz val="8"/>
        <rFont val="Arial"/>
        <family val="2"/>
        <charset val="238"/>
      </rPr>
      <t xml:space="preserve"> vůči nákl. nejefekt. za 6 měsíců udrž. léčby (CEA-add on)</t>
    </r>
  </si>
  <si>
    <r>
      <t>násobek poměru cena/utilita</t>
    </r>
    <r>
      <rPr>
        <b/>
        <vertAlign val="superscript"/>
        <sz val="8"/>
        <rFont val="Arial"/>
        <family val="2"/>
        <charset val="238"/>
      </rPr>
      <t xml:space="preserve">7 </t>
    </r>
    <r>
      <rPr>
        <b/>
        <sz val="8"/>
        <rFont val="Arial"/>
        <family val="2"/>
        <charset val="238"/>
      </rPr>
      <t>vůči nákl. nejužitečnějšímu za 6 měsíců udržov.léčby - (kvaziCUA</t>
    </r>
    <r>
      <rPr>
        <b/>
        <vertAlign val="superscript"/>
        <sz val="8"/>
        <rFont val="Arial"/>
        <family val="2"/>
        <charset val="238"/>
      </rPr>
      <t xml:space="preserve">7 </t>
    </r>
    <r>
      <rPr>
        <b/>
        <sz val="8"/>
        <rFont val="Arial"/>
        <family val="2"/>
        <charset val="238"/>
      </rPr>
      <t>u FC</t>
    </r>
    <r>
      <rPr>
        <b/>
        <vertAlign val="superscript"/>
        <sz val="8"/>
        <rFont val="Arial"/>
        <family val="2"/>
        <charset val="238"/>
      </rPr>
      <t>4</t>
    </r>
    <r>
      <rPr>
        <b/>
        <sz val="8"/>
        <rFont val="Arial"/>
        <family val="2"/>
        <charset val="238"/>
      </rPr>
      <t xml:space="preserve"> III)                 monoterapie</t>
    </r>
  </si>
  <si>
    <r>
      <t>násobek poměru cena/utilita</t>
    </r>
    <r>
      <rPr>
        <b/>
        <vertAlign val="superscript"/>
        <sz val="8"/>
        <rFont val="Arial"/>
        <family val="2"/>
        <charset val="238"/>
      </rPr>
      <t xml:space="preserve">7 </t>
    </r>
    <r>
      <rPr>
        <b/>
        <sz val="8"/>
        <rFont val="Arial"/>
        <family val="2"/>
        <charset val="238"/>
      </rPr>
      <t>vůči nákl. nejužitečnějšímu za 6 měsíců udržov.léčby - (kvaziCUA</t>
    </r>
    <r>
      <rPr>
        <b/>
        <vertAlign val="superscript"/>
        <sz val="8"/>
        <rFont val="Arial"/>
        <family val="2"/>
        <charset val="238"/>
      </rPr>
      <t xml:space="preserve">7 </t>
    </r>
    <r>
      <rPr>
        <b/>
        <sz val="8"/>
        <rFont val="Arial"/>
        <family val="2"/>
        <charset val="238"/>
      </rPr>
      <t>u FC</t>
    </r>
    <r>
      <rPr>
        <b/>
        <vertAlign val="superscript"/>
        <sz val="8"/>
        <rFont val="Arial"/>
        <family val="2"/>
        <charset val="238"/>
      </rPr>
      <t>4</t>
    </r>
    <r>
      <rPr>
        <b/>
        <sz val="8"/>
        <rFont val="Arial"/>
        <family val="2"/>
        <charset val="238"/>
      </rPr>
      <t xml:space="preserve"> IV)                 monoterapie</t>
    </r>
  </si>
  <si>
    <r>
      <t>násobek poměru cena/utilita</t>
    </r>
    <r>
      <rPr>
        <b/>
        <vertAlign val="superscript"/>
        <sz val="8"/>
        <rFont val="Arial"/>
        <family val="2"/>
        <charset val="238"/>
      </rPr>
      <t xml:space="preserve">7 </t>
    </r>
    <r>
      <rPr>
        <b/>
        <sz val="8"/>
        <rFont val="Arial"/>
        <family val="2"/>
        <charset val="238"/>
      </rPr>
      <t>vůči nákl. nejužitečnějšímu za 6 měsíců udržov.léčby - (kvaziCUA</t>
    </r>
    <r>
      <rPr>
        <b/>
        <vertAlign val="superscript"/>
        <sz val="8"/>
        <rFont val="Arial"/>
        <family val="2"/>
        <charset val="238"/>
      </rPr>
      <t xml:space="preserve">7 </t>
    </r>
    <r>
      <rPr>
        <b/>
        <sz val="8"/>
        <rFont val="Arial"/>
        <family val="2"/>
        <charset val="238"/>
      </rPr>
      <t>u FC</t>
    </r>
    <r>
      <rPr>
        <b/>
        <vertAlign val="superscript"/>
        <sz val="8"/>
        <rFont val="Arial"/>
        <family val="2"/>
        <charset val="238"/>
      </rPr>
      <t>4</t>
    </r>
    <r>
      <rPr>
        <b/>
        <sz val="8"/>
        <rFont val="Arial"/>
        <family val="2"/>
        <charset val="238"/>
      </rPr>
      <t xml:space="preserve"> III)                 add on</t>
    </r>
  </si>
  <si>
    <r>
      <t>násobek poměru cena/utilita</t>
    </r>
    <r>
      <rPr>
        <b/>
        <vertAlign val="superscript"/>
        <sz val="8"/>
        <rFont val="Arial"/>
        <family val="2"/>
        <charset val="238"/>
      </rPr>
      <t xml:space="preserve">7 </t>
    </r>
    <r>
      <rPr>
        <b/>
        <sz val="8"/>
        <rFont val="Arial"/>
        <family val="2"/>
        <charset val="238"/>
      </rPr>
      <t>vůči nákl. nejužitečnějšímu za 6 měsíců udržov.léčby - (kvaziCUA</t>
    </r>
    <r>
      <rPr>
        <b/>
        <vertAlign val="superscript"/>
        <sz val="8"/>
        <rFont val="Arial"/>
        <family val="2"/>
        <charset val="238"/>
      </rPr>
      <t xml:space="preserve">7 </t>
    </r>
    <r>
      <rPr>
        <b/>
        <sz val="8"/>
        <rFont val="Arial"/>
        <family val="2"/>
        <charset val="238"/>
      </rPr>
      <t>u FC</t>
    </r>
    <r>
      <rPr>
        <b/>
        <vertAlign val="superscript"/>
        <sz val="8"/>
        <rFont val="Arial"/>
        <family val="2"/>
        <charset val="238"/>
      </rPr>
      <t>4</t>
    </r>
    <r>
      <rPr>
        <b/>
        <sz val="8"/>
        <rFont val="Arial"/>
        <family val="2"/>
        <charset val="238"/>
      </rPr>
      <t xml:space="preserve"> IV)                 add on</t>
    </r>
  </si>
  <si>
    <t>G04BE03</t>
  </si>
  <si>
    <t>Inhibitory fosfodiesterázy zypu 5 (PDE5i)</t>
  </si>
  <si>
    <t>sildenafil</t>
  </si>
  <si>
    <r>
      <t xml:space="preserve">u pacientů s </t>
    </r>
    <r>
      <rPr>
        <u/>
        <sz val="8"/>
        <color theme="1"/>
        <rFont val="Calibri"/>
        <family val="2"/>
        <charset val="238"/>
        <scheme val="minor"/>
      </rPr>
      <t>PAH ve funkční třídě III. dle klasifikace NYHA</t>
    </r>
    <r>
      <rPr>
        <sz val="8"/>
        <color theme="1"/>
        <rFont val="Calibri"/>
        <family val="2"/>
        <charset val="238"/>
        <scheme val="minor"/>
      </rPr>
      <t xml:space="preserve">. </t>
    </r>
  </si>
  <si>
    <r>
      <t xml:space="preserve">indikace </t>
    </r>
    <r>
      <rPr>
        <sz val="9"/>
        <rFont val="Arial"/>
        <family val="2"/>
        <charset val="238"/>
      </rPr>
      <t>dle SPC</t>
    </r>
    <r>
      <rPr>
        <vertAlign val="superscript"/>
        <sz val="9"/>
        <rFont val="Arial"/>
        <family val="2"/>
        <charset val="238"/>
      </rPr>
      <t>1</t>
    </r>
    <r>
      <rPr>
        <sz val="9"/>
        <rFont val="Arial"/>
        <family val="2"/>
        <charset val="238"/>
      </rPr>
      <t xml:space="preserve"> k 15.9.2020 (výběr jen pro PAH u dospělých)</t>
    </r>
  </si>
  <si>
    <r>
      <t xml:space="preserve">Léčba dospělých pacientů trpících </t>
    </r>
    <r>
      <rPr>
        <u/>
        <sz val="8"/>
        <color theme="1"/>
        <rFont val="Calibri"/>
        <family val="2"/>
        <charset val="238"/>
        <scheme val="minor"/>
      </rPr>
      <t>PAH třídy II a III</t>
    </r>
    <r>
      <rPr>
        <sz val="8"/>
        <color theme="1"/>
        <rFont val="Calibri"/>
        <family val="2"/>
        <charset val="238"/>
        <scheme val="minor"/>
      </rPr>
      <t xml:space="preserve"> podle klasifikace WHO s cílem zlepšit fyzickou zdatnost. </t>
    </r>
    <r>
      <rPr>
        <u/>
        <sz val="8"/>
        <color theme="1"/>
        <rFont val="Calibri"/>
        <family val="2"/>
        <charset val="238"/>
        <scheme val="minor"/>
      </rPr>
      <t>Byla prokázána účinnost v</t>
    </r>
    <r>
      <rPr>
        <sz val="8"/>
        <color theme="1"/>
        <rFont val="Calibri"/>
        <family val="2"/>
        <charset val="238"/>
        <scheme val="minor"/>
      </rPr>
      <t xml:space="preserve"> léčbě primární plicní hypertenze a plicní hypertenze při onemocnění pojivových tkání.</t>
    </r>
  </si>
  <si>
    <r>
      <t xml:space="preserve">Doporučená dávka je </t>
    </r>
    <r>
      <rPr>
        <u/>
        <sz val="8"/>
        <color rgb="FF000000"/>
        <rFont val="Calibri"/>
        <family val="2"/>
        <charset val="238"/>
        <scheme val="minor"/>
      </rPr>
      <t>20 mg třikrát denně</t>
    </r>
  </si>
  <si>
    <t>*Současné podávání s látkami dodávajícími NO (jako je amylnitrit) nebo nitráty v jakékoli formě vzhledem k hypotenz. účinku nitrátů , *Současné podávání s GCS, jako je riocigvát, protože může potenciálně vést k hypotenzi, *Kombinace s nejsilnějšími inhibitory CYP3A4 , *Pacienti, kteří v důsledku nearterické přední ischem. neuropatie optic. nervu (NAION) ztratili zrak u jednoho oka, *Závažná porucha funkce jater, *Nedávná CMP nebo IM v anamnéze, *Závažná hypotenze (TK &lt; 90/50 mmHg) na počátku léčby.</t>
  </si>
  <si>
    <t>*nedoporučuje se užívat při retinitis pigmentosa, *riziko vazodilatace (zvláště u pac. S hypotenzí, s hypovolémií, autonomní dysfcí, atd.), *nepodávat u pac. s plicní hypertenzí sek. k srpkovité anémii, u pac. s plicní venookluz. nemocí, *opatrnost při komb. s alfa-blok pro riziko  hypotenze, při podávání pac.s krvácivýmí stavy, při komb.s warfarinem.</t>
  </si>
  <si>
    <t>Sandoz</t>
  </si>
  <si>
    <t>Upjohn EESV</t>
  </si>
  <si>
    <r>
      <t xml:space="preserve"> je určen k léčbě dospělých pacientů (&gt;= 18 let) trpících </t>
    </r>
    <r>
      <rPr>
        <u/>
        <sz val="8"/>
        <color theme="1"/>
        <rFont val="Calibri"/>
        <family val="2"/>
        <charset val="238"/>
        <scheme val="minor"/>
      </rPr>
      <t>PAH, kterým byl předepsán přípravek Revatio v p.o. formě, ale dočasně nemohou perorální přípravek užívat, a jinak jsou klinicky i hemodynamicky stabilní</t>
    </r>
    <r>
      <rPr>
        <sz val="8"/>
        <color theme="1"/>
        <rFont val="Calibri"/>
        <family val="2"/>
        <charset val="238"/>
        <scheme val="minor"/>
      </rPr>
      <t>.</t>
    </r>
  </si>
  <si>
    <r>
      <t xml:space="preserve">Doporučená dávka je </t>
    </r>
    <r>
      <rPr>
        <u/>
        <sz val="8"/>
        <color rgb="FF000000"/>
        <rFont val="Calibri"/>
        <family val="2"/>
        <charset val="238"/>
        <scheme val="minor"/>
      </rPr>
      <t>10 mg (odpovídající 12,5 ml) 3x denně podaná i.v. jako bolus</t>
    </r>
    <r>
      <rPr>
        <sz val="8"/>
        <color rgb="FF000000"/>
        <rFont val="Calibri"/>
        <family val="2"/>
        <charset val="238"/>
        <scheme val="minor"/>
      </rPr>
      <t>. Dávka 10 mg přípravku Revatio injekční roztok je určena k zajištění expozice sildenafilu a jeho N-demetylovaného metabolitu a farmakologických účinků srovnatelných s dávkou 20 mg podanou p.o.</t>
    </r>
  </si>
  <si>
    <t>i.v.injekce</t>
  </si>
  <si>
    <t>macitentan + sildenafil</t>
  </si>
  <si>
    <r>
      <rPr>
        <i/>
        <sz val="8"/>
        <color rgb="FF000000"/>
        <rFont val="Calibri"/>
        <family val="2"/>
        <charset val="238"/>
        <scheme val="minor"/>
      </rPr>
      <t>pro macitentan  add to sildenafil</t>
    </r>
    <r>
      <rPr>
        <sz val="8"/>
        <color rgb="FF000000"/>
        <rFont val="Calibri"/>
        <family val="2"/>
        <charset val="238"/>
        <scheme val="minor"/>
      </rPr>
      <t xml:space="preserve">: IB pro FC II                                              IB pro FC III                                           IIaC pro FC IV                      </t>
    </r>
    <r>
      <rPr>
        <i/>
        <sz val="8"/>
        <color rgb="FF000000"/>
        <rFont val="Calibri"/>
        <family val="2"/>
        <charset val="238"/>
        <scheme val="minor"/>
      </rPr>
      <t>pro inicial.kombinaci</t>
    </r>
    <r>
      <rPr>
        <sz val="8"/>
        <color rgb="FF000000"/>
        <rFont val="Calibri"/>
        <family val="2"/>
        <charset val="238"/>
        <scheme val="minor"/>
      </rPr>
      <t>:  IIAc pro FC II,  IIAc pro FC III,  IIbC pro FC IV</t>
    </r>
  </si>
  <si>
    <t>riociguat add to bosentan</t>
  </si>
  <si>
    <t>GCS + ERA</t>
  </si>
  <si>
    <t>C02KX05 + C02KX01</t>
  </si>
  <si>
    <r>
      <rPr>
        <i/>
        <sz val="9"/>
        <color rgb="FF000000"/>
        <rFont val="Calibri"/>
        <family val="2"/>
        <charset val="238"/>
        <scheme val="minor"/>
      </rPr>
      <t>pro riociguat add to bosentan</t>
    </r>
    <r>
      <rPr>
        <sz val="9"/>
        <color rgb="FF000000"/>
        <rFont val="Calibri"/>
        <family val="2"/>
        <charset val="238"/>
        <scheme val="minor"/>
      </rPr>
      <t xml:space="preserve">:                                 IB pro FC II                                              IB pro FC III                                           IIaC pro FC IV </t>
    </r>
  </si>
  <si>
    <r>
      <t xml:space="preserve">K léčbě pacientů s </t>
    </r>
    <r>
      <rPr>
        <u/>
        <sz val="8"/>
        <color theme="1"/>
        <rFont val="Calibri"/>
        <family val="2"/>
        <charset val="238"/>
        <scheme val="minor"/>
      </rPr>
      <t>PAH ve funkční třídě III. dle klasifikace NYHA ve dvojkombinaci s ERA u pacientů, u nichž nebyla odpověď na léčbu ERA dostatečná, a u kterých není podání PDE5i vhodné</t>
    </r>
    <r>
      <rPr>
        <sz val="8"/>
        <color theme="1"/>
        <rFont val="Calibri"/>
        <family val="2"/>
        <charset val="238"/>
        <scheme val="minor"/>
      </rPr>
      <t xml:space="preserve">.  Úspěšnost terap. bude pravidelně přehodnoc. po 6 měsících od zahájení léčby. Léčba  bude ukončena v případech, kdy zdrav. stav trvale progreduje a pacient se dostává na léčbě do stavu vysokého rizika podle Doporuč. postupů ESC/ERS na dvou po 6 měsících po sobě jdoucích kontrolách a současně není čekatelem na transplantaci, a v případě výskytu závažných NÚ souvisejících s léčbou.  </t>
    </r>
  </si>
  <si>
    <t>tadalafil</t>
  </si>
  <si>
    <t>G04BE08</t>
  </si>
  <si>
    <t>Aurovitas</t>
  </si>
  <si>
    <r>
      <t>U dospělých k léčbě</t>
    </r>
    <r>
      <rPr>
        <u/>
        <sz val="8"/>
        <color theme="1"/>
        <rFont val="Calibri"/>
        <family val="2"/>
        <charset val="238"/>
        <scheme val="minor"/>
      </rPr>
      <t xml:space="preserve"> PAH  třídy II a III </t>
    </r>
    <r>
      <rPr>
        <sz val="8"/>
        <color theme="1"/>
        <rFont val="Calibri"/>
        <family val="2"/>
        <charset val="238"/>
        <scheme val="minor"/>
      </rPr>
      <t xml:space="preserve">dle funkční klasifikace WHO, pro zlepšení zátěžové kapacity. </t>
    </r>
    <r>
      <rPr>
        <u/>
        <sz val="8"/>
        <color theme="1"/>
        <rFont val="Calibri"/>
        <family val="2"/>
        <charset val="238"/>
        <scheme val="minor"/>
      </rPr>
      <t xml:space="preserve">Účinnost byla prokázána u </t>
    </r>
    <r>
      <rPr>
        <sz val="8"/>
        <color theme="1"/>
        <rFont val="Calibri"/>
        <family val="2"/>
        <charset val="238"/>
        <scheme val="minor"/>
      </rPr>
      <t>idiopatické PAH (IPAH) i PAH spojené se systémovou vaskulární kolagenózou.</t>
    </r>
  </si>
  <si>
    <r>
      <t xml:space="preserve">Doporučená dávka je </t>
    </r>
    <r>
      <rPr>
        <u/>
        <sz val="8"/>
        <color rgb="FF000000"/>
        <rFont val="Calibri"/>
        <family val="2"/>
        <charset val="238"/>
        <scheme val="minor"/>
      </rPr>
      <t>40 mg (2 x 20 mg) podávaná jednou denně</t>
    </r>
    <r>
      <rPr>
        <sz val="8"/>
        <color rgb="FF000000"/>
        <rFont val="Calibri"/>
        <family val="2"/>
        <charset val="238"/>
        <scheme val="minor"/>
      </rPr>
      <t xml:space="preserve"> nezávisle na jídle.</t>
    </r>
  </si>
  <si>
    <t>Opsumit 10mg tbl flm 30    (monoterapie)</t>
  </si>
  <si>
    <t>Balcoga 20mg tbl flm 90   (monoterapie)</t>
  </si>
  <si>
    <t>Granpidam 20mg tbl flm 90  (monoterapie)</t>
  </si>
  <si>
    <t>Revatio 20mg tbl flm 90   (monoterapie)</t>
  </si>
  <si>
    <t>Revatio 0,8mg/ml inj sol 1x12,5ml    (monoterapie)</t>
  </si>
  <si>
    <t>Sildenafil Aurovitas 20mg tbl flm 90   (monoterapie)</t>
  </si>
  <si>
    <t>Adcirca 20mg tbl flm 56   (monoterapie)</t>
  </si>
  <si>
    <t>*Současné podávání s látkami dodávajícími NO (jako je amylnitrit) nebo nitráty v jakékoli formě vzhledem k hypotenz. účinku nitrátů , *Současné podávání s GCS, jako je riocigvát, protože může potenciálně vést k hypotenzi,  *Pacienti, kteří v důsledku nearterické přední ischem. neuropatie optic. nervu (NAION) ztratili zrak u jednoho oka, *Akutní IM v uplynulých 90 dnech, *Závažná hypotenze (TK &lt; 90/50 mmHg) na počátku léčby.</t>
  </si>
  <si>
    <t>*nedoporučuje se užívat při retinitis pigmentosa, *riziko vazodilatace (zvláště u pac. S hypotenzí, s hypovolémií, autonomní dysfcí, atd.), *nepodávat u pac. s plicní venookluz. nemocí, *opatrnost při komb. s alfa-blok pro riziko  hypotenze, * nedoporučuje se podávat při závažné renální či hepatní insuff., se silnými induktory či inhibitory CYP3A4</t>
  </si>
  <si>
    <t>Eli Lilly</t>
  </si>
  <si>
    <t>Tadalafil AOP 20mg tbl flm 56   (monoterapie)</t>
  </si>
  <si>
    <t>AOP</t>
  </si>
  <si>
    <t>Tadalafil Teva B.V. 20mg tbl flm 120  (monoterapie)</t>
  </si>
  <si>
    <t>Teva B.V.</t>
  </si>
  <si>
    <t>Talmanco 20mg tbl flm 56  (monoterapie)</t>
  </si>
  <si>
    <t>Mylan</t>
  </si>
  <si>
    <t>Zenavil 20mg tbl flm 84  (monoterapie)</t>
  </si>
  <si>
    <t>Medochemie</t>
  </si>
  <si>
    <t>*Současné podávání s látkami dodávajícími NO (jako je amylnitrit) nebo nitráty v jakékoli formě vzhledem k hypotenz. účinku nitrátů , *Současné podávání s GCS, jako je riocigvát, protože může potenciálně vést k hypotenzi,  *Pacienti, kteří v důsledku nearterické přední ischem. neuropatie optic. nervu (NAION) ztratili zrak u jednoho oka, *Akutní IM v uplynulých 90 dnech, *Závažná hypotenze (TK &lt; 90/50 mmHg) na počátku léčby, * Řada dalších kardiovaskulárních onemocnění!!!! (viz SPC)</t>
  </si>
  <si>
    <t>Prostacyklinová analoga</t>
  </si>
  <si>
    <t>epoprostenol</t>
  </si>
  <si>
    <t>B01AC09</t>
  </si>
  <si>
    <r>
      <t xml:space="preserve">K léčbě pacientů s </t>
    </r>
    <r>
      <rPr>
        <u/>
        <sz val="8"/>
        <color theme="1"/>
        <rFont val="Calibri"/>
        <family val="2"/>
        <charset val="238"/>
        <scheme val="minor"/>
      </rPr>
      <t>PAH</t>
    </r>
    <r>
      <rPr>
        <sz val="8"/>
        <color theme="1"/>
        <rFont val="Calibri"/>
        <family val="2"/>
        <charset val="238"/>
        <scheme val="minor"/>
      </rPr>
      <t xml:space="preserve"> (idiopatická nebo dědičná PAH a PAH spojená s onemocněním pojivových tkání) u pacientů </t>
    </r>
    <r>
      <rPr>
        <u/>
        <sz val="8"/>
        <color theme="1"/>
        <rFont val="Calibri"/>
        <family val="2"/>
        <charset val="238"/>
        <scheme val="minor"/>
      </rPr>
      <t xml:space="preserve">se symptomy III-IV </t>
    </r>
    <r>
      <rPr>
        <sz val="8"/>
        <color theme="1"/>
        <rFont val="Calibri"/>
        <family val="2"/>
        <charset val="238"/>
        <scheme val="minor"/>
      </rPr>
      <t xml:space="preserve">funkční třídy podle WHO ke zlepšení zátěžové kapacity. </t>
    </r>
  </si>
  <si>
    <r>
      <rPr>
        <i/>
        <u/>
        <sz val="8"/>
        <color rgb="FF000000"/>
        <rFont val="Calibri"/>
        <family val="2"/>
        <charset val="238"/>
        <scheme val="minor"/>
      </rPr>
      <t>Krátkodobá (akutní) titrace dávek</t>
    </r>
    <r>
      <rPr>
        <i/>
        <sz val="8"/>
        <color rgb="FF000000"/>
        <rFont val="Calibri"/>
        <family val="2"/>
        <charset val="238"/>
        <scheme val="minor"/>
      </rPr>
      <t>:</t>
    </r>
    <r>
      <rPr>
        <sz val="8"/>
        <color rgb="FF000000"/>
        <rFont val="Calibri"/>
        <family val="2"/>
        <charset val="238"/>
        <scheme val="minor"/>
      </rPr>
      <t xml:space="preserve"> Je nezbytná ke stanovení rychlosti dlouhodobé infuze. Infuze </t>
    </r>
    <r>
      <rPr>
        <u/>
        <sz val="8"/>
        <color rgb="FF000000"/>
        <rFont val="Calibri"/>
        <family val="2"/>
        <charset val="238"/>
        <scheme val="minor"/>
      </rPr>
      <t>se zahajuje rychlostí 2 ng/kg/min a ta se zvyšuje každých 15 min nebo v delších čas. intervalech vždy o 2 ng/kg/min, a to až do dosažení max. výsledků</t>
    </r>
    <r>
      <rPr>
        <sz val="8"/>
        <color rgb="FF000000"/>
        <rFont val="Calibri"/>
        <family val="2"/>
        <charset val="238"/>
        <scheme val="minor"/>
      </rPr>
      <t xml:space="preserve"> hemodyn. parametrů nebo až do vyvolání farmakolog. účinků limitujících příslušnou dávku.                                                                              </t>
    </r>
    <r>
      <rPr>
        <i/>
        <u/>
        <sz val="8"/>
        <color rgb="FF000000"/>
        <rFont val="Calibri"/>
        <family val="2"/>
        <charset val="238"/>
        <scheme val="minor"/>
      </rPr>
      <t>Dlouhodobá kontinuální infuze</t>
    </r>
    <r>
      <rPr>
        <sz val="8"/>
        <color rgb="FF000000"/>
        <rFont val="Calibri"/>
        <family val="2"/>
        <charset val="238"/>
        <scheme val="minor"/>
      </rPr>
      <t xml:space="preserve">: je třeba ji zahájit rychlostí o 4 ng/kg/min nižší, než byla max. tolerovaná rychlost stanovená krátkodob. titrací. Jestliže je max. tolerovaná rychlost 5 ng/kg/min nebo nižší, je třeba dlouhodobou infuzi zahájit rychlostí 1 ng/kg/min. Změny rychlosti dlouhodobé inf. mají vycházet z perzistence, recidiv nebo zhoršení charakteru sympt. PAH nebo z výskytu NÚ vyvolaných nadměrnými dávkami. </t>
    </r>
  </si>
  <si>
    <r>
      <rPr>
        <vertAlign val="superscript"/>
        <sz val="8"/>
        <color theme="1"/>
        <rFont val="Calibri"/>
        <family val="2"/>
        <charset val="238"/>
        <scheme val="minor"/>
      </rPr>
      <t>9</t>
    </r>
    <r>
      <rPr>
        <sz val="8"/>
        <color theme="1"/>
        <rFont val="Calibri"/>
        <family val="2"/>
        <charset val="238"/>
        <scheme val="minor"/>
      </rPr>
      <t xml:space="preserve"> Pro účely této FE analýzy počítám s následující titrací dávky do "cílové" 35ng/kg/min: zahájení s 2ng/kg/min, každý den pak navýšení o 2ng/kg/min na 10ng/kg/min (tj.po 5 dnech), pak zvyšováno každé 2 týdny o 2ng/kg/min až na 35ng/kg/min (tj. po 26 týdnech, neboli po 1/2 roce) - údaje jsem použil dle:</t>
    </r>
  </si>
  <si>
    <t xml:space="preserve">    UpToDate. Treatment of pulmonary arterial hypertension (group 1) in adults: Pulmonary hypertension-specific therapy. Topic 8250, Version 70.0</t>
  </si>
  <si>
    <r>
      <t xml:space="preserve">k léčbě pacientů </t>
    </r>
    <r>
      <rPr>
        <u/>
        <sz val="8"/>
        <color rgb="FF000000"/>
        <rFont val="Calibri"/>
        <family val="2"/>
        <charset val="238"/>
        <scheme val="minor"/>
      </rPr>
      <t xml:space="preserve">s PAH ve funkční třídě III. a IV. </t>
    </r>
    <r>
      <rPr>
        <sz val="8"/>
        <color rgb="FF000000"/>
        <rFont val="Calibri"/>
        <family val="2"/>
        <charset val="238"/>
        <scheme val="minor"/>
      </rPr>
      <t>dle klasifikace NYHA.</t>
    </r>
  </si>
  <si>
    <t>* U pacientů s městnavým srdečním selháním při těžké dysfunkci levé komory,                                                                                                                               * Nesmí dlouhodobě užívat pacienti, u nichž se v průběhu titrace dávky rozvine plicní edém.</t>
  </si>
  <si>
    <r>
      <rPr>
        <b/>
        <sz val="9"/>
        <rFont val="Arial"/>
        <family val="2"/>
        <charset val="238"/>
      </rPr>
      <t>další upozornění</t>
    </r>
    <r>
      <rPr>
        <sz val="9"/>
        <rFont val="Arial"/>
        <family val="2"/>
        <charset val="238"/>
      </rPr>
      <t xml:space="preserve"> dle</t>
    </r>
    <r>
      <rPr>
        <vertAlign val="superscript"/>
        <sz val="9"/>
        <rFont val="Arial"/>
        <family val="2"/>
        <charset val="238"/>
      </rPr>
      <t>1,6</t>
    </r>
  </si>
  <si>
    <r>
      <t xml:space="preserve">k léčbě pacientů </t>
    </r>
    <r>
      <rPr>
        <u/>
        <sz val="8"/>
        <color rgb="FF000000"/>
        <rFont val="Calibri"/>
        <family val="2"/>
        <charset val="238"/>
        <scheme val="minor"/>
      </rPr>
      <t xml:space="preserve">s PAH ve funkční třídě III. </t>
    </r>
    <r>
      <rPr>
        <sz val="8"/>
        <color rgb="FF000000"/>
        <rFont val="Calibri"/>
        <family val="2"/>
        <charset val="238"/>
        <scheme val="minor"/>
      </rPr>
      <t>dle klasifikace NYHA.</t>
    </r>
  </si>
  <si>
    <t>B01AC11</t>
  </si>
  <si>
    <t>iloprost</t>
  </si>
  <si>
    <t>inhalace rozpraš. roztoku</t>
  </si>
  <si>
    <t xml:space="preserve">IB pro FC III                                              IIbC pro FC IV  </t>
  </si>
  <si>
    <r>
      <t xml:space="preserve">Léčba dospělých pacientů s </t>
    </r>
    <r>
      <rPr>
        <u/>
        <sz val="8"/>
        <color theme="1"/>
        <rFont val="Calibri"/>
        <family val="2"/>
        <charset val="238"/>
        <scheme val="minor"/>
      </rPr>
      <t>PAH</t>
    </r>
    <r>
      <rPr>
        <sz val="8"/>
        <color theme="1"/>
        <rFont val="Calibri"/>
        <family val="2"/>
        <charset val="238"/>
        <scheme val="minor"/>
      </rPr>
      <t xml:space="preserve"> klasifikovanou jako funkční </t>
    </r>
    <r>
      <rPr>
        <u/>
        <sz val="8"/>
        <color theme="1"/>
        <rFont val="Calibri"/>
        <family val="2"/>
        <charset val="238"/>
        <scheme val="minor"/>
      </rPr>
      <t>stupeň III</t>
    </r>
    <r>
      <rPr>
        <sz val="8"/>
        <color theme="1"/>
        <rFont val="Calibri"/>
        <family val="2"/>
        <charset val="238"/>
        <scheme val="minor"/>
      </rPr>
      <t xml:space="preserve"> podle NYHA, ke zlepšení kapacity a symptomů během tělesné námahy.</t>
    </r>
  </si>
  <si>
    <r>
      <t xml:space="preserve">Při zahájení léčby má být 1. inhalovaná dávka 2,5 mikrogramů iloprostu podaná pomocí náustku rozprašovače. V případě dobré snášenlivosti by se dávka měla zvýšit na </t>
    </r>
    <r>
      <rPr>
        <u/>
        <sz val="8"/>
        <color rgb="FF000000"/>
        <rFont val="Calibri"/>
        <family val="2"/>
        <charset val="238"/>
        <scheme val="minor"/>
      </rPr>
      <t>5 mikrogramů iloprostu</t>
    </r>
    <r>
      <rPr>
        <sz val="8"/>
        <color rgb="FF000000"/>
        <rFont val="Calibri"/>
        <family val="2"/>
        <charset val="238"/>
        <scheme val="minor"/>
      </rPr>
      <t xml:space="preserve"> a tato dávka by se měla udržovat. V případě špatné snášenlivosti dávky 5 mikrogramů dávka má být snížena na 2,5 mikrogramů iloprostu. Dávka k inhalačnímu podání by měla být aplikována</t>
    </r>
    <r>
      <rPr>
        <u/>
        <sz val="8"/>
        <color rgb="FF000000"/>
        <rFont val="Calibri"/>
        <family val="2"/>
        <charset val="238"/>
        <scheme val="minor"/>
      </rPr>
      <t xml:space="preserve"> 6 až 9krát denně podle individuální potřeby a snášenlivosti</t>
    </r>
    <r>
      <rPr>
        <sz val="8"/>
        <color rgb="FF000000"/>
        <rFont val="Calibri"/>
        <family val="2"/>
        <charset val="238"/>
        <scheme val="minor"/>
      </rPr>
      <t>. Pokud by došlo ke zhoršení stavu pacienta na této léčbě, je třeba zvážit intravenózní terapii prostacyklinem.</t>
    </r>
  </si>
  <si>
    <r>
      <t xml:space="preserve">Ventavis 10 microg/ml sol neb 168x1ml    </t>
    </r>
    <r>
      <rPr>
        <sz val="9"/>
        <color theme="1"/>
        <rFont val="Calibri"/>
        <family val="2"/>
        <charset val="238"/>
        <scheme val="minor"/>
      </rPr>
      <t>(monoterapie - cena počítana pro dávku 8x 5 mikrog./den)</t>
    </r>
  </si>
  <si>
    <t>i.v.infuze - kontinualní</t>
  </si>
  <si>
    <t xml:space="preserve">*Stavy, kde by účinky iloprostu na trombocyty mohly zvýšit riz. krvácení (např. aktivní pept. vředy, trauma, intrakran. hemoragie), *Těžká ICHS nebo nestabilní AP, *IM během posledních 6 měsíců, *Dekomp. srd. selhávání bez adekv. lékař.dohledu, *Těžké arytmie, *Cerebrovaskulární příhody (např. TIA, CMP) během posledních 3 měsíců, *Plicní hypertenze při venookluzívním onemocnění, *Kongen. nebo získané defekty chlopní s klinicky významnou poruchou srd. fce bez vztahu k plicní hypertenzi. </t>
  </si>
  <si>
    <t>*nedoporučuje se podávat u pac. s nestabil. plic. hypertenzí, s pokroč. pravostr. srd. seháváním, *nezahajovat léčbu při sTK &lt; 85mmHg, *pečlivě sledovat event. bronchosp. u pac. s CHOPN a těžkým AB, *opatrně úvodně titrovat při hepatal. insuf.a CKD s dialýzou, *k zabránění náhodné exp. je nutné udržovat místnost dobře větranou!</t>
  </si>
  <si>
    <t>treprostinil</t>
  </si>
  <si>
    <t>B01AC21</t>
  </si>
  <si>
    <t>s.c.(preferováno) či i.v.infuze - kontinualní</t>
  </si>
  <si>
    <t>Ferrer Internacional</t>
  </si>
  <si>
    <r>
      <t xml:space="preserve">je hrazen u pacientů </t>
    </r>
    <r>
      <rPr>
        <u/>
        <sz val="8"/>
        <color rgb="FF000000"/>
        <rFont val="Calibri"/>
        <family val="2"/>
        <charset val="238"/>
        <scheme val="minor"/>
      </rPr>
      <t xml:space="preserve">s PAH ve funkční třídě III. a IV. </t>
    </r>
    <r>
      <rPr>
        <sz val="8"/>
        <color rgb="FF000000"/>
        <rFont val="Calibri"/>
        <family val="2"/>
        <charset val="238"/>
        <scheme val="minor"/>
      </rPr>
      <t>dle klasifikace NYHA.</t>
    </r>
  </si>
  <si>
    <r>
      <t>Léčba idiopatické nebo dědičné</t>
    </r>
    <r>
      <rPr>
        <u/>
        <sz val="8"/>
        <color theme="1"/>
        <rFont val="Calibri"/>
        <family val="2"/>
        <charset val="238"/>
        <scheme val="minor"/>
      </rPr>
      <t xml:space="preserve"> PAH</t>
    </r>
    <r>
      <rPr>
        <sz val="8"/>
        <color theme="1"/>
        <rFont val="Calibri"/>
        <family val="2"/>
        <charset val="238"/>
        <scheme val="minor"/>
      </rPr>
      <t xml:space="preserve"> pro zlepšení snášenlivosti vůči tělesné námaze a příznaků choroby u pacientů klasifikovaných podle NYHA jako</t>
    </r>
    <r>
      <rPr>
        <u/>
        <sz val="8"/>
        <color theme="1"/>
        <rFont val="Calibri"/>
        <family val="2"/>
        <charset val="238"/>
        <scheme val="minor"/>
      </rPr>
      <t xml:space="preserve"> funkční III. třída</t>
    </r>
    <r>
      <rPr>
        <sz val="8"/>
        <color theme="1"/>
        <rFont val="Calibri"/>
        <family val="2"/>
        <charset val="238"/>
        <scheme val="minor"/>
      </rPr>
      <t xml:space="preserve">.                                    </t>
    </r>
    <r>
      <rPr>
        <i/>
        <u/>
        <sz val="8"/>
        <color theme="1"/>
        <rFont val="Calibri"/>
        <family val="2"/>
        <charset val="238"/>
        <scheme val="minor"/>
      </rPr>
      <t>CAVE! PODÁNÍ U NYHA IV JE DLE SPC OFF-LABEL, I KDYŽ JE SUKLEM HRAZENO U TÉTO FC !!!</t>
    </r>
  </si>
  <si>
    <r>
      <t xml:space="preserve">Doporuč. </t>
    </r>
    <r>
      <rPr>
        <u/>
        <sz val="8"/>
        <color rgb="FF000000"/>
        <rFont val="Calibri"/>
        <family val="2"/>
        <charset val="238"/>
        <scheme val="minor"/>
      </rPr>
      <t>počáteční rychl. infuze je 1,25 ng/kg/min</t>
    </r>
    <r>
      <rPr>
        <sz val="8"/>
        <color rgb="FF000000"/>
        <rFont val="Calibri"/>
        <family val="2"/>
        <charset val="238"/>
        <scheme val="minor"/>
      </rPr>
      <t xml:space="preserve">. Pokud pac. tuto počát. dávku špatně snáší, je třeba rychl. inf. snížit na 0,625 ng/kg/min. Rychl. inf. je třeba </t>
    </r>
    <r>
      <rPr>
        <u/>
        <sz val="8"/>
        <color rgb="FF000000"/>
        <rFont val="Calibri"/>
        <family val="2"/>
        <charset val="238"/>
        <scheme val="minor"/>
      </rPr>
      <t xml:space="preserve">zvyšovat pod lékař. dohledem o 1,25 ng/kg/min. týdně po dobu prvních 4 týdnů léčby a potom o 2,5 ng/kg/min. týdně. </t>
    </r>
    <r>
      <rPr>
        <sz val="8"/>
        <color rgb="FF000000"/>
        <rFont val="Calibri"/>
        <family val="2"/>
        <charset val="238"/>
        <scheme val="minor"/>
      </rPr>
      <t>Dávku je třeba upravit na individ. bázi a pod lékař. dohledem, aby se dosáhlo udrž. dávky, při které se příznaky zlepšují a kterou pac. snáší. Účinnost v průběhu 12týdenních sledování se zachovala jen tehdy, byla-li dávka zvyšována prům. 3-4x měsíčně. U pac. s obezitou (vážících o &gt;= 30% víc než je ideál.těL. hmotnost) by měla počát. dávka a její následné zvyšování vycházet z ideální těl. hmotnosti. V průběhu pozdních fází klin. studií činily dosažené střed. dávky po 12 měs. 26/ng/kg/min., po 24 měs. činily 36 ng/kg/min. a po 48 měs. činily 42 ng/kg/min.</t>
    </r>
  </si>
  <si>
    <r>
      <rPr>
        <vertAlign val="superscript"/>
        <sz val="8"/>
        <color theme="1"/>
        <rFont val="Calibri"/>
        <family val="2"/>
        <charset val="238"/>
        <scheme val="minor"/>
      </rPr>
      <t xml:space="preserve">10 </t>
    </r>
    <r>
      <rPr>
        <sz val="8"/>
        <color theme="1"/>
        <rFont val="Calibri"/>
        <family val="2"/>
        <charset val="238"/>
        <scheme val="minor"/>
      </rPr>
      <t>Pro účely této FE analýzy počítám s následující titrací dávky (dle SPC - viz výše pozn. 1 a článku Treprostinil v UpToDate k 28.9.20): počáteční rychl. infuze je 1,25 ng/kg/min, pak zvyšování o 1,25 ng/kg/min. týdně po dobu prvních 4 týdnů léčby a potom o 2,5 ng/kg/min. týdně do cílové dávky 40 ng/kg/min</t>
    </r>
  </si>
  <si>
    <t xml:space="preserve">    (tj. bude to 18. týden od zahájení léčby). Pak až do konce 1. roku léčby předpokládám stejnou dávku!!! CAVE ! UDRŽOVACÍ DÁVKA OBVYKLE POSTUPNĚ STÁLE MÍRNĚ ROSTE - tj. každých dalších 6 měs. udrž. léčby předpokládat růst ceny! </t>
  </si>
  <si>
    <t>*Plicní hypertenze související s venookluzní chorobou, *Městnavá srdeční selhání vyvolaná těžkou poruchou levé srd. komory, *Těžké postižení jater (Child-Pugh, třída C), *Aktivní GI vřed, nitrolební krvácení, poranění či jiné stavy krvácení,  *Vrozené nebo získané chlopenní vady s klinicky relevantní dysfcí myokardu, která nesouvisí s plicní hypertenzí, *Těžká ICHS nebo nestabilní AP; IM v uplynulých 6 měsících; dekomp. selhání srdce, nebylo-li pod přísným lékař. dohledem; těžké arytmie, cerebrovaskulární příhody (např. TIA, CMP) v uplynulých 3 měsících.</t>
  </si>
  <si>
    <t>*nezahajovat léčbu při sTK &lt; 85mmHg, *pac. s postižením jater a ledvin musí být dávka stanovena opatrně, *opatrností je třeba v situacích, kdy může treprostinil zvýšit krvácení tím, že inhibuje agregaci destiček, *náhlé ukončení nebo významné snížení dávky treprostinilu může způsobit návrat PAH !!</t>
  </si>
  <si>
    <t>Amomed</t>
  </si>
  <si>
    <r>
      <t>V dlouhodobé</t>
    </r>
    <r>
      <rPr>
        <u/>
        <sz val="8"/>
        <color rgb="FF000000"/>
        <rFont val="Calibri"/>
        <family val="2"/>
        <charset val="238"/>
        <scheme val="minor"/>
      </rPr>
      <t xml:space="preserve"> léčbě PAH</t>
    </r>
    <r>
      <rPr>
        <sz val="8"/>
        <color rgb="FF000000"/>
        <rFont val="Calibri"/>
        <family val="2"/>
        <charset val="238"/>
        <scheme val="minor"/>
      </rPr>
      <t xml:space="preserve"> u dosp. pac. ve FC</t>
    </r>
    <r>
      <rPr>
        <u/>
        <sz val="8"/>
        <color rgb="FF000000"/>
        <rFont val="Calibri"/>
        <family val="2"/>
        <charset val="238"/>
        <scheme val="minor"/>
      </rPr>
      <t xml:space="preserve"> III </t>
    </r>
    <r>
      <rPr>
        <sz val="8"/>
        <color rgb="FF000000"/>
        <rFont val="Calibri"/>
        <family val="2"/>
        <charset val="238"/>
        <scheme val="minor"/>
      </rPr>
      <t>dle NYHA, a to buď:                                                                                                                                                     1.v trojkombinaci s ERA a PDE5i u pacientů, u nichž nebyla odpověď na léčbu těmito přípravky ve dvojkombinaci dostatečná nebo                                                                    2.v</t>
    </r>
    <r>
      <rPr>
        <u/>
        <sz val="8"/>
        <color rgb="FF000000"/>
        <rFont val="Calibri"/>
        <family val="2"/>
        <charset val="238"/>
        <scheme val="minor"/>
      </rPr>
      <t>e dvojkombinaci s ERA u pacientů, u nichž nebyla odpověď na léčbu tímto přípravkem dostatečná, a u kterých není podání PDE5i vhodné</t>
    </r>
    <r>
      <rPr>
        <sz val="8"/>
        <color rgb="FF000000"/>
        <rFont val="Calibri"/>
        <family val="2"/>
        <charset val="238"/>
        <scheme val="minor"/>
      </rPr>
      <t>.                                               Úspěšnost terap. bude pravidelně přehodnocována po 6 měsících od zahájení léčby selexipagem a bude ukončena v těchto případech: *progrese onem. definované poklesem 6MWD oproti výchozí hodnotě v kombinaci s potřebou další PAH spec. terapie nebo s progresí onem. do FC NYHA IV, *zahájení parenterální léčby prostanoidem nebo chronické kyslíkové terapie z důvodu zhoršení PAH, *hospitalizace z důvodu zhoršení PAH, *zhoršení PAH vedoucí k potřebě transplantace plic nebo balónkové atriální septostomie, *výskyt neakceptovatelné toxicity.</t>
    </r>
  </si>
  <si>
    <r>
      <t>V dlouhodobé</t>
    </r>
    <r>
      <rPr>
        <u/>
        <sz val="8"/>
        <color rgb="FF000000"/>
        <rFont val="Calibri"/>
        <family val="2"/>
        <charset val="238"/>
        <scheme val="minor"/>
      </rPr>
      <t xml:space="preserve"> léčbě PAH</t>
    </r>
    <r>
      <rPr>
        <sz val="8"/>
        <color rgb="FF000000"/>
        <rFont val="Calibri"/>
        <family val="2"/>
        <charset val="238"/>
        <scheme val="minor"/>
      </rPr>
      <t xml:space="preserve"> u dosp. pac. ve FC</t>
    </r>
    <r>
      <rPr>
        <u/>
        <sz val="8"/>
        <color rgb="FF000000"/>
        <rFont val="Calibri"/>
        <family val="2"/>
        <charset val="238"/>
        <scheme val="minor"/>
      </rPr>
      <t xml:space="preserve"> III </t>
    </r>
    <r>
      <rPr>
        <sz val="8"/>
        <color rgb="FF000000"/>
        <rFont val="Calibri"/>
        <family val="2"/>
        <charset val="238"/>
        <scheme val="minor"/>
      </rPr>
      <t>dle NYHA, a to buď:                                                                                                                                                     1.</t>
    </r>
    <r>
      <rPr>
        <u/>
        <sz val="8"/>
        <color rgb="FF000000"/>
        <rFont val="Calibri"/>
        <family val="2"/>
        <charset val="238"/>
        <scheme val="minor"/>
      </rPr>
      <t xml:space="preserve">v trojkombinaci s ERA a PDE5i u pacientů, u nichž nebyla odpověď na léčbu těmito přípravky ve dvojkombinaci dostatečná </t>
    </r>
    <r>
      <rPr>
        <sz val="8"/>
        <color rgb="FF000000"/>
        <rFont val="Calibri"/>
        <family val="2"/>
        <charset val="238"/>
        <scheme val="minor"/>
      </rPr>
      <t>nebo                                                                    2.ve dvojkombinaci s ERA u pacientů, u nichž nebyla odpověď na léčbu tímto přípravkem dostatečná, a u kterých není podání PDE5i vhodné.                                               Úspěšnost terap. bude pravidelně přehodnocována po 6 měsících od zahájení léčby selexipagem a bude ukončena v těchto případech: *progrese onem. definované poklesem 6MWD oproti výchozí hodnotě v kombinaci s potřebou další PAH spec. terapie nebo s progresí onem. do FC NYHA IV, *zahájení parenterální léčby prostanoidem nebo chronické kyslíkové terapie z důvodu zhoršení PAH, *hospitalizace z důvodu zhoršení PAH, *zhoršení PAH vedoucí k potřebě transplantace plic nebo balónkové atriální septostomie, *výskyt neakceptovatelné toxicity.</t>
    </r>
  </si>
  <si>
    <t>Agonista IP receptoru + ERA</t>
  </si>
  <si>
    <t>Agonista IP receptoru + ERA + PDEi</t>
  </si>
  <si>
    <r>
      <rPr>
        <i/>
        <sz val="9"/>
        <color rgb="FF000000"/>
        <rFont val="Calibri"/>
        <family val="2"/>
        <charset val="238"/>
        <scheme val="minor"/>
      </rPr>
      <t>pro selexipag add to ERA</t>
    </r>
    <r>
      <rPr>
        <sz val="9"/>
        <color rgb="FF000000"/>
        <rFont val="Calibri"/>
        <family val="2"/>
        <charset val="238"/>
        <scheme val="minor"/>
      </rPr>
      <t xml:space="preserve">:                                 IB pro FC II                                              IB pro FC III                                           IIaC pro FC IV </t>
    </r>
  </si>
  <si>
    <r>
      <rPr>
        <i/>
        <sz val="9"/>
        <color rgb="FF000000"/>
        <rFont val="Calibri"/>
        <family val="2"/>
        <charset val="238"/>
        <scheme val="minor"/>
      </rPr>
      <t>pro selexipag add to ERA+PDE5i</t>
    </r>
    <r>
      <rPr>
        <sz val="9"/>
        <color rgb="FF000000"/>
        <rFont val="Calibri"/>
        <family val="2"/>
        <charset val="238"/>
        <scheme val="minor"/>
      </rPr>
      <t xml:space="preserve">:                                 IB pro FC II                                              IB pro FC III                                           IIaC pro FC IV </t>
    </r>
  </si>
  <si>
    <t>G04BE03 + B01AC09</t>
  </si>
  <si>
    <t>p.o.+ i.v.infuze - kontinualní</t>
  </si>
  <si>
    <r>
      <t xml:space="preserve">u pacientů s </t>
    </r>
    <r>
      <rPr>
        <u/>
        <sz val="8"/>
        <color rgb="FF000000"/>
        <rFont val="Calibri"/>
        <family val="2"/>
        <charset val="238"/>
        <scheme val="minor"/>
      </rPr>
      <t>PAH</t>
    </r>
    <r>
      <rPr>
        <sz val="8"/>
        <color rgb="FF000000"/>
        <rFont val="Calibri"/>
        <family val="2"/>
        <charset val="238"/>
        <scheme val="minor"/>
      </rPr>
      <t xml:space="preserve"> ve </t>
    </r>
    <r>
      <rPr>
        <u/>
        <sz val="8"/>
        <color rgb="FF000000"/>
        <rFont val="Calibri"/>
        <family val="2"/>
        <charset val="238"/>
        <scheme val="minor"/>
      </rPr>
      <t>funkční třídě III.</t>
    </r>
    <r>
      <rPr>
        <sz val="8"/>
        <color rgb="FF000000"/>
        <rFont val="Calibri"/>
        <family val="2"/>
        <charset val="238"/>
        <scheme val="minor"/>
      </rPr>
      <t xml:space="preserve"> dle klasifikace NYHA. </t>
    </r>
  </si>
  <si>
    <r>
      <t xml:space="preserve">K léčbě pacientů </t>
    </r>
    <r>
      <rPr>
        <u/>
        <sz val="8"/>
        <color theme="1"/>
        <rFont val="Calibri"/>
        <family val="2"/>
        <charset val="238"/>
        <scheme val="minor"/>
      </rPr>
      <t>s PAH ve funkční třídě III. dle klasifikace NYHA</t>
    </r>
    <r>
      <rPr>
        <sz val="8"/>
        <color theme="1"/>
        <rFont val="Calibri"/>
        <family val="2"/>
        <charset val="238"/>
        <scheme val="minor"/>
      </rPr>
      <t xml:space="preserve"> </t>
    </r>
    <r>
      <rPr>
        <u/>
        <sz val="8"/>
        <color theme="1"/>
        <rFont val="Calibri"/>
        <family val="2"/>
        <charset val="238"/>
        <scheme val="minor"/>
      </rPr>
      <t>v monoterapii pokud není možné podat ERA  nebo PDE5i</t>
    </r>
    <r>
      <rPr>
        <sz val="8"/>
        <color theme="1"/>
        <rFont val="Calibri"/>
        <family val="2"/>
        <charset val="238"/>
        <scheme val="minor"/>
      </rPr>
      <t xml:space="preserve">.  Úspěšnost terap. bude pravidelně přehodnoc. po 6 měsících od zahájení léčby. Léčba  bude ukončena v případech, kdy zdrav. stav trvale progreduje a pacient se dostává na léčbě do stavu vysokého rizika podle Doporuč. postupů ESC/ERS na dvou po 6 měsících po sobě jdoucích kontrolách a současně není čekatelem na transplantaci, a v případě výskytu závažných NÚ souvisejících s léčbou.  </t>
    </r>
  </si>
  <si>
    <r>
      <t xml:space="preserve">u pacientů s </t>
    </r>
    <r>
      <rPr>
        <u/>
        <sz val="8"/>
        <color theme="1"/>
        <rFont val="Calibri"/>
        <family val="2"/>
        <charset val="238"/>
        <scheme val="minor"/>
      </rPr>
      <t>PAH ve funkční třídě III</t>
    </r>
    <r>
      <rPr>
        <sz val="8"/>
        <color theme="1"/>
        <rFont val="Calibri"/>
        <family val="2"/>
        <charset val="238"/>
        <scheme val="minor"/>
      </rPr>
      <t xml:space="preserve">. dle klasifikace NYHA. </t>
    </r>
  </si>
  <si>
    <r>
      <rPr>
        <i/>
        <u/>
        <sz val="8"/>
        <color theme="1"/>
        <rFont val="Calibri"/>
        <family val="2"/>
        <charset val="238"/>
        <scheme val="minor"/>
      </rPr>
      <t>sildenafil:</t>
    </r>
    <r>
      <rPr>
        <sz val="8"/>
        <color theme="1"/>
        <rFont val="Calibri"/>
        <family val="2"/>
        <charset val="238"/>
        <scheme val="minor"/>
      </rPr>
      <t xml:space="preserve"> léčba dospělých pacientů trpících </t>
    </r>
    <r>
      <rPr>
        <u/>
        <sz val="8"/>
        <color theme="1"/>
        <rFont val="Calibri"/>
        <family val="2"/>
        <charset val="238"/>
        <scheme val="minor"/>
      </rPr>
      <t xml:space="preserve">PAH třídy </t>
    </r>
    <r>
      <rPr>
        <sz val="8"/>
        <color theme="1"/>
        <rFont val="Calibri"/>
        <family val="2"/>
        <charset val="238"/>
        <scheme val="minor"/>
      </rPr>
      <t>II a</t>
    </r>
    <r>
      <rPr>
        <u/>
        <sz val="8"/>
        <color theme="1"/>
        <rFont val="Calibri"/>
        <family val="2"/>
        <charset val="238"/>
        <scheme val="minor"/>
      </rPr>
      <t xml:space="preserve"> III</t>
    </r>
    <r>
      <rPr>
        <sz val="8"/>
        <color theme="1"/>
        <rFont val="Calibri"/>
        <family val="2"/>
        <charset val="238"/>
        <scheme val="minor"/>
      </rPr>
      <t xml:space="preserve"> podle klasifikace WHO s cílem zlepšit fyzickou zdatnost. Byla prokázána </t>
    </r>
    <r>
      <rPr>
        <u/>
        <sz val="8"/>
        <color theme="1"/>
        <rFont val="Calibri"/>
        <family val="2"/>
        <charset val="238"/>
        <scheme val="minor"/>
      </rPr>
      <t>účinnost v léčbě</t>
    </r>
    <r>
      <rPr>
        <sz val="8"/>
        <color theme="1"/>
        <rFont val="Calibri"/>
        <family val="2"/>
        <charset val="238"/>
        <scheme val="minor"/>
      </rPr>
      <t xml:space="preserve"> primární plicní hypertenze a plicní hypertenze při onemocnění pojivových tkání.                            </t>
    </r>
    <r>
      <rPr>
        <u/>
        <sz val="8"/>
        <color theme="1"/>
        <rFont val="Calibri"/>
        <family val="2"/>
        <charset val="238"/>
        <scheme val="minor"/>
      </rPr>
      <t xml:space="preserve"> </t>
    </r>
    <r>
      <rPr>
        <i/>
        <u/>
        <sz val="8"/>
        <color theme="1"/>
        <rFont val="Calibri"/>
        <family val="2"/>
        <charset val="238"/>
        <scheme val="minor"/>
      </rPr>
      <t>epoprostenol</t>
    </r>
    <r>
      <rPr>
        <sz val="8"/>
        <color theme="1"/>
        <rFont val="Calibri"/>
        <family val="2"/>
        <charset val="238"/>
        <scheme val="minor"/>
      </rPr>
      <t xml:space="preserve">: k léčbě pacientů s </t>
    </r>
    <r>
      <rPr>
        <u/>
        <sz val="8"/>
        <color theme="1"/>
        <rFont val="Calibri"/>
        <family val="2"/>
        <charset val="238"/>
        <scheme val="minor"/>
      </rPr>
      <t>PAH</t>
    </r>
    <r>
      <rPr>
        <sz val="8"/>
        <color theme="1"/>
        <rFont val="Calibri"/>
        <family val="2"/>
        <charset val="238"/>
        <scheme val="minor"/>
      </rPr>
      <t xml:space="preserve"> (idiopatická nebo dědičná PAH a PAH spojená s onemocněním pojivových tkání) u pacientů se symptomy</t>
    </r>
    <r>
      <rPr>
        <u/>
        <sz val="8"/>
        <color theme="1"/>
        <rFont val="Calibri"/>
        <family val="2"/>
        <charset val="238"/>
        <scheme val="minor"/>
      </rPr>
      <t xml:space="preserve"> III</t>
    </r>
    <r>
      <rPr>
        <sz val="8"/>
        <color theme="1"/>
        <rFont val="Calibri"/>
        <family val="2"/>
        <charset val="238"/>
        <scheme val="minor"/>
      </rPr>
      <t xml:space="preserve">-IV funkční třídy podle WHO ke zlepšení zátěžové kapacity. </t>
    </r>
  </si>
  <si>
    <r>
      <rPr>
        <i/>
        <u/>
        <sz val="8"/>
        <color rgb="FF000000"/>
        <rFont val="Calibri"/>
        <family val="2"/>
        <charset val="238"/>
        <scheme val="minor"/>
      </rPr>
      <t>sildenafil</t>
    </r>
    <r>
      <rPr>
        <sz val="8"/>
        <color rgb="FF000000"/>
        <rFont val="Calibri"/>
        <family val="2"/>
        <charset val="238"/>
        <scheme val="minor"/>
      </rPr>
      <t xml:space="preserve">: </t>
    </r>
    <r>
      <rPr>
        <u/>
        <sz val="8"/>
        <color rgb="FF000000"/>
        <rFont val="Calibri"/>
        <family val="2"/>
        <charset val="238"/>
        <scheme val="minor"/>
      </rPr>
      <t>20 mg třikrát denn</t>
    </r>
    <r>
      <rPr>
        <sz val="8"/>
        <color rgb="FF000000"/>
        <rFont val="Calibri"/>
        <family val="2"/>
        <charset val="238"/>
        <scheme val="minor"/>
      </rPr>
      <t xml:space="preserve">ě                                                                                                                                               </t>
    </r>
    <r>
      <rPr>
        <i/>
        <u/>
        <sz val="8"/>
        <color rgb="FF000000"/>
        <rFont val="Calibri"/>
        <family val="2"/>
        <charset val="238"/>
        <scheme val="minor"/>
      </rPr>
      <t>epoprosteno</t>
    </r>
    <r>
      <rPr>
        <sz val="8"/>
        <color rgb="FF000000"/>
        <rFont val="Calibri"/>
        <family val="2"/>
        <charset val="238"/>
        <scheme val="minor"/>
      </rPr>
      <t>l: viz příslušné přípravky</t>
    </r>
  </si>
  <si>
    <r>
      <rPr>
        <i/>
        <u/>
        <sz val="8"/>
        <color theme="1"/>
        <rFont val="Calibri"/>
        <family val="2"/>
        <charset val="238"/>
        <scheme val="minor"/>
      </rPr>
      <t>selexipag</t>
    </r>
    <r>
      <rPr>
        <sz val="8"/>
        <color theme="1"/>
        <rFont val="Calibri"/>
        <family val="2"/>
        <charset val="238"/>
        <scheme val="minor"/>
      </rPr>
      <t>: k dlouhodobé léčbě</t>
    </r>
    <r>
      <rPr>
        <u/>
        <sz val="8"/>
        <color theme="1"/>
        <rFont val="Calibri"/>
        <family val="2"/>
        <charset val="238"/>
        <scheme val="minor"/>
      </rPr>
      <t xml:space="preserve"> PAH</t>
    </r>
    <r>
      <rPr>
        <sz val="8"/>
        <color theme="1"/>
        <rFont val="Calibri"/>
        <family val="2"/>
        <charset val="238"/>
        <scheme val="minor"/>
      </rPr>
      <t xml:space="preserve"> u dospělých pacientů s FC </t>
    </r>
    <r>
      <rPr>
        <u/>
        <sz val="8"/>
        <color theme="1"/>
        <rFont val="Calibri"/>
        <family val="2"/>
        <charset val="238"/>
        <scheme val="minor"/>
      </rPr>
      <t xml:space="preserve">II-III </t>
    </r>
    <r>
      <rPr>
        <sz val="8"/>
        <color theme="1"/>
        <rFont val="Calibri"/>
        <family val="2"/>
        <charset val="238"/>
        <scheme val="minor"/>
      </rPr>
      <t xml:space="preserve">WHO, a to </t>
    </r>
    <r>
      <rPr>
        <u/>
        <sz val="8"/>
        <color theme="1"/>
        <rFont val="Calibri"/>
        <family val="2"/>
        <charset val="238"/>
        <scheme val="minor"/>
      </rPr>
      <t xml:space="preserve">buď v kombinované terapii </t>
    </r>
    <r>
      <rPr>
        <sz val="8"/>
        <color theme="1"/>
        <rFont val="Calibri"/>
        <family val="2"/>
        <charset val="238"/>
        <scheme val="minor"/>
      </rPr>
      <t xml:space="preserve">u pacientů, u nichž není dostatečná léčba ERA a/nebo PDE-5, </t>
    </r>
    <r>
      <rPr>
        <u/>
        <sz val="8"/>
        <color theme="1"/>
        <rFont val="Calibri"/>
        <family val="2"/>
        <charset val="238"/>
        <scheme val="minor"/>
      </rPr>
      <t>nebo v monoterapii</t>
    </r>
    <r>
      <rPr>
        <sz val="8"/>
        <color theme="1"/>
        <rFont val="Calibri"/>
        <family val="2"/>
        <charset val="238"/>
        <scheme val="minor"/>
      </rPr>
      <t xml:space="preserve"> u pacientů, kteří nejsou kandidáty pro tyto terapie. </t>
    </r>
    <r>
      <rPr>
        <u/>
        <sz val="8"/>
        <color theme="1"/>
        <rFont val="Calibri"/>
        <family val="2"/>
        <charset val="238"/>
        <scheme val="minor"/>
      </rPr>
      <t xml:space="preserve">Účinnost byla prokázána u </t>
    </r>
    <r>
      <rPr>
        <sz val="8"/>
        <color theme="1"/>
        <rFont val="Calibri"/>
        <family val="2"/>
        <charset val="238"/>
        <scheme val="minor"/>
      </rPr>
      <t xml:space="preserve">populace s PAH, včetně idiopatické a dědičné PAH, PAH spojené s poruchami pojivové tkáně a PAH spojené s upravenou prostou vrozenou srdeční vadou. </t>
    </r>
  </si>
  <si>
    <t>C02KX02 + G04BE08</t>
  </si>
  <si>
    <t>C02KX04 + G04BE03</t>
  </si>
  <si>
    <t>G04BE08 + C02KX01</t>
  </si>
  <si>
    <t>PDE5i + ERA</t>
  </si>
  <si>
    <r>
      <rPr>
        <i/>
        <sz val="8"/>
        <color rgb="FF000000"/>
        <rFont val="Calibri"/>
        <family val="2"/>
        <charset val="238"/>
        <scheme val="minor"/>
      </rPr>
      <t>pro inicial.kombinaci</t>
    </r>
    <r>
      <rPr>
        <sz val="8"/>
        <color rgb="FF000000"/>
        <rFont val="Calibri"/>
        <family val="2"/>
        <charset val="238"/>
        <scheme val="minor"/>
      </rPr>
      <t xml:space="preserve">: IB pro FC II                                              IB pro FC III                                           IIbC pro FC IV                      </t>
    </r>
    <r>
      <rPr>
        <i/>
        <sz val="8"/>
        <color rgb="FF000000"/>
        <rFont val="Calibri"/>
        <family val="2"/>
        <charset val="238"/>
        <scheme val="minor"/>
      </rPr>
      <t>pro ambri. add-on tadal.či naopak</t>
    </r>
    <r>
      <rPr>
        <sz val="8"/>
        <color rgb="FF000000"/>
        <rFont val="Calibri"/>
        <family val="2"/>
        <charset val="238"/>
        <scheme val="minor"/>
      </rPr>
      <t>:                    pro FC II-IV je IIbC</t>
    </r>
  </si>
  <si>
    <r>
      <rPr>
        <i/>
        <sz val="8"/>
        <color theme="1"/>
        <rFont val="Calibri"/>
        <family val="2"/>
        <charset val="238"/>
        <scheme val="minor"/>
      </rPr>
      <t>Opsumit:</t>
    </r>
    <r>
      <rPr>
        <sz val="8"/>
        <color theme="1"/>
        <rFont val="Calibri"/>
        <family val="2"/>
        <charset val="238"/>
        <scheme val="minor"/>
      </rPr>
      <t xml:space="preserve"> </t>
    </r>
    <r>
      <rPr>
        <u/>
        <sz val="8"/>
        <color theme="1"/>
        <rFont val="Calibri"/>
        <family val="2"/>
        <charset val="238"/>
        <scheme val="minor"/>
      </rPr>
      <t>nemá zatím v ČR úhrad</t>
    </r>
    <r>
      <rPr>
        <sz val="8"/>
        <color theme="1"/>
        <rFont val="Calibri"/>
        <family val="2"/>
        <charset val="238"/>
        <scheme val="minor"/>
      </rPr>
      <t xml:space="preserve">u                                                                                                                       </t>
    </r>
    <r>
      <rPr>
        <i/>
        <sz val="8"/>
        <color theme="1"/>
        <rFont val="Calibri"/>
        <family val="2"/>
        <charset val="238"/>
        <scheme val="minor"/>
      </rPr>
      <t>sildenafil</t>
    </r>
    <r>
      <rPr>
        <sz val="8"/>
        <color theme="1"/>
        <rFont val="Calibri"/>
        <family val="2"/>
        <charset val="238"/>
        <scheme val="minor"/>
      </rPr>
      <t xml:space="preserve">: u pacientů s </t>
    </r>
    <r>
      <rPr>
        <u/>
        <sz val="8"/>
        <color theme="1"/>
        <rFont val="Calibri"/>
        <family val="2"/>
        <charset val="238"/>
        <scheme val="minor"/>
      </rPr>
      <t>PAH</t>
    </r>
    <r>
      <rPr>
        <sz val="8"/>
        <color theme="1"/>
        <rFont val="Calibri"/>
        <family val="2"/>
        <charset val="238"/>
        <scheme val="minor"/>
      </rPr>
      <t xml:space="preserve"> ve funkční třídě </t>
    </r>
    <r>
      <rPr>
        <u/>
        <sz val="8"/>
        <color theme="1"/>
        <rFont val="Calibri"/>
        <family val="2"/>
        <charset val="238"/>
        <scheme val="minor"/>
      </rPr>
      <t>III.</t>
    </r>
    <r>
      <rPr>
        <sz val="8"/>
        <color theme="1"/>
        <rFont val="Calibri"/>
        <family val="2"/>
        <charset val="238"/>
        <scheme val="minor"/>
      </rPr>
      <t xml:space="preserve"> dle klasifikace NYHA. </t>
    </r>
  </si>
  <si>
    <t>C02KX01 + B01AC09</t>
  </si>
  <si>
    <r>
      <rPr>
        <i/>
        <u/>
        <sz val="8"/>
        <color rgb="FF000000"/>
        <rFont val="Calibri"/>
        <family val="2"/>
        <charset val="238"/>
        <scheme val="minor"/>
      </rPr>
      <t>bosentan</t>
    </r>
    <r>
      <rPr>
        <sz val="8"/>
        <color rgb="FF000000"/>
        <rFont val="Calibri"/>
        <family val="2"/>
        <charset val="238"/>
        <scheme val="minor"/>
      </rPr>
      <t>: u dospělých má být léčba</t>
    </r>
    <r>
      <rPr>
        <u/>
        <sz val="8"/>
        <color rgb="FF000000"/>
        <rFont val="Calibri"/>
        <family val="2"/>
        <charset val="238"/>
        <scheme val="minor"/>
      </rPr>
      <t xml:space="preserve"> zahájena dávkou 62,5 mg 2x denně po dobu 4 týdnů</t>
    </r>
    <r>
      <rPr>
        <sz val="8"/>
        <color rgb="FF000000"/>
        <rFont val="Calibri"/>
        <family val="2"/>
        <charset val="238"/>
        <scheme val="minor"/>
      </rPr>
      <t xml:space="preserve">, která poté má být </t>
    </r>
    <r>
      <rPr>
        <u/>
        <sz val="8"/>
        <color rgb="FF000000"/>
        <rFont val="Calibri"/>
        <family val="2"/>
        <charset val="238"/>
        <scheme val="minor"/>
      </rPr>
      <t>zvýšena na udržovací dávku 125 mg 2x denně</t>
    </r>
    <r>
      <rPr>
        <sz val="8"/>
        <color rgb="FF000000"/>
        <rFont val="Calibri"/>
        <family val="2"/>
        <charset val="238"/>
        <scheme val="minor"/>
      </rPr>
      <t xml:space="preserve">. Stejná doporučení platí pro znovunasazení po přerušení léčby. V případě klin. zhoršení (např. zkrácení vzdálenosti při 6MWD o nejméně 10% oproti měření před léčbou) i navzdory léčbě  probíhající nejméně 8 týdnů (cílová dávka nejméně 4 týdny) mají být zváženy alternat. terapie. Nicméně někteří pac., kteří nezareagují na léčbu  ani po 8 týdnech, mohou příznivě reagovat po dalších 4 až 8 týdnech léčby.                                                                                                                                                </t>
    </r>
    <r>
      <rPr>
        <i/>
        <u/>
        <sz val="8"/>
        <color rgb="FF000000"/>
        <rFont val="Calibri"/>
        <family val="2"/>
        <charset val="238"/>
        <scheme val="minor"/>
      </rPr>
      <t>epoprostenol</t>
    </r>
    <r>
      <rPr>
        <sz val="8"/>
        <color rgb="FF000000"/>
        <rFont val="Calibri"/>
        <family val="2"/>
        <charset val="238"/>
        <scheme val="minor"/>
      </rPr>
      <t>: viz příslušné přípravky</t>
    </r>
  </si>
  <si>
    <t>B01AC11 + C02KX01</t>
  </si>
  <si>
    <t>iloprost add to bosentan</t>
  </si>
  <si>
    <r>
      <rPr>
        <i/>
        <u/>
        <sz val="8"/>
        <color theme="1"/>
        <rFont val="Calibri"/>
        <family val="2"/>
        <charset val="238"/>
        <scheme val="minor"/>
      </rPr>
      <t>bosentan:</t>
    </r>
    <r>
      <rPr>
        <sz val="8"/>
        <color theme="1"/>
        <rFont val="Calibri"/>
        <family val="2"/>
        <charset val="238"/>
        <scheme val="minor"/>
      </rPr>
      <t xml:space="preserve"> léčba </t>
    </r>
    <r>
      <rPr>
        <u/>
        <sz val="8"/>
        <color theme="1"/>
        <rFont val="Calibri"/>
        <family val="2"/>
        <charset val="238"/>
        <scheme val="minor"/>
      </rPr>
      <t>PAH</t>
    </r>
    <r>
      <rPr>
        <sz val="8"/>
        <color theme="1"/>
        <rFont val="Calibri"/>
        <family val="2"/>
        <charset val="238"/>
        <scheme val="minor"/>
      </rPr>
      <t xml:space="preserve"> s cílem zlepšení zátěž. kapacity a symp. u pac. s onem. </t>
    </r>
    <r>
      <rPr>
        <u/>
        <sz val="8"/>
        <color theme="1"/>
        <rFont val="Calibri"/>
        <family val="2"/>
        <charset val="238"/>
        <scheme val="minor"/>
      </rPr>
      <t xml:space="preserve">stupně  III </t>
    </r>
    <r>
      <rPr>
        <sz val="8"/>
        <color theme="1"/>
        <rFont val="Calibri"/>
        <family val="2"/>
        <charset val="238"/>
        <scheme val="minor"/>
      </rPr>
      <t xml:space="preserve">podle fční klasif.WHO. Účinnost byla prokázána u těchto indikací: * Primární (idiopatická a dědičná) PAH, * PAH sek. při sklerodermii bez významného interstic. plicního onem., * PAH sdružená s vrozenými levo-pravými zkraty a Eisenmengerovým sy.                            </t>
    </r>
    <r>
      <rPr>
        <u/>
        <sz val="8"/>
        <color theme="1"/>
        <rFont val="Calibri"/>
        <family val="2"/>
        <charset val="238"/>
        <scheme val="minor"/>
      </rPr>
      <t xml:space="preserve"> </t>
    </r>
    <r>
      <rPr>
        <i/>
        <u/>
        <sz val="8"/>
        <color theme="1"/>
        <rFont val="Calibri"/>
        <family val="2"/>
        <charset val="238"/>
        <scheme val="minor"/>
      </rPr>
      <t>epoprostenol</t>
    </r>
    <r>
      <rPr>
        <sz val="8"/>
        <color theme="1"/>
        <rFont val="Calibri"/>
        <family val="2"/>
        <charset val="238"/>
        <scheme val="minor"/>
      </rPr>
      <t xml:space="preserve">: k léčbě pacientů s </t>
    </r>
    <r>
      <rPr>
        <u/>
        <sz val="8"/>
        <color theme="1"/>
        <rFont val="Calibri"/>
        <family val="2"/>
        <charset val="238"/>
        <scheme val="minor"/>
      </rPr>
      <t>PAH</t>
    </r>
    <r>
      <rPr>
        <sz val="8"/>
        <color theme="1"/>
        <rFont val="Calibri"/>
        <family val="2"/>
        <charset val="238"/>
        <scheme val="minor"/>
      </rPr>
      <t xml:space="preserve"> (idiopatická nebo dědičná PAH a PAH spojená s onemocněním pojivových tkání) u pacientů se symptomy</t>
    </r>
    <r>
      <rPr>
        <u/>
        <sz val="8"/>
        <color theme="1"/>
        <rFont val="Calibri"/>
        <family val="2"/>
        <charset val="238"/>
        <scheme val="minor"/>
      </rPr>
      <t xml:space="preserve"> III</t>
    </r>
    <r>
      <rPr>
        <sz val="8"/>
        <color theme="1"/>
        <rFont val="Calibri"/>
        <family val="2"/>
        <charset val="238"/>
        <scheme val="minor"/>
      </rPr>
      <t xml:space="preserve">-IV funkční třídy podle WHO ke zlepšení zátěžové kapacity. </t>
    </r>
  </si>
  <si>
    <r>
      <rPr>
        <i/>
        <u/>
        <sz val="8"/>
        <color theme="1"/>
        <rFont val="Calibri"/>
        <family val="2"/>
        <charset val="238"/>
        <scheme val="minor"/>
      </rPr>
      <t>Ventavis</t>
    </r>
    <r>
      <rPr>
        <sz val="8"/>
        <color theme="1"/>
        <rFont val="Calibri"/>
        <family val="2"/>
        <charset val="238"/>
        <scheme val="minor"/>
      </rPr>
      <t>: léčba dospělých pacientů s</t>
    </r>
    <r>
      <rPr>
        <u/>
        <sz val="8"/>
        <color theme="1"/>
        <rFont val="Calibri"/>
        <family val="2"/>
        <charset val="238"/>
        <scheme val="minor"/>
      </rPr>
      <t xml:space="preserve"> PAH </t>
    </r>
    <r>
      <rPr>
        <sz val="8"/>
        <color theme="1"/>
        <rFont val="Calibri"/>
        <family val="2"/>
        <charset val="238"/>
        <scheme val="minor"/>
      </rPr>
      <t>klasifikovanou jako FC</t>
    </r>
    <r>
      <rPr>
        <u/>
        <sz val="8"/>
        <color theme="1"/>
        <rFont val="Calibri"/>
        <family val="2"/>
        <charset val="238"/>
        <scheme val="minor"/>
      </rPr>
      <t xml:space="preserve"> III</t>
    </r>
    <r>
      <rPr>
        <sz val="8"/>
        <color theme="1"/>
        <rFont val="Calibri"/>
        <family val="2"/>
        <charset val="238"/>
        <scheme val="minor"/>
      </rPr>
      <t xml:space="preserve"> podle NYHA, ke zlepšení kapacity a sympt. během tělesné námahy.                                                                                                                             </t>
    </r>
    <r>
      <rPr>
        <i/>
        <u/>
        <sz val="8"/>
        <color theme="1"/>
        <rFont val="Calibri"/>
        <family val="2"/>
        <charset val="238"/>
        <scheme val="minor"/>
      </rPr>
      <t>bosentan</t>
    </r>
    <r>
      <rPr>
        <sz val="8"/>
        <color theme="1"/>
        <rFont val="Calibri"/>
        <family val="2"/>
        <charset val="238"/>
        <scheme val="minor"/>
      </rPr>
      <t xml:space="preserve">: léčba </t>
    </r>
    <r>
      <rPr>
        <u/>
        <sz val="8"/>
        <color theme="1"/>
        <rFont val="Calibri"/>
        <family val="2"/>
        <charset val="238"/>
        <scheme val="minor"/>
      </rPr>
      <t>PAH</t>
    </r>
    <r>
      <rPr>
        <sz val="8"/>
        <color theme="1"/>
        <rFont val="Calibri"/>
        <family val="2"/>
        <charset val="238"/>
        <scheme val="minor"/>
      </rPr>
      <t xml:space="preserve"> s cílem zlepšení zátěž. kapacity a symp. u pac. s onem. </t>
    </r>
    <r>
      <rPr>
        <u/>
        <sz val="8"/>
        <color theme="1"/>
        <rFont val="Calibri"/>
        <family val="2"/>
        <charset val="238"/>
        <scheme val="minor"/>
      </rPr>
      <t>stupně  III</t>
    </r>
    <r>
      <rPr>
        <sz val="8"/>
        <color theme="1"/>
        <rFont val="Calibri"/>
        <family val="2"/>
        <charset val="238"/>
        <scheme val="minor"/>
      </rPr>
      <t xml:space="preserve"> podle fční klasif.WHO. Účinnost byla prokázána u těchto indikací: * Primární (idiopatická a dědičná) PAH, * PAH sek. při sklerodermii bez významného interstic. plicního onem., * PAH sdružená s vrozenými levo-pravými zkraty a Eisenmengerovým sy.                            </t>
    </r>
  </si>
  <si>
    <r>
      <rPr>
        <i/>
        <u/>
        <sz val="8"/>
        <color rgb="FF000000"/>
        <rFont val="Calibri"/>
        <family val="2"/>
        <charset val="238"/>
        <scheme val="minor"/>
      </rPr>
      <t xml:space="preserve">Ventavis: </t>
    </r>
    <r>
      <rPr>
        <sz val="8"/>
        <color rgb="FF000000"/>
        <rFont val="Calibri"/>
        <family val="2"/>
        <charset val="238"/>
        <scheme val="minor"/>
      </rPr>
      <t xml:space="preserve">viz příslušný přípravek                                                                                                                                 </t>
    </r>
    <r>
      <rPr>
        <i/>
        <u/>
        <sz val="8"/>
        <color rgb="FF000000"/>
        <rFont val="Calibri"/>
        <family val="2"/>
        <charset val="238"/>
        <scheme val="minor"/>
      </rPr>
      <t>bosentan</t>
    </r>
    <r>
      <rPr>
        <sz val="8"/>
        <color rgb="FF000000"/>
        <rFont val="Calibri"/>
        <family val="2"/>
        <charset val="238"/>
        <scheme val="minor"/>
      </rPr>
      <t>: u dospělých má být léčba</t>
    </r>
    <r>
      <rPr>
        <u/>
        <sz val="8"/>
        <color rgb="FF000000"/>
        <rFont val="Calibri"/>
        <family val="2"/>
        <charset val="238"/>
        <scheme val="minor"/>
      </rPr>
      <t xml:space="preserve"> zahájena dávkou 62,5 mg 2x denně po dobu 4 týdnů</t>
    </r>
    <r>
      <rPr>
        <sz val="8"/>
        <color rgb="FF000000"/>
        <rFont val="Calibri"/>
        <family val="2"/>
        <charset val="238"/>
        <scheme val="minor"/>
      </rPr>
      <t xml:space="preserve">, která poté má být </t>
    </r>
    <r>
      <rPr>
        <u/>
        <sz val="8"/>
        <color rgb="FF000000"/>
        <rFont val="Calibri"/>
        <family val="2"/>
        <charset val="238"/>
        <scheme val="minor"/>
      </rPr>
      <t>zvýšena na udržovací dávku 125 mg 2x denně</t>
    </r>
    <r>
      <rPr>
        <sz val="8"/>
        <color rgb="FF000000"/>
        <rFont val="Calibri"/>
        <family val="2"/>
        <charset val="238"/>
        <scheme val="minor"/>
      </rPr>
      <t xml:space="preserve">. Stejná doporučení platí pro znovunasazení po přerušení léčby. V případě klin. zhoršení (např. zkrácení vzdálenosti při 6MWD o nejméně 10% oproti měření před léčbou) i navzdory léčbě  probíhající nejméně 8 týdnů (cílová dávka nejméně 4 týdny) mají být zváženy alternat. terapie. Nicméně někteří pac., kteří nezareagují na léčbu  ani po 8 týdnech, mohou příznivě reagovat po dalších 4 až 8 týdnech léčby.                                                                                                                                               </t>
    </r>
    <r>
      <rPr>
        <i/>
        <u/>
        <sz val="8"/>
        <color rgb="FF000000"/>
        <rFont val="Calibri"/>
        <family val="2"/>
        <charset val="238"/>
        <scheme val="minor"/>
      </rPr>
      <t/>
    </r>
  </si>
  <si>
    <r>
      <rPr>
        <i/>
        <sz val="9"/>
        <color rgb="FF000000"/>
        <rFont val="Calibri"/>
        <family val="2"/>
        <charset val="238"/>
        <scheme val="minor"/>
      </rPr>
      <t>pro iloprost add to bosentan</t>
    </r>
    <r>
      <rPr>
        <sz val="9"/>
        <color rgb="FF000000"/>
        <rFont val="Calibri"/>
        <family val="2"/>
        <charset val="238"/>
        <scheme val="minor"/>
      </rPr>
      <t xml:space="preserve">:                                 IIbB pro FC II                                              IIbB pro FC III                                           IIbC pro FC IV </t>
    </r>
  </si>
  <si>
    <t xml:space="preserve">*Současné podávání s látkami dodávajícími NO (jako je amylnitrit) nebo nitráty v jakékoli formě vzhledem k hypotenz. účinku nitrátů , *Současné podávání s GCS, jako je riocigvát, protože může potenciálně vést k hypotenzi, *Kombinace s nejsilnějšími inhibitory CYP3A4 , *Pacienti, kteří v důsledku nearterické přední ischem. neuropatie optic. nervu (NAION) ztratili zrak u jednoho oka, *Závažná porucha funkce jater, *Nedávná CMP nebo IM v anamnéze, *Závažná hypotenze (TK &lt; 90/50 mmHg) na počátku léčby, * U pacientů s městnavým srdečním selháním při těžké dysfunkci levé komory, * Nesmí dlouhodobě užívat pacienti, u nichž se v průběhu titrace dávky rozvine plicní edém.                                                                                 </t>
  </si>
  <si>
    <t>* zvýšené riziko krvácivých příhod (zejména u pac. s dalšímy riz.faktory), * opatrně u pac. s ICHS, * je nutné se vyvarovat (s vyjímkou život ohrož. stavů) náhlého vysazení nebo přerušení infuze (riziko rebound fenoménu vedoucímu až k event. úmrtí), * kontin. infuzi podávat pomocí permanetního CŽK</t>
  </si>
  <si>
    <t>*nedoporučuje se užívat při retinitis pigmentosa, *riziko vazodilatace (zvláště u pac. s hypotenzí, s hypovolémií, autonomní dysfcí, atd.), *nepodávat u pac. s plicní hypertenzí sek. k srpkovité anémii, u pac. s plicní venookluz. nemocí, *opatrnost při komb. s alfa-blok pro riziko  hypotenze, při podávání pac.s krvácivýmí stavy, při komb.s warfarinem   +   viz upozornění pro epoprostenol u příslušného přípravku</t>
  </si>
  <si>
    <t>*Těžká ICHS nebo nestabilní AP, *IM v posledních 6 měsících, *Dekompenzované srdeční selhání, pokud není pod pečlivým lékař. dohledem, *Závažné arytmie, *Cerebrovaskulární příhody (např. TIA, CMP) v posledních 3 měsících, *Vrozené nebo získané vady chlopní s klinicky relevantními poruchami funkce myokardu, které nesouvisí s plicní hypertenzí, *Současné užívání silných inhibitorů CYP2C8, *U pacientů s těžkou jater. dysfcí (Child-Pugh třída C) nejsou se selexipagem žádné klin. zkušenosti, proto se těmto pacientům nemá podávat, stejně tak u pac. na dialýze  +   KI u ERA</t>
  </si>
  <si>
    <t>*Těžká ICHS nebo nestabilní AP, *IM v posledních 6 měsících, *Dekompenzované srdeční selhání, pokud není pod pečlivým lékař. dohledem, *Závažné arytmie, *Cerebrovaskulární příhody (např. TIA, CMP) v posledních 3 měsících, *Vrozené nebo získané vady chlopní s klinicky relevantními poruchami funkce myokardu, které nesouvisí s plicní hypertenzí, *Současné užívání silných inhibitorů CYP2C8, *U pacientů s těžkou jater. dysfcí (Child-Pugh třída C) nejsou se selexipagem žádné klin. zkušenosti, proto se těmto pacientům nemá podávat, stejně tak u pac. na dialýze   +   KI u ERA  +  KI u sildenafilu viz příslušné přípravky</t>
  </si>
  <si>
    <t xml:space="preserve">* opatrně podávat u pacientů s rizikem hypotenze, *možné riziko hyperthyreoid., *Pokud se při podávání selexipagu objeví známky plicního edému, je nutno zvážit možnost plicní venookluzivní choroby - v tom případě je pak nutno léčbu selexipag. ukončit, *s opatrností podávat u pac. starších 75 let, *u pac. se  střed. těžkou jater. dysfcí  (Child-Pugh třída B) dávk. 1x denně, *u pac. s eGFR &lt; 30 ml/min/1,73 m2 titrovat s opatrností  +   viz upozornění pro ERA  u přísluš. přípr. </t>
  </si>
  <si>
    <t xml:space="preserve">* opatrně podávat u pacientů s rizikem hypotenze, *možné riziko hyperthyreoid., *Pokud se při podávání selexipagu objeví známky plicního edému, je nutno zvážit možnost plicní venookluzivní choroby - v tom případě je pak nutno léčbu selexipag. ukončit, *s opatrností podávat u pac. starších 75 let, *u pac. se  střed. těžkou jater. dysfcí  (Child-Pugh třída B) dávk. 1x denně, *u pac. s eGFR &lt; 30 ml/min/1,73 m2 titrovat s opatrností  +   viz upozornění pro ERA a sildenafilu u přísluš. přípr. </t>
  </si>
  <si>
    <t>viz u jednotlivých přípravků</t>
  </si>
  <si>
    <r>
      <rPr>
        <i/>
        <u/>
        <sz val="8"/>
        <color rgb="FF000000"/>
        <rFont val="Calibri"/>
        <family val="2"/>
        <charset val="238"/>
        <scheme val="minor"/>
      </rPr>
      <t>Opsumit:</t>
    </r>
    <r>
      <rPr>
        <sz val="8"/>
        <color rgb="FF000000"/>
        <rFont val="Calibri"/>
        <family val="2"/>
        <charset val="238"/>
        <scheme val="minor"/>
      </rPr>
      <t xml:space="preserve"> doporučená dávka je </t>
    </r>
    <r>
      <rPr>
        <u/>
        <sz val="8"/>
        <color rgb="FF000000"/>
        <rFont val="Calibri"/>
        <family val="2"/>
        <charset val="238"/>
        <scheme val="minor"/>
      </rPr>
      <t>10 mg denně</t>
    </r>
    <r>
      <rPr>
        <sz val="8"/>
        <color rgb="FF000000"/>
        <rFont val="Calibri"/>
        <family val="2"/>
        <charset val="238"/>
        <scheme val="minor"/>
      </rPr>
      <t xml:space="preserve">.                                                                                                              </t>
    </r>
    <r>
      <rPr>
        <i/>
        <u/>
        <sz val="8"/>
        <color rgb="FF000000"/>
        <rFont val="Calibri"/>
        <family val="2"/>
        <charset val="238"/>
        <scheme val="minor"/>
      </rPr>
      <t>sildenafil</t>
    </r>
    <r>
      <rPr>
        <sz val="8"/>
        <color rgb="FF000000"/>
        <rFont val="Calibri"/>
        <family val="2"/>
        <charset val="238"/>
        <scheme val="minor"/>
      </rPr>
      <t xml:space="preserve">: doporučená dávka je </t>
    </r>
    <r>
      <rPr>
        <u/>
        <sz val="8"/>
        <color rgb="FF000000"/>
        <rFont val="Calibri"/>
        <family val="2"/>
        <charset val="238"/>
        <scheme val="minor"/>
      </rPr>
      <t>20 mg třikrát denn</t>
    </r>
    <r>
      <rPr>
        <sz val="8"/>
        <color rgb="FF000000"/>
        <rFont val="Calibri"/>
        <family val="2"/>
        <charset val="238"/>
        <scheme val="minor"/>
      </rPr>
      <t>ě</t>
    </r>
  </si>
  <si>
    <r>
      <rPr>
        <i/>
        <u/>
        <sz val="8"/>
        <color rgb="FF000000"/>
        <rFont val="Calibri"/>
        <family val="2"/>
        <charset val="238"/>
        <scheme val="minor"/>
      </rPr>
      <t xml:space="preserve">Adempas: </t>
    </r>
    <r>
      <rPr>
        <u/>
        <sz val="8"/>
        <color rgb="FF000000"/>
        <rFont val="Calibri"/>
        <family val="2"/>
        <charset val="238"/>
        <scheme val="minor"/>
      </rPr>
      <t xml:space="preserve">úvodní dávka je 1 mg 3x denně </t>
    </r>
    <r>
      <rPr>
        <sz val="8"/>
        <color rgb="FF000000"/>
        <rFont val="Calibri"/>
        <family val="2"/>
        <charset val="238"/>
        <scheme val="minor"/>
      </rPr>
      <t xml:space="preserve">(cca s odstupem 6-8 hod.) </t>
    </r>
    <r>
      <rPr>
        <u/>
        <sz val="8"/>
        <color rgb="FF000000"/>
        <rFont val="Calibri"/>
        <family val="2"/>
        <charset val="238"/>
        <scheme val="minor"/>
      </rPr>
      <t>po dobu 2 týdnů. Dávka se má zvyšovat po 0,5 mg 3x denně každé 2 týdny na max. dávku 2,5 mg 3x denně, pokud je</t>
    </r>
    <r>
      <rPr>
        <sz val="8"/>
        <color rgb="FF000000"/>
        <rFont val="Calibri"/>
        <family val="2"/>
        <charset val="238"/>
        <scheme val="minor"/>
      </rPr>
      <t xml:space="preserve"> sTK &gt;= 95 mmHg a pacient nemá žádné známky hypotenze                                                                                                                                 </t>
    </r>
    <r>
      <rPr>
        <i/>
        <u/>
        <sz val="8"/>
        <color rgb="FF000000"/>
        <rFont val="Calibri"/>
        <family val="2"/>
        <charset val="238"/>
        <scheme val="minor"/>
      </rPr>
      <t>bosentan</t>
    </r>
    <r>
      <rPr>
        <sz val="8"/>
        <color rgb="FF000000"/>
        <rFont val="Calibri"/>
        <family val="2"/>
        <charset val="238"/>
        <scheme val="minor"/>
      </rPr>
      <t>: u dospělých má být léčba</t>
    </r>
    <r>
      <rPr>
        <u/>
        <sz val="8"/>
        <color rgb="FF000000"/>
        <rFont val="Calibri"/>
        <family val="2"/>
        <charset val="238"/>
        <scheme val="minor"/>
      </rPr>
      <t xml:space="preserve"> zahájena dávkou 62,5 mg 2x denně po dobu 4 týdnů</t>
    </r>
    <r>
      <rPr>
        <sz val="8"/>
        <color rgb="FF000000"/>
        <rFont val="Calibri"/>
        <family val="2"/>
        <charset val="238"/>
        <scheme val="minor"/>
      </rPr>
      <t xml:space="preserve">, která poté má být </t>
    </r>
    <r>
      <rPr>
        <u/>
        <sz val="8"/>
        <color rgb="FF000000"/>
        <rFont val="Calibri"/>
        <family val="2"/>
        <charset val="238"/>
        <scheme val="minor"/>
      </rPr>
      <t>zvýšena na udržovací dávku 125 mg 2x denně</t>
    </r>
    <r>
      <rPr>
        <sz val="8"/>
        <color rgb="FF000000"/>
        <rFont val="Calibri"/>
        <family val="2"/>
        <charset val="238"/>
        <scheme val="minor"/>
      </rPr>
      <t xml:space="preserve">. Stejná doporučení platí pro znovunasazení po přerušení léčby. V případě klin. zhoršení (např. zkrácení vzdálenosti při 6MWD o nejméně 10% oproti měření před léčbou) i navzdory léčbě  probíhající nejméně 8 týdnů (cílová dávka nejméně 4 týdny) mají být zváženy alternat. terapie. Nicméně někteří pac., kteří nezareagují na léčbu  ani po 8 týdnech, mohou příznivě reagovat po dalších 4 až 8 týdnech léčby.                                                                                                                                               </t>
    </r>
    <r>
      <rPr>
        <i/>
        <u/>
        <sz val="8"/>
        <color rgb="FF000000"/>
        <rFont val="Calibri"/>
        <family val="2"/>
        <charset val="238"/>
        <scheme val="minor"/>
      </rPr>
      <t/>
    </r>
  </si>
  <si>
    <r>
      <t xml:space="preserve">selexipag: </t>
    </r>
    <r>
      <rPr>
        <u/>
        <sz val="8"/>
        <color rgb="FF000000"/>
        <rFont val="Calibri"/>
        <family val="2"/>
        <charset val="238"/>
        <scheme val="minor"/>
      </rPr>
      <t>zahajovací dávka je 200 µg 2x denně</t>
    </r>
    <r>
      <rPr>
        <sz val="8"/>
        <color rgb="FF000000"/>
        <rFont val="Calibri"/>
        <family val="2"/>
        <charset val="238"/>
        <scheme val="minor"/>
      </rPr>
      <t xml:space="preserve"> s odstupem přibližně 12 hodin. </t>
    </r>
    <r>
      <rPr>
        <u/>
        <sz val="8"/>
        <color rgb="FF000000"/>
        <rFont val="Calibri"/>
        <family val="2"/>
        <charset val="238"/>
        <scheme val="minor"/>
      </rPr>
      <t>Tato dávka se zvyšuje po 200 µg podávaných 2x denně, obvykle v týdenních intervalech</t>
    </r>
    <r>
      <rPr>
        <sz val="8"/>
        <color rgb="FF000000"/>
        <rFont val="Calibri"/>
        <family val="2"/>
        <charset val="238"/>
        <scheme val="minor"/>
      </rPr>
      <t xml:space="preserve">. Na začátku léčby a při každém kroku vzestupné titrace se doporučuje užít první dávku večer. Je nutno provést vzestupnou titraci na nejvyšší </t>
    </r>
    <r>
      <rPr>
        <u/>
        <sz val="8"/>
        <color rgb="FF000000"/>
        <rFont val="Calibri"/>
        <family val="2"/>
        <charset val="238"/>
        <scheme val="minor"/>
      </rPr>
      <t>individ. tolerovanou dávku, která se může pohybovat od 200 µg podávaných 2x denně do 1600 µg podávaných 2x denně</t>
    </r>
    <r>
      <rPr>
        <sz val="8"/>
        <color rgb="FF000000"/>
        <rFont val="Calibri"/>
        <family val="2"/>
        <charset val="238"/>
        <scheme val="minor"/>
      </rPr>
      <t xml:space="preserve">. Nejvyšší tolerovaná dávka dosažená během titrace se má udržovat. Pokud bude léčba časem při dané dávce hůře snášena, je nutno zvážit symptom. léčbu a/nebo snížení dávky na nejbližší nižší dávku.                                                                                                                                                                                                                             </t>
    </r>
    <r>
      <rPr>
        <i/>
        <u/>
        <sz val="8"/>
        <color rgb="FF000000"/>
        <rFont val="Calibri"/>
        <family val="2"/>
        <charset val="238"/>
        <scheme val="minor"/>
      </rPr>
      <t>ERA</t>
    </r>
    <r>
      <rPr>
        <sz val="8"/>
        <color rgb="FF000000"/>
        <rFont val="Calibri"/>
        <family val="2"/>
        <charset val="238"/>
        <scheme val="minor"/>
      </rPr>
      <t>:</t>
    </r>
  </si>
  <si>
    <r>
      <t xml:space="preserve">selexipag: </t>
    </r>
    <r>
      <rPr>
        <u/>
        <sz val="8"/>
        <color rgb="FF000000"/>
        <rFont val="Calibri"/>
        <family val="2"/>
        <charset val="238"/>
        <scheme val="minor"/>
      </rPr>
      <t>zahajovací dávka je 200 µg 2x denně</t>
    </r>
    <r>
      <rPr>
        <sz val="8"/>
        <color rgb="FF000000"/>
        <rFont val="Calibri"/>
        <family val="2"/>
        <charset val="238"/>
        <scheme val="minor"/>
      </rPr>
      <t xml:space="preserve"> s odstupem přibližně 12 hodin. </t>
    </r>
    <r>
      <rPr>
        <u/>
        <sz val="8"/>
        <color rgb="FF000000"/>
        <rFont val="Calibri"/>
        <family val="2"/>
        <charset val="238"/>
        <scheme val="minor"/>
      </rPr>
      <t>Tato dávka se zvyšuje po 200 µg podávaných 2x denně, obvykle v týdenních intervalech</t>
    </r>
    <r>
      <rPr>
        <sz val="8"/>
        <color rgb="FF000000"/>
        <rFont val="Calibri"/>
        <family val="2"/>
        <charset val="238"/>
        <scheme val="minor"/>
      </rPr>
      <t xml:space="preserve">. Na začátku léčby a při každém kroku vzestupné titrace se doporučuje užít první dávku večer. Je nutno provést vzestupnou titraci na nejvyšší </t>
    </r>
    <r>
      <rPr>
        <u/>
        <sz val="8"/>
        <color rgb="FF000000"/>
        <rFont val="Calibri"/>
        <family val="2"/>
        <charset val="238"/>
        <scheme val="minor"/>
      </rPr>
      <t>individ. tolerovanou dávku, která se může pohybovat od 200 µg podávaných 2x denně do 1600 µg podávaných 2x denně</t>
    </r>
    <r>
      <rPr>
        <sz val="8"/>
        <color rgb="FF000000"/>
        <rFont val="Calibri"/>
        <family val="2"/>
        <charset val="238"/>
        <scheme val="minor"/>
      </rPr>
      <t xml:space="preserve">. Nejvyšší tolerovaná dávka dosažená během titrace se má udržovat. Pokud bude léčba časem při dané dávce hůře snášena, je nutno zvážit symptom. léčbu a/nebo snížení dávky na nejbližší nižší dávku.                                                                                                                                                                                       </t>
    </r>
    <r>
      <rPr>
        <i/>
        <u/>
        <sz val="8"/>
        <color rgb="FF000000"/>
        <rFont val="Calibri"/>
        <family val="2"/>
        <charset val="238"/>
        <scheme val="minor"/>
      </rPr>
      <t>ERA</t>
    </r>
    <r>
      <rPr>
        <sz val="8"/>
        <color rgb="FF000000"/>
        <rFont val="Calibri"/>
        <family val="2"/>
        <charset val="238"/>
        <scheme val="minor"/>
      </rPr>
      <t xml:space="preserve">:                                                                                                                                                                                                           </t>
    </r>
    <r>
      <rPr>
        <i/>
        <u/>
        <sz val="8"/>
        <color rgb="FF000000"/>
        <rFont val="Calibri"/>
        <family val="2"/>
        <charset val="238"/>
        <scheme val="minor"/>
      </rPr>
      <t>sildenafil</t>
    </r>
    <r>
      <rPr>
        <sz val="8"/>
        <color rgb="FF000000"/>
        <rFont val="Calibri"/>
        <family val="2"/>
        <charset val="238"/>
        <scheme val="minor"/>
      </rPr>
      <t xml:space="preserve">: </t>
    </r>
    <r>
      <rPr>
        <u/>
        <sz val="8"/>
        <color rgb="FF000000"/>
        <rFont val="Calibri"/>
        <family val="2"/>
        <charset val="238"/>
        <scheme val="minor"/>
      </rPr>
      <t>20 mg třikrát denn</t>
    </r>
    <r>
      <rPr>
        <sz val="8"/>
        <color rgb="FF000000"/>
        <rFont val="Calibri"/>
        <family val="2"/>
        <charset val="238"/>
        <scheme val="minor"/>
      </rPr>
      <t xml:space="preserve">ě </t>
    </r>
  </si>
  <si>
    <t>selexipag add to ERA + sildenafil</t>
  </si>
  <si>
    <t xml:space="preserve">selexipag add to ERA    </t>
  </si>
  <si>
    <r>
      <rPr>
        <i/>
        <u/>
        <sz val="8"/>
        <color rgb="FF000000"/>
        <rFont val="Calibri"/>
        <family val="2"/>
        <charset val="238"/>
        <scheme val="minor"/>
      </rPr>
      <t>tadalafil</t>
    </r>
    <r>
      <rPr>
        <sz val="8"/>
        <color rgb="FF000000"/>
        <rFont val="Calibri"/>
        <family val="2"/>
        <charset val="238"/>
        <scheme val="minor"/>
      </rPr>
      <t xml:space="preserve">: doporučená dávka je </t>
    </r>
    <r>
      <rPr>
        <u/>
        <sz val="8"/>
        <color rgb="FF000000"/>
        <rFont val="Calibri"/>
        <family val="2"/>
        <charset val="238"/>
        <scheme val="minor"/>
      </rPr>
      <t>40 mg (2 x 20 mg) podávaná jednou denně</t>
    </r>
    <r>
      <rPr>
        <sz val="8"/>
        <color rgb="FF000000"/>
        <rFont val="Calibri"/>
        <family val="2"/>
        <charset val="238"/>
        <scheme val="minor"/>
      </rPr>
      <t xml:space="preserve"> nezávisle na jídle (začínat s 20 mg tadalafilu ? a v závislosti na snášenlivosti pak zvýšit na 40 mg po 4 týdnech ?)                                                                                                                                                                                  </t>
    </r>
    <r>
      <rPr>
        <i/>
        <u/>
        <sz val="8"/>
        <color rgb="FF000000"/>
        <rFont val="Calibri"/>
        <family val="2"/>
        <charset val="238"/>
        <scheme val="minor"/>
      </rPr>
      <t>bosentan</t>
    </r>
    <r>
      <rPr>
        <sz val="8"/>
        <color rgb="FF000000"/>
        <rFont val="Calibri"/>
        <family val="2"/>
        <charset val="238"/>
        <scheme val="minor"/>
      </rPr>
      <t xml:space="preserve">: </t>
    </r>
    <r>
      <rPr>
        <u/>
        <sz val="8"/>
        <color rgb="FF000000"/>
        <rFont val="Calibri"/>
        <family val="2"/>
        <charset val="238"/>
        <scheme val="minor"/>
      </rPr>
      <t>zahájit dávkou 62,5 mg 2x denně po dobu 4 týdnů</t>
    </r>
    <r>
      <rPr>
        <sz val="8"/>
        <color rgb="FF000000"/>
        <rFont val="Calibri"/>
        <family val="2"/>
        <charset val="238"/>
        <scheme val="minor"/>
      </rPr>
      <t xml:space="preserve">, která poté má být </t>
    </r>
    <r>
      <rPr>
        <u/>
        <sz val="8"/>
        <color rgb="FF000000"/>
        <rFont val="Calibri"/>
        <family val="2"/>
        <charset val="238"/>
        <scheme val="minor"/>
      </rPr>
      <t>zvýšena na udržovací dávku 125 mg 2x denně</t>
    </r>
    <r>
      <rPr>
        <sz val="8"/>
        <color rgb="FF000000"/>
        <rFont val="Calibri"/>
        <family val="2"/>
        <charset val="238"/>
        <scheme val="minor"/>
      </rPr>
      <t xml:space="preserve">. Stejná doporučení platí pro znovunasazení po přerušení léčby. V případě klin. zhoršení (např. zkrácení vzdálenosti při 6MWD o nejméně 10% oproti měření před léčbou) i navzdory léčbě  probíhající nejméně 8 týdnů (cílová dávka nejméně 4 týdny) mají být zváženy alternat. terapie. Nicméně někteří pac., kteří nezareagují na léčbu  ani po 8 týdnech, mohou příznivě reagovat po dalších 4 až 8 týdnech léčby. </t>
    </r>
  </si>
  <si>
    <r>
      <rPr>
        <i/>
        <sz val="8"/>
        <color rgb="FF000000"/>
        <rFont val="Calibri"/>
        <family val="2"/>
        <charset val="238"/>
        <scheme val="minor"/>
      </rPr>
      <t>pro inicial.kombinaci</t>
    </r>
    <r>
      <rPr>
        <sz val="8"/>
        <color rgb="FF000000"/>
        <rFont val="Calibri"/>
        <family val="2"/>
        <charset val="238"/>
        <scheme val="minor"/>
      </rPr>
      <t xml:space="preserve">: IIaC pro FC II                                              IIaC pro FC III                                           IIbC pro FC IV                                                  </t>
    </r>
    <r>
      <rPr>
        <i/>
        <sz val="8"/>
        <color rgb="FF000000"/>
        <rFont val="Calibri"/>
        <family val="2"/>
        <charset val="238"/>
        <scheme val="minor"/>
      </rPr>
      <t>pro ERA add-on silde. či naopak</t>
    </r>
    <r>
      <rPr>
        <sz val="8"/>
        <color rgb="FF000000"/>
        <rFont val="Calibri"/>
        <family val="2"/>
        <charset val="238"/>
        <scheme val="minor"/>
      </rPr>
      <t>:                                              pro FC II-IV je IIbC</t>
    </r>
  </si>
  <si>
    <t>23                                          (vůči samotné ERA)</t>
  </si>
  <si>
    <r>
      <t xml:space="preserve">57                                                   </t>
    </r>
    <r>
      <rPr>
        <sz val="8"/>
        <color rgb="FF000000"/>
        <rFont val="Calibri"/>
        <family val="2"/>
        <charset val="238"/>
        <scheme val="minor"/>
      </rPr>
      <t>(v NMA</t>
    </r>
    <r>
      <rPr>
        <vertAlign val="superscript"/>
        <sz val="8"/>
        <color rgb="FF000000"/>
        <rFont val="Calibri"/>
        <family val="2"/>
        <charset val="238"/>
        <scheme val="minor"/>
      </rPr>
      <t>8</t>
    </r>
    <r>
      <rPr>
        <sz val="8"/>
        <color rgb="FF000000"/>
        <rFont val="Calibri"/>
        <family val="2"/>
        <charset val="238"/>
        <scheme val="minor"/>
      </rPr>
      <t xml:space="preserve"> byla prům.dávka jen 10ng/kg/min !)</t>
    </r>
  </si>
  <si>
    <r>
      <t xml:space="preserve">40                                    </t>
    </r>
    <r>
      <rPr>
        <sz val="8"/>
        <color rgb="FF000000"/>
        <rFont val="Calibri"/>
        <family val="2"/>
        <charset val="238"/>
        <scheme val="minor"/>
      </rPr>
      <t>(jedná se odhad! pro cíl. dávku</t>
    </r>
    <r>
      <rPr>
        <vertAlign val="superscript"/>
        <sz val="8"/>
        <color rgb="FF000000"/>
        <rFont val="Calibri"/>
        <family val="2"/>
        <charset val="238"/>
        <scheme val="minor"/>
      </rPr>
      <t>10</t>
    </r>
    <r>
      <rPr>
        <sz val="8"/>
        <color rgb="FF000000"/>
        <rFont val="Calibri"/>
        <family val="2"/>
        <charset val="238"/>
        <scheme val="minor"/>
      </rPr>
      <t xml:space="preserve">  dle výsledků NMA</t>
    </r>
    <r>
      <rPr>
        <vertAlign val="superscript"/>
        <sz val="8"/>
        <color rgb="FF000000"/>
        <rFont val="Calibri"/>
        <family val="2"/>
        <charset val="238"/>
        <scheme val="minor"/>
      </rPr>
      <t>8)</t>
    </r>
  </si>
  <si>
    <r>
      <t xml:space="preserve">40                                  </t>
    </r>
    <r>
      <rPr>
        <sz val="8"/>
        <color rgb="FF000000"/>
        <rFont val="Calibri"/>
        <family val="2"/>
        <charset val="238"/>
        <scheme val="minor"/>
      </rPr>
      <t>(jedná se odhad! pro cíl. dávku</t>
    </r>
    <r>
      <rPr>
        <vertAlign val="superscript"/>
        <sz val="8"/>
        <color rgb="FF000000"/>
        <rFont val="Calibri"/>
        <family val="2"/>
        <charset val="238"/>
        <scheme val="minor"/>
      </rPr>
      <t>10</t>
    </r>
    <r>
      <rPr>
        <sz val="8"/>
        <color rgb="FF000000"/>
        <rFont val="Calibri"/>
        <family val="2"/>
        <charset val="238"/>
        <scheme val="minor"/>
      </rPr>
      <t xml:space="preserve">  dle výsledků NMA</t>
    </r>
    <r>
      <rPr>
        <vertAlign val="superscript"/>
        <sz val="8"/>
        <color rgb="FF000000"/>
        <rFont val="Calibri"/>
        <family val="2"/>
        <charset val="238"/>
        <scheme val="minor"/>
      </rPr>
      <t>8)</t>
    </r>
  </si>
  <si>
    <t>68                             (pro inicial.komb. vůči placebu)</t>
  </si>
  <si>
    <r>
      <t xml:space="preserve">26                                      (pro maciten. add-on PDE5i vůči samotnému PDE5i)                                                           </t>
    </r>
    <r>
      <rPr>
        <u/>
        <sz val="8"/>
        <color rgb="FF000000"/>
        <rFont val="Calibri"/>
        <family val="2"/>
        <charset val="238"/>
        <scheme val="minor"/>
      </rPr>
      <t>53     (obecně pro ERA+PDE5i vůči placebu</t>
    </r>
    <r>
      <rPr>
        <vertAlign val="superscript"/>
        <sz val="8"/>
        <color rgb="FF000000"/>
        <rFont val="Calibri"/>
        <family val="2"/>
        <charset val="238"/>
        <scheme val="minor"/>
      </rPr>
      <t>12</t>
    </r>
    <r>
      <rPr>
        <sz val="8"/>
        <color rgb="FF000000"/>
        <rFont val="Calibri"/>
        <family val="2"/>
        <charset val="238"/>
        <scheme val="minor"/>
      </rPr>
      <t>)</t>
    </r>
  </si>
  <si>
    <r>
      <t xml:space="preserve">     </t>
    </r>
    <r>
      <rPr>
        <i/>
        <sz val="8"/>
        <color theme="1"/>
        <rFont val="Calibri"/>
        <family val="2"/>
        <charset val="238"/>
        <scheme val="minor"/>
      </rPr>
      <t>Pulmonary Pharmacology &amp; Therapeutics</t>
    </r>
    <r>
      <rPr>
        <sz val="8"/>
        <color theme="1"/>
        <rFont val="Calibri"/>
        <family val="2"/>
        <charset val="238"/>
        <scheme val="minor"/>
      </rPr>
      <t xml:space="preserve"> 50 (2018) 1-10</t>
    </r>
  </si>
  <si>
    <r>
      <rPr>
        <vertAlign val="superscript"/>
        <sz val="8"/>
        <color theme="1"/>
        <rFont val="Calibri"/>
        <family val="2"/>
        <charset val="238"/>
        <scheme val="minor"/>
      </rPr>
      <t>12</t>
    </r>
    <r>
      <rPr>
        <sz val="8"/>
        <color theme="1"/>
        <rFont val="Calibri"/>
        <family val="2"/>
        <charset val="238"/>
        <scheme val="minor"/>
      </rPr>
      <t xml:space="preserve"> Čerpáno z výsledků NMA, která používá pro výsledky celé skupiny léčiv ! a nerozlišuje u kombinací iniciální kombinaci či add-on přístup (tj. </t>
    </r>
    <r>
      <rPr>
        <u/>
        <sz val="8"/>
        <color theme="1"/>
        <rFont val="Calibri"/>
        <family val="2"/>
        <charset val="238"/>
        <scheme val="minor"/>
      </rPr>
      <t>výsledky je nutno přijímat velmi kriticky !!!)</t>
    </r>
    <r>
      <rPr>
        <sz val="8"/>
        <color theme="1"/>
        <rFont val="Calibri"/>
        <family val="2"/>
        <charset val="238"/>
        <scheme val="minor"/>
      </rPr>
      <t xml:space="preserve"> -  Lin H, et al. Efficacy and tolerability of pharmacological interventions for pulmonary arterial hypertension: a network meta-analysis. </t>
    </r>
    <r>
      <rPr>
        <i/>
        <sz val="8"/>
        <color theme="1"/>
        <rFont val="Calibri"/>
        <family val="2"/>
        <charset val="238"/>
        <scheme val="minor"/>
      </rPr>
      <t/>
    </r>
  </si>
  <si>
    <r>
      <t xml:space="preserve">0                                                     (pro silden. add-on ERA vůči samot. ERA)                      22                                          (pro bosen. add-on silden. vůči samot. PDE5i)                                                        </t>
    </r>
    <r>
      <rPr>
        <u/>
        <sz val="8"/>
        <color rgb="FF000000"/>
        <rFont val="Calibri"/>
        <family val="2"/>
        <charset val="238"/>
        <scheme val="minor"/>
      </rPr>
      <t>53     (obecně pro ERA+PDE5i vůči placebu</t>
    </r>
    <r>
      <rPr>
        <u/>
        <vertAlign val="superscript"/>
        <sz val="8"/>
        <color rgb="FF000000"/>
        <rFont val="Calibri"/>
        <family val="2"/>
        <charset val="238"/>
        <scheme val="minor"/>
      </rPr>
      <t>12</t>
    </r>
    <r>
      <rPr>
        <sz val="8"/>
        <color rgb="FF000000"/>
        <rFont val="Calibri"/>
        <family val="2"/>
        <charset val="238"/>
        <scheme val="minor"/>
      </rPr>
      <t>)</t>
    </r>
  </si>
  <si>
    <t>inhalace rozpraš. roztoku + p.o.</t>
  </si>
  <si>
    <t>ERA + Prostacyklinová analoga (PCA)</t>
  </si>
  <si>
    <t>Prostacyklinová analoga (PCA) + ERA</t>
  </si>
  <si>
    <r>
      <t>není zahrnut v NMA</t>
    </r>
    <r>
      <rPr>
        <vertAlign val="superscript"/>
        <sz val="10"/>
        <color rgb="FF000000"/>
        <rFont val="Calibri"/>
        <family val="2"/>
        <charset val="238"/>
        <scheme val="minor"/>
      </rPr>
      <t xml:space="preserve">8                                          </t>
    </r>
    <r>
      <rPr>
        <u/>
        <sz val="10"/>
        <color rgb="FF000000"/>
        <rFont val="Calibri"/>
        <family val="2"/>
        <charset val="238"/>
        <scheme val="minor"/>
      </rPr>
      <t>41     (obecně pro ERA+PCA vůči placebu</t>
    </r>
    <r>
      <rPr>
        <u/>
        <vertAlign val="superscript"/>
        <sz val="10"/>
        <color rgb="FF000000"/>
        <rFont val="Calibri"/>
        <family val="2"/>
        <charset val="238"/>
        <scheme val="minor"/>
      </rPr>
      <t>12</t>
    </r>
    <r>
      <rPr>
        <sz val="10"/>
        <color rgb="FF000000"/>
        <rFont val="Calibri"/>
        <family val="2"/>
        <charset val="238"/>
        <scheme val="minor"/>
      </rPr>
      <t>)</t>
    </r>
  </si>
  <si>
    <r>
      <t>není zahrnut v NMA</t>
    </r>
    <r>
      <rPr>
        <vertAlign val="superscript"/>
        <sz val="10"/>
        <color rgb="FF000000"/>
        <rFont val="Calibri"/>
        <family val="2"/>
        <charset val="238"/>
        <scheme val="minor"/>
      </rPr>
      <t>8</t>
    </r>
    <r>
      <rPr>
        <sz val="10"/>
        <color rgb="FF000000"/>
        <rFont val="Calibri"/>
        <family val="2"/>
        <charset val="238"/>
        <scheme val="minor"/>
      </rPr>
      <t xml:space="preserve">                                          </t>
    </r>
    <r>
      <rPr>
        <u/>
        <sz val="10"/>
        <color rgb="FF000000"/>
        <rFont val="Calibri"/>
        <family val="2"/>
        <charset val="238"/>
        <scheme val="minor"/>
      </rPr>
      <t>12       (pro selexipag vůči placebu u smíšené populace</t>
    </r>
    <r>
      <rPr>
        <u/>
        <vertAlign val="superscript"/>
        <sz val="10"/>
        <color rgb="FF000000"/>
        <rFont val="Calibri"/>
        <family val="2"/>
        <charset val="238"/>
        <scheme val="minor"/>
      </rPr>
      <t>13</t>
    </r>
    <r>
      <rPr>
        <sz val="10"/>
        <color rgb="FF000000"/>
        <rFont val="Calibri"/>
        <family val="2"/>
        <charset val="238"/>
        <scheme val="minor"/>
      </rPr>
      <t>)</t>
    </r>
  </si>
  <si>
    <r>
      <t>není zahrnut v NMA</t>
    </r>
    <r>
      <rPr>
        <vertAlign val="superscript"/>
        <sz val="10"/>
        <color rgb="FF000000"/>
        <rFont val="Calibri"/>
        <family val="2"/>
        <charset val="238"/>
        <scheme val="minor"/>
      </rPr>
      <t xml:space="preserve">8                                                   </t>
    </r>
    <r>
      <rPr>
        <sz val="10"/>
        <color rgb="FF000000"/>
        <rFont val="Calibri"/>
        <family val="2"/>
        <charset val="238"/>
        <scheme val="minor"/>
      </rPr>
      <t xml:space="preserve"> </t>
    </r>
    <r>
      <rPr>
        <u/>
        <sz val="10"/>
        <color rgb="FF000000"/>
        <rFont val="Calibri"/>
        <family val="2"/>
        <charset val="238"/>
        <scheme val="minor"/>
      </rPr>
      <t>18     (dle studie</t>
    </r>
    <r>
      <rPr>
        <u/>
        <vertAlign val="superscript"/>
        <sz val="10"/>
        <color rgb="FF000000"/>
        <rFont val="Calibri"/>
        <family val="2"/>
        <charset val="238"/>
        <scheme val="minor"/>
      </rPr>
      <t>14</t>
    </r>
    <r>
      <rPr>
        <u/>
        <sz val="10"/>
        <color rgb="FF000000"/>
        <rFont val="Calibri"/>
        <family val="2"/>
        <charset val="238"/>
        <scheme val="minor"/>
      </rPr>
      <t xml:space="preserve"> vůči placebu</t>
    </r>
    <r>
      <rPr>
        <sz val="10"/>
        <color rgb="FF000000"/>
        <rFont val="Calibri"/>
        <family val="2"/>
        <charset val="238"/>
        <scheme val="minor"/>
      </rPr>
      <t>)</t>
    </r>
  </si>
  <si>
    <r>
      <t>účinností parametr</t>
    </r>
    <r>
      <rPr>
        <vertAlign val="superscript"/>
        <sz val="9"/>
        <rFont val="Arial"/>
        <family val="2"/>
        <charset val="238"/>
      </rPr>
      <t xml:space="preserve">8  </t>
    </r>
    <r>
      <rPr>
        <u/>
        <sz val="8"/>
        <rFont val="Arial"/>
        <family val="2"/>
        <charset val="238"/>
      </rPr>
      <t>(podtržení znamená výsledek z jiné studie či NMA)</t>
    </r>
  </si>
  <si>
    <r>
      <rPr>
        <vertAlign val="superscript"/>
        <sz val="8"/>
        <color theme="1"/>
        <rFont val="Calibri"/>
        <family val="2"/>
        <charset val="238"/>
        <scheme val="minor"/>
      </rPr>
      <t>14</t>
    </r>
    <r>
      <rPr>
        <sz val="8"/>
        <color theme="1"/>
        <rFont val="Calibri"/>
        <family val="2"/>
        <charset val="238"/>
        <scheme val="minor"/>
      </rPr>
      <t xml:space="preserve"> Pulido T. et al. Macitentan and morbidity and mortality in pulmonary arterial hypertension. </t>
    </r>
    <r>
      <rPr>
        <i/>
        <sz val="8"/>
        <color theme="1"/>
        <rFont val="Calibri"/>
        <family val="2"/>
        <charset val="238"/>
        <scheme val="minor"/>
      </rPr>
      <t>N Engl J Med</t>
    </r>
    <r>
      <rPr>
        <sz val="8"/>
        <color theme="1"/>
        <rFont val="Calibri"/>
        <family val="2"/>
        <charset val="238"/>
        <scheme val="minor"/>
      </rPr>
      <t xml:space="preserve"> 2013, 369: 809-18</t>
    </r>
  </si>
  <si>
    <r>
      <rPr>
        <vertAlign val="superscript"/>
        <sz val="8"/>
        <color theme="1"/>
        <rFont val="Calibri"/>
        <family val="2"/>
        <charset val="238"/>
        <scheme val="minor"/>
      </rPr>
      <t>15</t>
    </r>
    <r>
      <rPr>
        <sz val="8"/>
        <color theme="1"/>
        <rFont val="Calibri"/>
        <family val="2"/>
        <charset val="238"/>
        <scheme val="minor"/>
      </rPr>
      <t xml:space="preserve">  Viz níže </t>
    </r>
    <r>
      <rPr>
        <u/>
        <sz val="8"/>
        <color theme="1"/>
        <rFont val="Calibri"/>
        <family val="2"/>
        <charset val="238"/>
        <scheme val="minor"/>
      </rPr>
      <t>tabulka 3</t>
    </r>
    <r>
      <rPr>
        <sz val="8"/>
        <color theme="1"/>
        <rFont val="Calibri"/>
        <family val="2"/>
        <charset val="238"/>
        <scheme val="minor"/>
      </rPr>
      <t xml:space="preserve"> dle:Klinger JR, Elliott CG, Levine DJ, et al. Therapy for pulmonary arterial hypertension in adults: Update of the CHEST guideline and expert panel report. </t>
    </r>
    <r>
      <rPr>
        <i/>
        <sz val="8"/>
        <color theme="1"/>
        <rFont val="Calibri"/>
        <family val="2"/>
        <charset val="238"/>
        <scheme val="minor"/>
      </rPr>
      <t>Chest</t>
    </r>
    <r>
      <rPr>
        <sz val="8"/>
        <color theme="1"/>
        <rFont val="Calibri"/>
        <family val="2"/>
        <charset val="238"/>
        <scheme val="minor"/>
      </rPr>
      <t xml:space="preserve">. 2019 Mar;155(3):565–586 - převzato z:  viz níže poz.16 </t>
    </r>
  </si>
  <si>
    <r>
      <rPr>
        <vertAlign val="superscript"/>
        <sz val="8"/>
        <color theme="1"/>
        <rFont val="Calibri"/>
        <family val="2"/>
        <charset val="238"/>
        <scheme val="minor"/>
      </rPr>
      <t xml:space="preserve">16 </t>
    </r>
    <r>
      <rPr>
        <sz val="8"/>
        <color theme="1"/>
        <rFont val="Calibri"/>
        <family val="2"/>
        <charset val="238"/>
        <scheme val="minor"/>
      </rPr>
      <t xml:space="preserve">Chapter 45 Pulmonary Arterial Hypertension, DiPiro JT, Yee GC, Posey L, Haines ST, Nolin TD, Ellingrod V. </t>
    </r>
    <r>
      <rPr>
        <i/>
        <sz val="8"/>
        <color theme="1"/>
        <rFont val="Calibri"/>
        <family val="2"/>
        <charset val="238"/>
        <scheme val="minor"/>
      </rPr>
      <t>Pharmacotherapy: A Pathophysiologic Approach</t>
    </r>
    <r>
      <rPr>
        <sz val="8"/>
        <color theme="1"/>
        <rFont val="Calibri"/>
        <family val="2"/>
        <charset val="238"/>
        <scheme val="minor"/>
      </rPr>
      <t>, 11e; 2020.</t>
    </r>
  </si>
  <si>
    <r>
      <t>výhody</t>
    </r>
    <r>
      <rPr>
        <vertAlign val="superscript"/>
        <sz val="9"/>
        <rFont val="Arial"/>
        <family val="2"/>
        <charset val="238"/>
      </rPr>
      <t>16</t>
    </r>
  </si>
  <si>
    <r>
      <t>nevýhody</t>
    </r>
    <r>
      <rPr>
        <vertAlign val="superscript"/>
        <sz val="9"/>
        <rFont val="Arial"/>
        <family val="2"/>
        <charset val="238"/>
      </rPr>
      <t>16</t>
    </r>
  </si>
  <si>
    <t>Time to clinical failure as primary endpoint in RCTs or drugs with demonstrated reduction in all-cause mortality (prospectively defined)</t>
  </si>
  <si>
    <t>má nejvyšší sílu důkazu (IA) pro účinnost u monoterapie pro FC II a III.</t>
  </si>
  <si>
    <t>má nejvyšší sílu důkazu (IA) pro účinnost u monoterapie pro FC II a III</t>
  </si>
  <si>
    <t>má nejvyšší sílu důkazu (IA) pro účinnost u monoterapie pro FC III a IV</t>
  </si>
  <si>
    <r>
      <t>není zahrnut v NMA</t>
    </r>
    <r>
      <rPr>
        <vertAlign val="superscript"/>
        <sz val="10"/>
        <color rgb="FF000000"/>
        <rFont val="Calibri"/>
        <family val="2"/>
        <charset val="238"/>
        <scheme val="minor"/>
      </rPr>
      <t xml:space="preserve">8                                                   </t>
    </r>
    <r>
      <rPr>
        <u/>
        <sz val="10"/>
        <color rgb="FF000000"/>
        <rFont val="Calibri"/>
        <family val="2"/>
        <charset val="238"/>
        <scheme val="minor"/>
      </rPr>
      <t xml:space="preserve"> - 7,8 !!   (obecně pro PDEi+PCA vůči placebu</t>
    </r>
    <r>
      <rPr>
        <u/>
        <vertAlign val="superscript"/>
        <sz val="10"/>
        <color rgb="FF000000"/>
        <rFont val="Calibri"/>
        <family val="2"/>
        <charset val="238"/>
        <scheme val="minor"/>
      </rPr>
      <t>12</t>
    </r>
    <r>
      <rPr>
        <u/>
        <sz val="10"/>
        <color rgb="FF000000"/>
        <rFont val="Calibri"/>
        <family val="2"/>
        <charset val="238"/>
        <scheme val="minor"/>
      </rPr>
      <t xml:space="preserve">) </t>
    </r>
  </si>
  <si>
    <t>PDE5i + Prostacyklinová analoga (PCA)</t>
  </si>
  <si>
    <r>
      <rPr>
        <vertAlign val="superscript"/>
        <sz val="8"/>
        <color theme="1"/>
        <rFont val="Calibri"/>
        <family val="2"/>
        <charset val="238"/>
        <scheme val="minor"/>
      </rPr>
      <t>7</t>
    </r>
    <r>
      <rPr>
        <sz val="8"/>
        <color theme="1"/>
        <rFont val="Calibri"/>
        <family val="2"/>
        <charset val="238"/>
        <scheme val="minor"/>
      </rPr>
      <t xml:space="preserve"> Pro výpočet </t>
    </r>
    <r>
      <rPr>
        <b/>
        <u/>
        <sz val="8.5"/>
        <color theme="1"/>
        <rFont val="Calibri"/>
        <family val="2"/>
        <charset val="238"/>
        <scheme val="minor"/>
      </rPr>
      <t>kvazi CUA</t>
    </r>
    <r>
      <rPr>
        <sz val="8"/>
        <color theme="1"/>
        <rFont val="Calibri"/>
        <family val="2"/>
        <charset val="238"/>
        <scheme val="minor"/>
      </rPr>
      <t>, tj.poměru cena/utilita (QALY) byl pro</t>
    </r>
    <r>
      <rPr>
        <b/>
        <u/>
        <sz val="8"/>
        <color theme="1"/>
        <rFont val="Calibri"/>
        <family val="2"/>
        <charset val="238"/>
        <scheme val="minor"/>
      </rPr>
      <t xml:space="preserve"> ZJEDNODUŠENÍ použit předpoklad, že poměr QALY mezi jednotlivými léky zůstává v různém časovém úseku konstantní. Pro výpočet ceny byly použity jen náklady za přípravek !!!</t>
    </r>
    <r>
      <rPr>
        <sz val="8"/>
        <color theme="1"/>
        <rFont val="Calibri"/>
        <family val="2"/>
        <charset val="238"/>
        <scheme val="minor"/>
      </rPr>
      <t>, nebyly vzaty v potaz náklady na administraci,</t>
    </r>
  </si>
  <si>
    <r>
      <t>poměr QALY</t>
    </r>
    <r>
      <rPr>
        <vertAlign val="superscript"/>
        <sz val="9"/>
        <rFont val="Arial"/>
        <family val="2"/>
        <charset val="238"/>
      </rPr>
      <t xml:space="preserve">7  </t>
    </r>
    <r>
      <rPr>
        <sz val="9"/>
        <rFont val="Arial"/>
        <family val="2"/>
        <charset val="238"/>
      </rPr>
      <t xml:space="preserve">                      u FC</t>
    </r>
    <r>
      <rPr>
        <vertAlign val="superscript"/>
        <sz val="9"/>
        <rFont val="Arial"/>
        <family val="2"/>
        <charset val="238"/>
      </rPr>
      <t>4</t>
    </r>
    <r>
      <rPr>
        <sz val="9"/>
        <rFont val="Arial"/>
        <family val="2"/>
        <charset val="238"/>
      </rPr>
      <t xml:space="preserve"> II</t>
    </r>
  </si>
  <si>
    <r>
      <t>poměr QALY</t>
    </r>
    <r>
      <rPr>
        <vertAlign val="superscript"/>
        <sz val="9"/>
        <rFont val="Arial"/>
        <family val="2"/>
        <charset val="238"/>
      </rPr>
      <t xml:space="preserve">7  </t>
    </r>
    <r>
      <rPr>
        <sz val="9"/>
        <rFont val="Arial"/>
        <family val="2"/>
        <charset val="238"/>
      </rPr>
      <t xml:space="preserve">                      u FC</t>
    </r>
    <r>
      <rPr>
        <vertAlign val="superscript"/>
        <sz val="9"/>
        <rFont val="Arial"/>
        <family val="2"/>
        <charset val="238"/>
      </rPr>
      <t>4</t>
    </r>
    <r>
      <rPr>
        <sz val="9"/>
        <rFont val="Arial"/>
        <family val="2"/>
        <charset val="238"/>
      </rPr>
      <t xml:space="preserve"> III</t>
    </r>
  </si>
  <si>
    <r>
      <t>poměr QALY</t>
    </r>
    <r>
      <rPr>
        <vertAlign val="superscript"/>
        <sz val="9"/>
        <rFont val="Arial"/>
        <family val="2"/>
        <charset val="238"/>
      </rPr>
      <t xml:space="preserve">7  </t>
    </r>
    <r>
      <rPr>
        <sz val="9"/>
        <rFont val="Arial"/>
        <family val="2"/>
        <charset val="238"/>
      </rPr>
      <t xml:space="preserve">                      u FC</t>
    </r>
    <r>
      <rPr>
        <vertAlign val="superscript"/>
        <sz val="9"/>
        <rFont val="Arial"/>
        <family val="2"/>
        <charset val="238"/>
      </rPr>
      <t>4</t>
    </r>
    <r>
      <rPr>
        <sz val="9"/>
        <rFont val="Arial"/>
        <family val="2"/>
        <charset val="238"/>
      </rPr>
      <t xml:space="preserve"> IV</t>
    </r>
  </si>
  <si>
    <r>
      <t xml:space="preserve">  hospitalizaci, léčení NÚ. </t>
    </r>
    <r>
      <rPr>
        <u/>
        <sz val="8"/>
        <color theme="1"/>
        <rFont val="Calibri"/>
        <family val="2"/>
        <charset val="238"/>
        <scheme val="minor"/>
      </rPr>
      <t>Pro monoterapii je poměr QALY intervence vůči podpůrné terapii (these included a diuretic (furosemide), an anticoagulant (warfarin), digoxin, and oxygen), pro add-on terapii (tadal. add-on ERA., riocig. add-on ERA) je poměr QALY intervence vůč ERA samotné</t>
    </r>
    <r>
      <rPr>
        <sz val="8"/>
        <color theme="1"/>
        <rFont val="Calibri"/>
        <family val="2"/>
        <charset val="238"/>
        <scheme val="minor"/>
      </rPr>
      <t xml:space="preserve">  - detaily FE modelu pro výpočet QALY viz výše pozn. 6</t>
    </r>
  </si>
  <si>
    <t>1,15               (pro tadal.add-on ambri.)</t>
  </si>
  <si>
    <t>1,07               (pro tadal.add-on ambri.)</t>
  </si>
  <si>
    <t>1,01               (pro tadal.add-on ambri.)</t>
  </si>
  <si>
    <t>1,15               (pro silden. add-on ERA)</t>
  </si>
  <si>
    <t>1,07               (pro silden. add-on ERA)</t>
  </si>
  <si>
    <t>1,01               (pro silden. add-on ERA)</t>
  </si>
  <si>
    <r>
      <t>V</t>
    </r>
    <r>
      <rPr>
        <u/>
        <sz val="8"/>
        <color theme="1"/>
        <rFont val="Calibri"/>
        <family val="2"/>
        <charset val="238"/>
        <scheme val="minor"/>
      </rPr>
      <t xml:space="preserve"> monoterapii</t>
    </r>
    <r>
      <rPr>
        <sz val="8"/>
        <color theme="1"/>
        <rFont val="Calibri"/>
        <family val="2"/>
        <charset val="238"/>
        <scheme val="minor"/>
      </rPr>
      <t xml:space="preserve"> se užívá perorálně </t>
    </r>
    <r>
      <rPr>
        <u/>
        <sz val="8"/>
        <color theme="1"/>
        <rFont val="Calibri"/>
        <family val="2"/>
        <charset val="238"/>
        <scheme val="minor"/>
      </rPr>
      <t xml:space="preserve">v počáteční dávce 5 mg jedenkrát denně </t>
    </r>
    <r>
      <rPr>
        <sz val="8"/>
        <color theme="1"/>
        <rFont val="Calibri"/>
        <family val="2"/>
        <charset val="238"/>
        <scheme val="minor"/>
      </rPr>
      <t xml:space="preserve">a dávka </t>
    </r>
    <r>
      <rPr>
        <u/>
        <sz val="8"/>
        <color theme="1"/>
        <rFont val="Calibri"/>
        <family val="2"/>
        <charset val="238"/>
        <scheme val="minor"/>
      </rPr>
      <t>může být zvýšena (</t>
    </r>
    <r>
      <rPr>
        <i/>
        <sz val="8"/>
        <color theme="1"/>
        <rFont val="Calibri"/>
        <family val="2"/>
        <charset val="238"/>
        <scheme val="minor"/>
      </rPr>
      <t>pozn.</t>
    </r>
    <r>
      <rPr>
        <i/>
        <u/>
        <sz val="8"/>
        <color theme="1"/>
        <rFont val="Calibri"/>
        <family val="2"/>
        <charset val="238"/>
        <scheme val="minor"/>
      </rPr>
      <t xml:space="preserve"> po 4 týdnech - </t>
    </r>
    <r>
      <rPr>
        <i/>
        <sz val="8"/>
        <color theme="1"/>
        <rFont val="Calibri"/>
        <family val="2"/>
        <charset val="238"/>
        <scheme val="minor"/>
      </rPr>
      <t>dle informací v článku Ambrisentan dle UpToDate z 1.10.2020</t>
    </r>
    <r>
      <rPr>
        <u/>
        <sz val="8"/>
        <color theme="1"/>
        <rFont val="Calibri"/>
        <family val="2"/>
        <charset val="238"/>
        <scheme val="minor"/>
      </rPr>
      <t>) na 10 mg denně</t>
    </r>
    <r>
      <rPr>
        <sz val="8"/>
        <color theme="1"/>
        <rFont val="Calibri"/>
        <family val="2"/>
        <charset val="238"/>
        <scheme val="minor"/>
      </rPr>
      <t xml:space="preserve"> v závislosti na klinické odpovědi a snášenlivosti.</t>
    </r>
  </si>
  <si>
    <r>
      <rPr>
        <vertAlign val="superscript"/>
        <sz val="8"/>
        <color theme="1"/>
        <rFont val="Calibri"/>
        <family val="2"/>
        <charset val="238"/>
        <scheme val="minor"/>
      </rPr>
      <t>17</t>
    </r>
    <r>
      <rPr>
        <sz val="8"/>
        <color theme="1"/>
        <rFont val="Calibri"/>
        <family val="2"/>
        <charset val="238"/>
        <scheme val="minor"/>
      </rPr>
      <t xml:space="preserve">  SUKL. Rozhodnutí ve správním řízení k Uptravi ze dne 1.1.2019</t>
    </r>
  </si>
  <si>
    <r>
      <rPr>
        <vertAlign val="superscript"/>
        <sz val="8"/>
        <color theme="1"/>
        <rFont val="Calibri"/>
        <family val="2"/>
        <charset val="238"/>
        <scheme val="minor"/>
      </rPr>
      <t>18</t>
    </r>
    <r>
      <rPr>
        <sz val="8"/>
        <color theme="1"/>
        <rFont val="Calibri"/>
        <family val="2"/>
        <charset val="238"/>
        <scheme val="minor"/>
      </rPr>
      <t xml:space="preserve"> Klinger JR, Elliott CG, Levine DJ, et al. Therapy for pulmonary arterial hypertension in adults: Update of the CHEST guideline and expert panel report. </t>
    </r>
    <r>
      <rPr>
        <i/>
        <sz val="8"/>
        <color theme="1"/>
        <rFont val="Calibri"/>
        <family val="2"/>
        <charset val="238"/>
        <scheme val="minor"/>
      </rPr>
      <t>Chest</t>
    </r>
    <r>
      <rPr>
        <sz val="8"/>
        <color theme="1"/>
        <rFont val="Calibri"/>
        <family val="2"/>
        <charset val="238"/>
        <scheme val="minor"/>
      </rPr>
      <t>. 2019 Mar;155(3):565–586</t>
    </r>
  </si>
  <si>
    <r>
      <t xml:space="preserve">  Pro ZJEDNODUŠENÍ jsem použit předpoklad, že tyto hodnoty zůstávají konstatntní po celou dobu léčby  </t>
    </r>
    <r>
      <rPr>
        <u/>
        <sz val="8"/>
        <color theme="1"/>
        <rFont val="Calibri"/>
        <family val="2"/>
        <charset val="238"/>
        <scheme val="minor"/>
      </rPr>
      <t>s vědomím, že 6MWD není vhodný parametr pro posouzení dlouhodobé účinnosti (viz str.58-63 v pozn.17 níže)</t>
    </r>
    <r>
      <rPr>
        <sz val="8"/>
        <color theme="1"/>
        <rFont val="Calibri"/>
        <family val="2"/>
        <charset val="238"/>
        <scheme val="minor"/>
      </rPr>
      <t xml:space="preserve">!! Pro monoterapii u naivních pacientů jsem použil výsledky dle: Petrovič M, Locatelli I. Comparative effectiveness of </t>
    </r>
  </si>
  <si>
    <r>
      <t xml:space="preserve">   pulmonary arterial hypertension drugs in treatment-naive patients: a network meta-analysis. </t>
    </r>
    <r>
      <rPr>
        <i/>
        <sz val="8"/>
        <color theme="1"/>
        <rFont val="Calibri"/>
        <family val="2"/>
        <charset val="238"/>
        <scheme val="minor"/>
      </rPr>
      <t>J.Comp.Eff.Res.</t>
    </r>
    <r>
      <rPr>
        <sz val="8"/>
        <color theme="1"/>
        <rFont val="Calibri"/>
        <family val="2"/>
        <charset val="238"/>
        <scheme val="minor"/>
      </rPr>
      <t xml:space="preserve"> (2020) 9(1), 7-22, pro výsledky add-on terapie dle: Petrovič M, Locatelli I. A Bayesian network meta-analysis of add-on drug therapies specific for pulmonary arterial hypertension. </t>
    </r>
    <r>
      <rPr>
        <i/>
        <sz val="8"/>
        <color theme="1"/>
        <rFont val="Calibri"/>
        <family val="2"/>
        <charset val="238"/>
        <scheme val="minor"/>
      </rPr>
      <t>Annals of Pharmacotherapy</t>
    </r>
    <r>
      <rPr>
        <sz val="8"/>
        <color theme="1"/>
        <rFont val="Calibri"/>
        <family val="2"/>
        <charset val="238"/>
        <scheme val="minor"/>
      </rPr>
      <t xml:space="preserve"> 2019, 1-11</t>
    </r>
  </si>
  <si>
    <t>Tadalafil Accord 20mg tbl flm 56   (monoterapie)</t>
  </si>
  <si>
    <r>
      <t xml:space="preserve">u pacientů s </t>
    </r>
    <r>
      <rPr>
        <u/>
        <sz val="8"/>
        <color theme="1"/>
        <rFont val="Calibri"/>
        <family val="2"/>
        <charset val="238"/>
        <scheme val="minor"/>
      </rPr>
      <t>PAH ve funkční třídě III.</t>
    </r>
    <r>
      <rPr>
        <sz val="8"/>
        <color theme="1"/>
        <rFont val="Calibri"/>
        <family val="2"/>
        <charset val="238"/>
        <scheme val="minor"/>
      </rPr>
      <t xml:space="preserve"> dle klasifikace NYHA</t>
    </r>
  </si>
  <si>
    <r>
      <rPr>
        <i/>
        <u/>
        <sz val="8"/>
        <color theme="1"/>
        <rFont val="Calibri"/>
        <family val="2"/>
        <charset val="238"/>
        <scheme val="minor"/>
      </rPr>
      <t>ambrisentan: k</t>
    </r>
    <r>
      <rPr>
        <sz val="8"/>
        <color theme="1"/>
        <rFont val="Calibri"/>
        <family val="2"/>
        <charset val="238"/>
        <scheme val="minor"/>
      </rPr>
      <t xml:space="preserve"> léčbě  </t>
    </r>
    <r>
      <rPr>
        <u/>
        <sz val="8"/>
        <color theme="1"/>
        <rFont val="Calibri"/>
        <family val="2"/>
        <charset val="238"/>
        <scheme val="minor"/>
      </rPr>
      <t>PAH  II. a III</t>
    </r>
    <r>
      <rPr>
        <sz val="8"/>
        <color theme="1"/>
        <rFont val="Calibri"/>
        <family val="2"/>
        <charset val="238"/>
        <scheme val="minor"/>
      </rPr>
      <t xml:space="preserve">. FC dle klasifikace WHO u dospělých pacientů včetně použití v kombinované terapii. Účinnost byla prokázána u idiopatické PAH (IPAH) a PAH spojené s onemocněním pojivové tkáně.                                                                                              </t>
    </r>
    <r>
      <rPr>
        <i/>
        <u/>
        <sz val="8"/>
        <color theme="1"/>
        <rFont val="Calibri"/>
        <family val="2"/>
        <charset val="238"/>
        <scheme val="minor"/>
      </rPr>
      <t xml:space="preserve"> tadalafil:</t>
    </r>
    <r>
      <rPr>
        <sz val="8"/>
        <color theme="1"/>
        <rFont val="Calibri"/>
        <family val="2"/>
        <charset val="238"/>
        <scheme val="minor"/>
      </rPr>
      <t xml:space="preserve"> u dospělých k léčbě </t>
    </r>
    <r>
      <rPr>
        <u/>
        <sz val="8"/>
        <color theme="1"/>
        <rFont val="Calibri"/>
        <family val="2"/>
        <charset val="238"/>
        <scheme val="minor"/>
      </rPr>
      <t>PAH  třídy II a III</t>
    </r>
    <r>
      <rPr>
        <sz val="8"/>
        <color theme="1"/>
        <rFont val="Calibri"/>
        <family val="2"/>
        <charset val="238"/>
        <scheme val="minor"/>
      </rPr>
      <t xml:space="preserve"> dle FC WHO, pro zlepšení zátěžové kapacity. </t>
    </r>
    <r>
      <rPr>
        <u/>
        <sz val="8"/>
        <color theme="1"/>
        <rFont val="Calibri"/>
        <family val="2"/>
        <charset val="238"/>
        <scheme val="minor"/>
      </rPr>
      <t xml:space="preserve">Účinnost byla prokázána </t>
    </r>
    <r>
      <rPr>
        <sz val="8"/>
        <color theme="1"/>
        <rFont val="Calibri"/>
        <family val="2"/>
        <charset val="238"/>
        <scheme val="minor"/>
      </rPr>
      <t>u idiopatické PAH (IPAH) i PAH spojené se systémovou vaskulární kolagenózou.</t>
    </r>
  </si>
  <si>
    <r>
      <rPr>
        <i/>
        <u/>
        <sz val="8"/>
        <color theme="1"/>
        <rFont val="Calibri"/>
        <family val="2"/>
        <charset val="238"/>
        <scheme val="minor"/>
      </rPr>
      <t>tadalafil:</t>
    </r>
    <r>
      <rPr>
        <sz val="8"/>
        <color theme="1"/>
        <rFont val="Calibri"/>
        <family val="2"/>
        <charset val="238"/>
        <scheme val="minor"/>
      </rPr>
      <t xml:space="preserve"> u dospělých k léčbě </t>
    </r>
    <r>
      <rPr>
        <u/>
        <sz val="8"/>
        <color theme="1"/>
        <rFont val="Calibri"/>
        <family val="2"/>
        <charset val="238"/>
        <scheme val="minor"/>
      </rPr>
      <t>PAH  třídy II a III</t>
    </r>
    <r>
      <rPr>
        <sz val="8"/>
        <color theme="1"/>
        <rFont val="Calibri"/>
        <family val="2"/>
        <charset val="238"/>
        <scheme val="minor"/>
      </rPr>
      <t xml:space="preserve"> dle FC WHO, pro zlepšení zátěžové kapacity. </t>
    </r>
    <r>
      <rPr>
        <u/>
        <sz val="8"/>
        <color theme="1"/>
        <rFont val="Calibri"/>
        <family val="2"/>
        <charset val="238"/>
        <scheme val="minor"/>
      </rPr>
      <t xml:space="preserve">Účinnost byla prokázána </t>
    </r>
    <r>
      <rPr>
        <sz val="8"/>
        <color theme="1"/>
        <rFont val="Calibri"/>
        <family val="2"/>
        <charset val="238"/>
        <scheme val="minor"/>
      </rPr>
      <t xml:space="preserve">u idiopatické PAH (IPAH) i PAH spojené se systémovou vaskulární kolagenózou.                                                                                                     </t>
    </r>
    <r>
      <rPr>
        <i/>
        <u/>
        <sz val="8"/>
        <color theme="1"/>
        <rFont val="Calibri"/>
        <family val="2"/>
        <charset val="238"/>
        <scheme val="minor"/>
      </rPr>
      <t>bosentan:</t>
    </r>
    <r>
      <rPr>
        <sz val="8"/>
        <color theme="1"/>
        <rFont val="Calibri"/>
        <family val="2"/>
        <charset val="238"/>
        <scheme val="minor"/>
      </rPr>
      <t xml:space="preserve"> léčba </t>
    </r>
    <r>
      <rPr>
        <u/>
        <sz val="8"/>
        <color theme="1"/>
        <rFont val="Calibri"/>
        <family val="2"/>
        <charset val="238"/>
        <scheme val="minor"/>
      </rPr>
      <t>PAH</t>
    </r>
    <r>
      <rPr>
        <sz val="8"/>
        <color theme="1"/>
        <rFont val="Calibri"/>
        <family val="2"/>
        <charset val="238"/>
        <scheme val="minor"/>
      </rPr>
      <t xml:space="preserve"> s cílem zlepšení zátěž. kapacity a symp. u pac. s onem. stupně  </t>
    </r>
    <r>
      <rPr>
        <u/>
        <sz val="8"/>
        <color theme="1"/>
        <rFont val="Calibri"/>
        <family val="2"/>
        <charset val="238"/>
        <scheme val="minor"/>
      </rPr>
      <t xml:space="preserve">III </t>
    </r>
    <r>
      <rPr>
        <sz val="8"/>
        <color theme="1"/>
        <rFont val="Calibri"/>
        <family val="2"/>
        <charset val="238"/>
        <scheme val="minor"/>
      </rPr>
      <t xml:space="preserve">podle fční klasif.WHO. </t>
    </r>
    <r>
      <rPr>
        <u/>
        <sz val="8"/>
        <color theme="1"/>
        <rFont val="Calibri"/>
        <family val="2"/>
        <charset val="238"/>
        <scheme val="minor"/>
      </rPr>
      <t>Účinnost byla prokázána u těchto indikací:</t>
    </r>
    <r>
      <rPr>
        <sz val="8"/>
        <color theme="1"/>
        <rFont val="Calibri"/>
        <family val="2"/>
        <charset val="238"/>
        <scheme val="minor"/>
      </rPr>
      <t xml:space="preserve"> * Primární (idiopatická a dědičná) PAH, * PAH sek. při sklerodermii bez významného interstic. plicního onem., * PAH sdružená s vrozenými levo-pravými zkraty a Eisenmengerovým sy.</t>
    </r>
  </si>
  <si>
    <r>
      <t xml:space="preserve">V </t>
    </r>
    <r>
      <rPr>
        <u/>
        <sz val="8"/>
        <color theme="1"/>
        <rFont val="Calibri"/>
        <family val="2"/>
        <charset val="238"/>
        <scheme val="minor"/>
      </rPr>
      <t xml:space="preserve">monoterapii </t>
    </r>
    <r>
      <rPr>
        <sz val="8"/>
        <color theme="1"/>
        <rFont val="Calibri"/>
        <family val="2"/>
        <charset val="238"/>
        <scheme val="minor"/>
      </rPr>
      <t xml:space="preserve">nebo v kombinaci s ERA, je indikován k léčbě dospělých pacientů s </t>
    </r>
    <r>
      <rPr>
        <u/>
        <sz val="8"/>
        <color theme="1"/>
        <rFont val="Calibri"/>
        <family val="2"/>
        <charset val="238"/>
        <scheme val="minor"/>
      </rPr>
      <t>PAH s WHO funkční třídou II až III</t>
    </r>
    <r>
      <rPr>
        <sz val="8"/>
        <color theme="1"/>
        <rFont val="Calibri"/>
        <family val="2"/>
        <charset val="238"/>
        <scheme val="minor"/>
      </rPr>
      <t xml:space="preserve"> ke zlepšení funkční zdatnosti. </t>
    </r>
    <r>
      <rPr>
        <u/>
        <sz val="8"/>
        <color theme="1"/>
        <rFont val="Calibri"/>
        <family val="2"/>
        <charset val="238"/>
        <scheme val="minor"/>
      </rPr>
      <t>Účinnost byla prokázána u pacientů s</t>
    </r>
    <r>
      <rPr>
        <sz val="8"/>
        <color theme="1"/>
        <rFont val="Calibri"/>
        <family val="2"/>
        <charset val="238"/>
        <scheme val="minor"/>
      </rPr>
      <t xml:space="preserve"> PAH včetně pacientů s idiopatickou nebo vrozenou PAH nebo PAH způsobenou onemocněním pojivové tkáně.  </t>
    </r>
  </si>
  <si>
    <r>
      <rPr>
        <i/>
        <u/>
        <sz val="8"/>
        <color theme="1"/>
        <rFont val="Calibri"/>
        <family val="2"/>
        <charset val="238"/>
        <scheme val="minor"/>
      </rPr>
      <t>Adempas:</t>
    </r>
    <r>
      <rPr>
        <sz val="8"/>
        <color theme="1"/>
        <rFont val="Calibri"/>
        <family val="2"/>
        <charset val="238"/>
        <scheme val="minor"/>
      </rPr>
      <t xml:space="preserve"> </t>
    </r>
    <r>
      <rPr>
        <u/>
        <sz val="8"/>
        <color theme="1"/>
        <rFont val="Calibri"/>
        <family val="2"/>
        <charset val="238"/>
        <scheme val="minor"/>
      </rPr>
      <t>v kombinaci s ERA</t>
    </r>
    <r>
      <rPr>
        <sz val="8"/>
        <color theme="1"/>
        <rFont val="Calibri"/>
        <family val="2"/>
        <charset val="238"/>
        <scheme val="minor"/>
      </rPr>
      <t>, je indikován k léčbě dospělých pacientů s</t>
    </r>
    <r>
      <rPr>
        <u/>
        <sz val="8"/>
        <color theme="1"/>
        <rFont val="Calibri"/>
        <family val="2"/>
        <charset val="238"/>
        <scheme val="minor"/>
      </rPr>
      <t xml:space="preserve"> PAH s WHO FC II až III </t>
    </r>
    <r>
      <rPr>
        <sz val="8"/>
        <color theme="1"/>
        <rFont val="Calibri"/>
        <family val="2"/>
        <charset val="238"/>
        <scheme val="minor"/>
      </rPr>
      <t xml:space="preserve">ke zlepšení funkční zdatnosti. </t>
    </r>
    <r>
      <rPr>
        <u/>
        <sz val="8"/>
        <color theme="1"/>
        <rFont val="Calibri"/>
        <family val="2"/>
        <charset val="238"/>
        <scheme val="minor"/>
      </rPr>
      <t xml:space="preserve">Účinnost byla prokázána u pacientů s </t>
    </r>
    <r>
      <rPr>
        <sz val="8"/>
        <color theme="1"/>
        <rFont val="Calibri"/>
        <family val="2"/>
        <charset val="238"/>
        <scheme val="minor"/>
      </rPr>
      <t xml:space="preserve">PAH včetně pacientů s idiopatickou nebo vrozenou PAH nebo PAH způsobenou onemocněním pojivové tkáně.                                  </t>
    </r>
    <r>
      <rPr>
        <i/>
        <u/>
        <sz val="8"/>
        <color theme="1"/>
        <rFont val="Calibri"/>
        <family val="2"/>
        <charset val="238"/>
        <scheme val="minor"/>
      </rPr>
      <t xml:space="preserve"> bosentan:</t>
    </r>
    <r>
      <rPr>
        <sz val="8"/>
        <color theme="1"/>
        <rFont val="Calibri"/>
        <family val="2"/>
        <charset val="238"/>
        <scheme val="minor"/>
      </rPr>
      <t xml:space="preserve"> léčba </t>
    </r>
    <r>
      <rPr>
        <u/>
        <sz val="8"/>
        <color theme="1"/>
        <rFont val="Calibri"/>
        <family val="2"/>
        <charset val="238"/>
        <scheme val="minor"/>
      </rPr>
      <t>PAH</t>
    </r>
    <r>
      <rPr>
        <sz val="8"/>
        <color theme="1"/>
        <rFont val="Calibri"/>
        <family val="2"/>
        <charset val="238"/>
        <scheme val="minor"/>
      </rPr>
      <t xml:space="preserve"> s cílem zlepšení zátěž. kapacity a symp. u pac. s onem. stupně</t>
    </r>
    <r>
      <rPr>
        <u/>
        <sz val="8"/>
        <color theme="1"/>
        <rFont val="Calibri"/>
        <family val="2"/>
        <charset val="238"/>
        <scheme val="minor"/>
      </rPr>
      <t xml:space="preserve">  III </t>
    </r>
    <r>
      <rPr>
        <sz val="8"/>
        <color theme="1"/>
        <rFont val="Calibri"/>
        <family val="2"/>
        <charset val="238"/>
        <scheme val="minor"/>
      </rPr>
      <t xml:space="preserve">podle fční klasif.WHO. </t>
    </r>
    <r>
      <rPr>
        <u/>
        <sz val="8"/>
        <color theme="1"/>
        <rFont val="Calibri"/>
        <family val="2"/>
        <charset val="238"/>
        <scheme val="minor"/>
      </rPr>
      <t>Účinnost byla prokázána u těchto indikací</t>
    </r>
    <r>
      <rPr>
        <sz val="8"/>
        <color theme="1"/>
        <rFont val="Calibri"/>
        <family val="2"/>
        <charset val="238"/>
        <scheme val="minor"/>
      </rPr>
      <t>: * Primární (idiopatická a dědičná) PAH, * PAH sek. při sklerodermii bez významného interstic. plicního onem., * PAH sdružená s vrozenými LP zkraty a Eisenmengerovým sy.</t>
    </r>
  </si>
  <si>
    <t>Adempas 1mg, 1,5mg, 2mg, 2,5mg tbl flm  (monoterapie)</t>
  </si>
  <si>
    <r>
      <t xml:space="preserve">37 274.54 Kč </t>
    </r>
    <r>
      <rPr>
        <sz val="9"/>
        <rFont val="Calibri"/>
        <family val="2"/>
        <charset val="238"/>
        <scheme val="minor"/>
      </rPr>
      <t>(za 84x2mg)</t>
    </r>
    <r>
      <rPr>
        <sz val="11"/>
        <rFont val="Calibri"/>
        <family val="2"/>
        <charset val="238"/>
        <scheme val="minor"/>
      </rPr>
      <t xml:space="preserve">    18 897,33 Kč </t>
    </r>
    <r>
      <rPr>
        <sz val="9"/>
        <rFont val="Calibri"/>
        <family val="2"/>
        <charset val="238"/>
        <scheme val="minor"/>
      </rPr>
      <t>(za 42x0,5mg</t>
    </r>
    <r>
      <rPr>
        <vertAlign val="superscript"/>
        <sz val="9"/>
        <rFont val="Calibri"/>
        <family val="2"/>
        <charset val="238"/>
        <scheme val="minor"/>
      </rPr>
      <t>19</t>
    </r>
    <r>
      <rPr>
        <sz val="9"/>
        <rFont val="Calibri"/>
        <family val="2"/>
        <charset val="238"/>
        <scheme val="minor"/>
      </rPr>
      <t>)</t>
    </r>
  </si>
  <si>
    <t>Tabulka č. 4</t>
  </si>
  <si>
    <t>Tabulka č. 3:</t>
  </si>
  <si>
    <r>
      <rPr>
        <vertAlign val="superscript"/>
        <sz val="8"/>
        <color theme="1"/>
        <rFont val="Calibri"/>
        <family val="2"/>
        <charset val="238"/>
        <scheme val="minor"/>
      </rPr>
      <t>19</t>
    </r>
    <r>
      <rPr>
        <sz val="8"/>
        <color theme="1"/>
        <rFont val="Calibri"/>
        <family val="2"/>
        <charset val="238"/>
        <scheme val="minor"/>
      </rPr>
      <t xml:space="preserve"> Aktuální ceník všech přípravků Adempas viz níže</t>
    </r>
    <r>
      <rPr>
        <u/>
        <sz val="8"/>
        <color theme="1"/>
        <rFont val="Calibri"/>
        <family val="2"/>
        <charset val="238"/>
        <scheme val="minor"/>
      </rPr>
      <t xml:space="preserve"> tabulka 4</t>
    </r>
  </si>
  <si>
    <r>
      <rPr>
        <vertAlign val="superscript"/>
        <sz val="8"/>
        <color theme="1"/>
        <rFont val="Calibri"/>
        <family val="2"/>
        <charset val="238"/>
        <scheme val="minor"/>
      </rPr>
      <t>20</t>
    </r>
    <r>
      <rPr>
        <sz val="8"/>
        <color theme="1"/>
        <rFont val="Calibri"/>
        <family val="2"/>
        <charset val="238"/>
        <scheme val="minor"/>
      </rPr>
      <t xml:space="preserve"> Jednotková cena je počítana ve výši úhrady !</t>
    </r>
  </si>
  <si>
    <r>
      <rPr>
        <vertAlign val="superscript"/>
        <sz val="8"/>
        <color theme="1"/>
        <rFont val="Calibri"/>
        <family val="2"/>
        <charset val="238"/>
        <scheme val="minor"/>
      </rPr>
      <t xml:space="preserve">11 </t>
    </r>
    <r>
      <rPr>
        <sz val="8"/>
        <color theme="1"/>
        <rFont val="Calibri"/>
        <family val="2"/>
        <charset val="238"/>
        <scheme val="minor"/>
      </rPr>
      <t xml:space="preserve">Pro účely této FE analýzy počítám s udržovací dávkou 2x 1600 µg (dosažení této dávky bude  po 7 týdnech) - čerpáno dle: SPC - viz výše pozn. 1 a článku: Sitbon O. et al. Selexipag for the treatment of pulmonary arterial hypertension. </t>
    </r>
    <r>
      <rPr>
        <i/>
        <sz val="8"/>
        <color theme="1"/>
        <rFont val="Calibri"/>
        <family val="2"/>
        <charset val="238"/>
        <scheme val="minor"/>
      </rPr>
      <t>N Engl J Med</t>
    </r>
    <r>
      <rPr>
        <sz val="8"/>
        <color theme="1"/>
        <rFont val="Calibri"/>
        <family val="2"/>
        <charset val="238"/>
        <scheme val="minor"/>
      </rPr>
      <t xml:space="preserve"> 2015, 373: 2522-33</t>
    </r>
  </si>
  <si>
    <t>GSK + Accord</t>
  </si>
  <si>
    <r>
      <t xml:space="preserve">14 635,94 Kč </t>
    </r>
    <r>
      <rPr>
        <sz val="9"/>
        <rFont val="Calibri"/>
        <family val="2"/>
        <charset val="238"/>
        <scheme val="minor"/>
      </rPr>
      <t xml:space="preserve">(Volibris) </t>
    </r>
    <r>
      <rPr>
        <sz val="11"/>
        <rFont val="Calibri"/>
        <family val="2"/>
        <charset val="238"/>
        <scheme val="minor"/>
      </rPr>
      <t xml:space="preserve">+                 7 008,42 Kč </t>
    </r>
    <r>
      <rPr>
        <sz val="9"/>
        <rFont val="Calibri"/>
        <family val="2"/>
        <charset val="238"/>
        <scheme val="minor"/>
      </rPr>
      <t>(Tadalafil Accord)</t>
    </r>
  </si>
  <si>
    <t>Janssen-Cilag + Sandoz</t>
  </si>
  <si>
    <r>
      <t xml:space="preserve">63 952,90 Kč </t>
    </r>
    <r>
      <rPr>
        <sz val="9"/>
        <rFont val="Calibri"/>
        <family val="2"/>
        <charset val="238"/>
        <scheme val="minor"/>
      </rPr>
      <t>(Opsumit)</t>
    </r>
    <r>
      <rPr>
        <sz val="11"/>
        <rFont val="Calibri"/>
        <family val="2"/>
        <charset val="238"/>
        <scheme val="minor"/>
      </rPr>
      <t xml:space="preserve"> + 993,12 Kč </t>
    </r>
    <r>
      <rPr>
        <sz val="9"/>
        <rFont val="Calibri"/>
        <family val="2"/>
        <charset val="238"/>
        <scheme val="minor"/>
      </rPr>
      <t>(Balcoga)</t>
    </r>
  </si>
  <si>
    <t>bosentan + sildenafil</t>
  </si>
  <si>
    <r>
      <rPr>
        <i/>
        <u/>
        <sz val="8"/>
        <color rgb="FF000000"/>
        <rFont val="Calibri"/>
        <family val="2"/>
        <charset val="238"/>
        <scheme val="minor"/>
      </rPr>
      <t>bosentan:</t>
    </r>
    <r>
      <rPr>
        <sz val="8"/>
        <color rgb="FF000000"/>
        <rFont val="Calibri"/>
        <family val="2"/>
        <charset val="238"/>
        <scheme val="minor"/>
      </rPr>
      <t xml:space="preserve"> </t>
    </r>
    <r>
      <rPr>
        <u/>
        <sz val="8"/>
        <color rgb="FF000000"/>
        <rFont val="Calibri"/>
        <family val="2"/>
        <charset val="238"/>
        <scheme val="minor"/>
      </rPr>
      <t>zahájit dávkou 62,5 mg 2x denně po dobu 4 týdnů</t>
    </r>
    <r>
      <rPr>
        <sz val="8"/>
        <color rgb="FF000000"/>
        <rFont val="Calibri"/>
        <family val="2"/>
        <charset val="238"/>
        <scheme val="minor"/>
      </rPr>
      <t xml:space="preserve">, která poté má být </t>
    </r>
    <r>
      <rPr>
        <u/>
        <sz val="8"/>
        <color rgb="FF000000"/>
        <rFont val="Calibri"/>
        <family val="2"/>
        <charset val="238"/>
        <scheme val="minor"/>
      </rPr>
      <t>zvýšena na udržovací dávku 125 mg 2x denně</t>
    </r>
    <r>
      <rPr>
        <sz val="8"/>
        <color rgb="FF000000"/>
        <rFont val="Calibri"/>
        <family val="2"/>
        <charset val="238"/>
        <scheme val="minor"/>
      </rPr>
      <t xml:space="preserve">. Stejná doporučení platí pro znovunasazení po přerušení léčby. V případě klin. zhoršení (např. zkrácení vzdálenosti při 6MWD o nejméně 10% oproti měření před léčbou) i navzdory léčbě  probíhající nejméně 8 týdnů (cílová dávka nejméně 4 týdny) mají být zváženy alternat. terapie. Nicméně někteří pac., kteří nezareagují na léčbu  ani po 8 týdnech, mohou příznivě reagovat po dalších 4 až 8 týdnech léčby.                                                                                                                                                                                                                </t>
    </r>
    <r>
      <rPr>
        <i/>
        <u/>
        <sz val="8"/>
        <color rgb="FF000000"/>
        <rFont val="Calibri"/>
        <family val="2"/>
        <charset val="238"/>
        <scheme val="minor"/>
      </rPr>
      <t>sildenafil</t>
    </r>
    <r>
      <rPr>
        <sz val="8"/>
        <color rgb="FF000000"/>
        <rFont val="Calibri"/>
        <family val="2"/>
        <charset val="238"/>
        <scheme val="minor"/>
      </rPr>
      <t xml:space="preserve">: doporučená dávka je </t>
    </r>
    <r>
      <rPr>
        <u/>
        <sz val="8"/>
        <color rgb="FF000000"/>
        <rFont val="Calibri"/>
        <family val="2"/>
        <charset val="238"/>
        <scheme val="minor"/>
      </rPr>
      <t>20 mg třikrát denně</t>
    </r>
  </si>
  <si>
    <t>Sandoz + GSK</t>
  </si>
  <si>
    <t>Opsumit 10mg tbl flm 30 +                           Balcoga 20mg tbl flm 90</t>
  </si>
  <si>
    <t>Volibris 5mg tbl flm 30 +                                     Tadalafil Accord 20mg tbl flm 56</t>
  </si>
  <si>
    <r>
      <t xml:space="preserve"> 993,12 Kč </t>
    </r>
    <r>
      <rPr>
        <sz val="9"/>
        <rFont val="Calibri"/>
        <family val="2"/>
        <charset val="238"/>
        <scheme val="minor"/>
      </rPr>
      <t>(Balcoga)</t>
    </r>
    <r>
      <rPr>
        <sz val="11"/>
        <rFont val="Calibri"/>
        <family val="2"/>
        <charset val="238"/>
        <scheme val="minor"/>
      </rPr>
      <t xml:space="preserve"> +                    1338,34 Kč </t>
    </r>
    <r>
      <rPr>
        <sz val="9"/>
        <rFont val="Calibri"/>
        <family val="2"/>
        <charset val="238"/>
        <scheme val="minor"/>
      </rPr>
      <t>(Flolan 1,5mg inf)</t>
    </r>
    <r>
      <rPr>
        <sz val="11"/>
        <rFont val="Calibri"/>
        <family val="2"/>
        <charset val="238"/>
        <scheme val="minor"/>
      </rPr>
      <t xml:space="preserve"> </t>
    </r>
  </si>
  <si>
    <t xml:space="preserve">B01AC27 + C02KX01       </t>
  </si>
  <si>
    <t>B01AC27 + C02KX01 + G04BE03</t>
  </si>
  <si>
    <r>
      <rPr>
        <i/>
        <sz val="10"/>
        <color theme="1"/>
        <rFont val="Calibri"/>
        <family val="2"/>
        <charset val="238"/>
        <scheme val="minor"/>
      </rPr>
      <t>Opsumit:</t>
    </r>
    <r>
      <rPr>
        <sz val="10"/>
        <color theme="1"/>
        <rFont val="Calibri"/>
        <family val="2"/>
        <charset val="238"/>
        <scheme val="minor"/>
      </rPr>
      <t xml:space="preserve"> nemá zatím v ČR úhradu                                                                                                                      </t>
    </r>
  </si>
  <si>
    <t>podat generikum Balcogu</t>
  </si>
  <si>
    <t>podat generikum Tadalafil Accord</t>
  </si>
  <si>
    <r>
      <t xml:space="preserve">dochází ke vzájené interakci (bosentan snižuje o 50-80% hladinu sildenafilu a sildenafil zvyšuje o 26-75% hladinu bosentanu) </t>
    </r>
    <r>
      <rPr>
        <u/>
        <sz val="8"/>
        <color rgb="FF000000"/>
        <rFont val="Calibri"/>
        <family val="2"/>
        <charset val="238"/>
        <scheme val="minor"/>
      </rPr>
      <t>- nutné sledovat event.výskyt NÚ bosentanu !</t>
    </r>
    <r>
      <rPr>
        <sz val="8"/>
        <color rgb="FF000000"/>
        <rFont val="Calibri"/>
        <family val="2"/>
        <charset val="238"/>
        <scheme val="minor"/>
      </rPr>
      <t>!)</t>
    </r>
  </si>
  <si>
    <t>oproti kombinaci silden. s bosent. je výhoda, že bosentan méně snižuje hl. tadal. (jen o 30-50%) a tadal. neovlivňuje hl. bosentanu</t>
  </si>
  <si>
    <r>
      <rPr>
        <b/>
        <vertAlign val="superscript"/>
        <sz val="9"/>
        <color theme="1"/>
        <rFont val="Calibri"/>
        <family val="2"/>
        <charset val="238"/>
        <scheme val="minor"/>
      </rPr>
      <t>5</t>
    </r>
    <r>
      <rPr>
        <b/>
        <sz val="9"/>
        <color theme="1"/>
        <rFont val="Calibri"/>
        <family val="2"/>
        <charset val="238"/>
        <scheme val="minor"/>
      </rPr>
      <t xml:space="preserve"> Dle ESC/ERS guidelinu</t>
    </r>
    <r>
      <rPr>
        <b/>
        <vertAlign val="superscript"/>
        <sz val="9"/>
        <color theme="1"/>
        <rFont val="Calibri"/>
        <family val="2"/>
        <charset val="238"/>
        <scheme val="minor"/>
      </rPr>
      <t>3</t>
    </r>
    <r>
      <rPr>
        <b/>
        <sz val="9"/>
        <color theme="1"/>
        <rFont val="Calibri"/>
        <family val="2"/>
        <charset val="238"/>
        <scheme val="minor"/>
      </rPr>
      <t xml:space="preserve"> je doporučeno provádět pravidelná následná hodnocení každé 3-6 měsíce u stabilních pacientů (síla doporučení: IC) a je doporučeno dosažení/ udržení nízko rizikového profilu (viz níže Table 13) jako adekvátní léčebné odpovědi (síla doporučení: IC) !!</t>
    </r>
  </si>
  <si>
    <t>Tabulka č. 14:</t>
  </si>
  <si>
    <t>Tabulka č.15 :</t>
  </si>
  <si>
    <r>
      <rPr>
        <b/>
        <vertAlign val="superscript"/>
        <sz val="9"/>
        <color theme="1"/>
        <rFont val="Calibri"/>
        <family val="2"/>
        <charset val="238"/>
        <scheme val="minor"/>
      </rPr>
      <t>21</t>
    </r>
    <r>
      <rPr>
        <b/>
        <sz val="9"/>
        <color theme="1"/>
        <rFont val="Calibri"/>
        <family val="2"/>
        <charset val="238"/>
        <scheme val="minor"/>
      </rPr>
      <t xml:space="preserve"> </t>
    </r>
    <r>
      <rPr>
        <b/>
        <u/>
        <sz val="9"/>
        <color theme="1"/>
        <rFont val="Calibri"/>
        <family val="2"/>
        <charset val="238"/>
        <scheme val="minor"/>
      </rPr>
      <t>Dle</t>
    </r>
    <r>
      <rPr>
        <b/>
        <u/>
        <vertAlign val="superscript"/>
        <sz val="9"/>
        <color theme="1"/>
        <rFont val="Calibri"/>
        <family val="2"/>
        <charset val="238"/>
        <scheme val="minor"/>
      </rPr>
      <t>18</t>
    </r>
    <r>
      <rPr>
        <b/>
        <u/>
        <sz val="9"/>
        <color theme="1"/>
        <rFont val="Calibri"/>
        <family val="2"/>
        <charset val="238"/>
        <scheme val="minor"/>
      </rPr>
      <t xml:space="preserve"> se doporučuje (viz také níže Tabulka č. 3)</t>
    </r>
    <r>
      <rPr>
        <b/>
        <sz val="9"/>
        <color theme="1"/>
        <rFont val="Calibri"/>
        <family val="2"/>
        <charset val="238"/>
        <scheme val="minor"/>
      </rPr>
      <t xml:space="preserve"> u </t>
    </r>
    <r>
      <rPr>
        <b/>
        <u/>
        <sz val="9"/>
        <color theme="1"/>
        <rFont val="Calibri"/>
        <family val="2"/>
        <charset val="238"/>
        <scheme val="minor"/>
      </rPr>
      <t xml:space="preserve">naivních PAH pacientů s FC III (bez evidence rychlé progrese nemoci nebo špatné prognozy) podat iniciálně kombinaci ambrisentanu s tadalafilem </t>
    </r>
    <r>
      <rPr>
        <b/>
        <sz val="9"/>
        <color theme="1"/>
        <rFont val="Calibri"/>
        <family val="2"/>
        <charset val="238"/>
        <scheme val="minor"/>
      </rPr>
      <t>(pokud je pacient ochotný a schopný ji tolerovat), jinak podat monoterapii dle Tabulky č. 3 níže.</t>
    </r>
  </si>
  <si>
    <r>
      <rPr>
        <b/>
        <vertAlign val="superscript"/>
        <sz val="9"/>
        <color theme="1"/>
        <rFont val="Calibri"/>
        <family val="2"/>
        <charset val="238"/>
        <scheme val="minor"/>
      </rPr>
      <t>22</t>
    </r>
    <r>
      <rPr>
        <b/>
        <sz val="9"/>
        <color theme="1"/>
        <rFont val="Calibri"/>
        <family val="2"/>
        <charset val="238"/>
        <scheme val="minor"/>
      </rPr>
      <t xml:space="preserve"> </t>
    </r>
    <r>
      <rPr>
        <b/>
        <u/>
        <sz val="9"/>
        <color theme="1"/>
        <rFont val="Calibri"/>
        <family val="2"/>
        <charset val="238"/>
        <scheme val="minor"/>
      </rPr>
      <t>Dle</t>
    </r>
    <r>
      <rPr>
        <b/>
        <u/>
        <vertAlign val="superscript"/>
        <sz val="9"/>
        <color theme="1"/>
        <rFont val="Calibri"/>
        <family val="2"/>
        <charset val="238"/>
        <scheme val="minor"/>
      </rPr>
      <t>18,3</t>
    </r>
    <r>
      <rPr>
        <b/>
        <u/>
        <sz val="9"/>
        <color theme="1"/>
        <rFont val="Calibri"/>
        <family val="2"/>
        <charset val="238"/>
        <scheme val="minor"/>
      </rPr>
      <t xml:space="preserve"> se doporučuje</t>
    </r>
    <r>
      <rPr>
        <b/>
        <sz val="9"/>
        <color theme="1"/>
        <rFont val="Calibri"/>
        <family val="2"/>
        <charset val="238"/>
        <scheme val="minor"/>
      </rPr>
      <t xml:space="preserve"> u pacientů s </t>
    </r>
    <r>
      <rPr>
        <b/>
        <u/>
        <sz val="9"/>
        <color theme="1"/>
        <rFont val="Calibri"/>
        <family val="2"/>
        <charset val="238"/>
        <scheme val="minor"/>
      </rPr>
      <t xml:space="preserve">PAH FC III nebo IV s neadekvátní odpovědí </t>
    </r>
    <r>
      <rPr>
        <b/>
        <sz val="9"/>
        <color theme="1"/>
        <rFont val="Calibri"/>
        <family val="2"/>
        <charset val="238"/>
        <scheme val="minor"/>
      </rPr>
      <t xml:space="preserve">(viz výše pozn.5) </t>
    </r>
    <r>
      <rPr>
        <b/>
        <u/>
        <sz val="9"/>
        <color theme="1"/>
        <rFont val="Calibri"/>
        <family val="2"/>
        <charset val="238"/>
        <scheme val="minor"/>
      </rPr>
      <t xml:space="preserve">na iniciální terapii přidat (add-on) druhé, případně třetí </t>
    </r>
    <r>
      <rPr>
        <b/>
        <sz val="9"/>
        <color theme="1"/>
        <rFont val="Calibri"/>
        <family val="2"/>
        <charset val="238"/>
        <scheme val="minor"/>
      </rPr>
      <t>léčivo do kombinace.</t>
    </r>
  </si>
  <si>
    <t xml:space="preserve">    Pro objektivnější odhad, který pacient v intermediate risk group (dle Tabulky 13 níže) je "žhavější" kandidát iniciální kombinace ambris+tadal. je možno použít Tabulku č. 14 převzatou ze zdroje uvedeného v pozn. 9 (tzn. pacient s PAH risk score 8 bodů), příp. Tabulku č. 15 ze stejného zdroje.             </t>
  </si>
  <si>
    <r>
      <rPr>
        <b/>
        <vertAlign val="superscript"/>
        <sz val="9"/>
        <color theme="1"/>
        <rFont val="Calibri"/>
        <family val="2"/>
        <charset val="238"/>
        <scheme val="minor"/>
      </rPr>
      <t>23</t>
    </r>
    <r>
      <rPr>
        <b/>
        <sz val="9"/>
        <color theme="1"/>
        <rFont val="Calibri"/>
        <family val="2"/>
        <charset val="238"/>
        <scheme val="minor"/>
      </rPr>
      <t xml:space="preserve"> </t>
    </r>
    <r>
      <rPr>
        <b/>
        <u/>
        <sz val="9"/>
        <color theme="1"/>
        <rFont val="Calibri"/>
        <family val="2"/>
        <charset val="238"/>
        <scheme val="minor"/>
      </rPr>
      <t>Dle</t>
    </r>
    <r>
      <rPr>
        <b/>
        <u/>
        <vertAlign val="superscript"/>
        <sz val="9"/>
        <color theme="1"/>
        <rFont val="Calibri"/>
        <family val="2"/>
        <charset val="238"/>
        <scheme val="minor"/>
      </rPr>
      <t>18</t>
    </r>
    <r>
      <rPr>
        <b/>
        <u/>
        <sz val="9"/>
        <color theme="1"/>
        <rFont val="Calibri"/>
        <family val="2"/>
        <charset val="238"/>
        <scheme val="minor"/>
      </rPr>
      <t xml:space="preserve"> se doporučuje (viz také níže Tabulka č. 3)</t>
    </r>
    <r>
      <rPr>
        <b/>
        <sz val="9"/>
        <color theme="1"/>
        <rFont val="Calibri"/>
        <family val="2"/>
        <charset val="238"/>
        <scheme val="minor"/>
      </rPr>
      <t xml:space="preserve"> u </t>
    </r>
    <r>
      <rPr>
        <b/>
        <u/>
        <sz val="9"/>
        <color theme="1"/>
        <rFont val="Calibri"/>
        <family val="2"/>
        <charset val="238"/>
        <scheme val="minor"/>
      </rPr>
      <t xml:space="preserve">PAH pacientů s FC III (s evidencí rychlé progrese nemoci nebo špatné prognozy </t>
    </r>
    <r>
      <rPr>
        <b/>
        <sz val="9"/>
        <color theme="1"/>
        <rFont val="Calibri"/>
        <family val="2"/>
        <charset val="238"/>
        <scheme val="minor"/>
      </rPr>
      <t xml:space="preserve">- tj. high risk group (dle Tabulky 13 níže), příp. intermediate risk group (dle Tabulky 13 níže) s PAH risk score (viz níže Tabulka č. 14) 9 bodů ) </t>
    </r>
    <r>
      <rPr>
        <b/>
        <u/>
        <sz val="9"/>
        <color theme="1"/>
        <rFont val="Calibri"/>
        <family val="2"/>
        <charset val="238"/>
        <scheme val="minor"/>
      </rPr>
      <t>poda</t>
    </r>
    <r>
      <rPr>
        <b/>
        <sz val="9"/>
        <color theme="1"/>
        <rFont val="Calibri"/>
        <family val="2"/>
        <charset val="238"/>
        <scheme val="minor"/>
      </rPr>
      <t xml:space="preserve">t </t>
    </r>
  </si>
  <si>
    <r>
      <t xml:space="preserve">   </t>
    </r>
    <r>
      <rPr>
        <b/>
        <u/>
        <sz val="9"/>
        <color theme="1"/>
        <rFont val="Calibri"/>
        <family val="2"/>
        <charset val="238"/>
        <scheme val="minor"/>
      </rPr>
      <t xml:space="preserve"> parenterální PCA (epoprostenol či s.c. treprostinil)</t>
    </r>
    <r>
      <rPr>
        <b/>
        <sz val="9"/>
        <color theme="1"/>
        <rFont val="Calibri"/>
        <family val="2"/>
        <charset val="238"/>
        <scheme val="minor"/>
      </rPr>
      <t>, pokud je pacient ochoten a schopen ho používat, jinak se doporučuje zvážit přidání (add-on) inhalační PCA (v ČR jen iloprost).</t>
    </r>
  </si>
  <si>
    <r>
      <rPr>
        <b/>
        <vertAlign val="superscript"/>
        <sz val="9"/>
        <color theme="1"/>
        <rFont val="Calibri"/>
        <family val="2"/>
        <charset val="238"/>
        <scheme val="minor"/>
      </rPr>
      <t>24</t>
    </r>
    <r>
      <rPr>
        <b/>
        <sz val="9"/>
        <color theme="1"/>
        <rFont val="Calibri"/>
        <family val="2"/>
        <charset val="238"/>
        <scheme val="minor"/>
      </rPr>
      <t xml:space="preserve"> </t>
    </r>
    <r>
      <rPr>
        <b/>
        <u/>
        <sz val="9"/>
        <color theme="1"/>
        <rFont val="Calibri"/>
        <family val="2"/>
        <charset val="238"/>
        <scheme val="minor"/>
      </rPr>
      <t>Dle</t>
    </r>
    <r>
      <rPr>
        <b/>
        <u/>
        <vertAlign val="superscript"/>
        <sz val="9"/>
        <color theme="1"/>
        <rFont val="Calibri"/>
        <family val="2"/>
        <charset val="238"/>
        <scheme val="minor"/>
      </rPr>
      <t>3</t>
    </r>
    <r>
      <rPr>
        <b/>
        <u/>
        <sz val="9"/>
        <color theme="1"/>
        <rFont val="Calibri"/>
        <family val="2"/>
        <charset val="238"/>
        <scheme val="minor"/>
      </rPr>
      <t xml:space="preserve"> se doporučuje</t>
    </r>
    <r>
      <rPr>
        <b/>
        <sz val="9"/>
        <color theme="1"/>
        <rFont val="Calibri"/>
        <family val="2"/>
        <charset val="238"/>
        <scheme val="minor"/>
      </rPr>
      <t xml:space="preserve"> u pacientů s </t>
    </r>
    <r>
      <rPr>
        <b/>
        <u/>
        <sz val="9"/>
        <color theme="1"/>
        <rFont val="Calibri"/>
        <family val="2"/>
        <charset val="238"/>
        <scheme val="minor"/>
      </rPr>
      <t xml:space="preserve">PAH FC IV jako iniciální terapii nasadit kombinaci zahrnující parenterální PCA (epoprostenol či s.c. treprostinil), </t>
    </r>
    <r>
      <rPr>
        <b/>
        <sz val="9"/>
        <color theme="1"/>
        <rFont val="Calibri"/>
        <family val="2"/>
        <charset val="238"/>
        <scheme val="minor"/>
      </rPr>
      <t xml:space="preserve">pokud je pacient ochoten a schopen ho používat, </t>
    </r>
    <r>
      <rPr>
        <b/>
        <u/>
        <sz val="9"/>
        <color theme="1"/>
        <rFont val="Calibri"/>
        <family val="2"/>
        <charset val="238"/>
        <scheme val="minor"/>
      </rPr>
      <t>jinak se doporučuje (dle</t>
    </r>
    <r>
      <rPr>
        <b/>
        <u/>
        <vertAlign val="superscript"/>
        <sz val="9"/>
        <color theme="1"/>
        <rFont val="Calibri"/>
        <family val="2"/>
        <charset val="238"/>
        <scheme val="minor"/>
      </rPr>
      <t>18</t>
    </r>
    <r>
      <rPr>
        <b/>
        <u/>
        <sz val="9"/>
        <color theme="1"/>
        <rFont val="Calibri"/>
        <family val="2"/>
        <charset val="238"/>
        <scheme val="minor"/>
      </rPr>
      <t>) nasadit kombinaci inhalačního PCA (v ČR jen iloprost) s PDE5i a ERA</t>
    </r>
    <r>
      <rPr>
        <b/>
        <sz val="9"/>
        <color theme="1"/>
        <rFont val="Calibri"/>
        <family val="2"/>
        <charset val="238"/>
        <scheme val="minor"/>
      </rPr>
      <t>.</t>
    </r>
  </si>
  <si>
    <r>
      <t xml:space="preserve">37 274.54 Kč </t>
    </r>
    <r>
      <rPr>
        <sz val="9"/>
        <rFont val="Calibri"/>
        <family val="2"/>
        <charset val="238"/>
        <scheme val="minor"/>
      </rPr>
      <t>(za 84x2mg)</t>
    </r>
    <r>
      <rPr>
        <sz val="11"/>
        <rFont val="Calibri"/>
        <family val="2"/>
        <charset val="238"/>
        <scheme val="minor"/>
      </rPr>
      <t xml:space="preserve">                   18 897,33 Kč </t>
    </r>
    <r>
      <rPr>
        <sz val="9"/>
        <rFont val="Calibri"/>
        <family val="2"/>
        <charset val="238"/>
        <scheme val="minor"/>
      </rPr>
      <t>(za 42x0,5mg</t>
    </r>
    <r>
      <rPr>
        <vertAlign val="superscript"/>
        <sz val="9"/>
        <rFont val="Calibri"/>
        <family val="2"/>
        <charset val="238"/>
        <scheme val="minor"/>
      </rPr>
      <t>19</t>
    </r>
    <r>
      <rPr>
        <sz val="9"/>
        <rFont val="Calibri"/>
        <family val="2"/>
        <charset val="238"/>
        <scheme val="minor"/>
      </rPr>
      <t>)</t>
    </r>
  </si>
  <si>
    <r>
      <t>1. volba u PAH FC III (u pac. s rychlou progresí či špatnou progn.</t>
    </r>
    <r>
      <rPr>
        <b/>
        <u/>
        <vertAlign val="superscript"/>
        <sz val="10"/>
        <color theme="1"/>
        <rFont val="Calibri"/>
        <family val="2"/>
        <charset val="238"/>
        <scheme val="minor"/>
      </rPr>
      <t>23</t>
    </r>
    <r>
      <rPr>
        <b/>
        <u/>
        <sz val="10"/>
        <color theme="1"/>
        <rFont val="Calibri"/>
        <family val="2"/>
        <charset val="238"/>
        <scheme val="minor"/>
      </rPr>
      <t>, či pokud nestačí bosen., je nutná komb. (add-on)</t>
    </r>
    <r>
      <rPr>
        <b/>
        <u/>
        <vertAlign val="superscript"/>
        <sz val="10"/>
        <color theme="1"/>
        <rFont val="Calibri"/>
        <family val="2"/>
        <charset val="238"/>
        <scheme val="minor"/>
      </rPr>
      <t>22</t>
    </r>
    <r>
      <rPr>
        <b/>
        <u/>
        <sz val="10"/>
        <color theme="1"/>
        <rFont val="Calibri"/>
        <family val="2"/>
        <charset val="238"/>
        <scheme val="minor"/>
      </rPr>
      <t xml:space="preserve"> a není možno přidat PDE5i)</t>
    </r>
  </si>
  <si>
    <r>
      <t>2. volba (</t>
    </r>
    <r>
      <rPr>
        <b/>
        <u/>
        <sz val="10"/>
        <color theme="1"/>
        <rFont val="Calibri"/>
        <family val="2"/>
        <charset val="238"/>
        <scheme val="minor"/>
      </rPr>
      <t>i když je vyšší síla dopor. než pro iloprost add to bosentan, ale je výrazně dražší !!</t>
    </r>
    <r>
      <rPr>
        <sz val="10"/>
        <color theme="1"/>
        <rFont val="Calibri"/>
        <family val="2"/>
        <charset val="238"/>
        <scheme val="minor"/>
      </rPr>
      <t>)                     u PAH FC III (pokud nestačí bosen., je nutná komb. (add-on)</t>
    </r>
    <r>
      <rPr>
        <vertAlign val="superscript"/>
        <sz val="10"/>
        <color theme="1"/>
        <rFont val="Calibri"/>
        <family val="2"/>
        <charset val="238"/>
        <scheme val="minor"/>
      </rPr>
      <t>22</t>
    </r>
    <r>
      <rPr>
        <sz val="10"/>
        <color theme="1"/>
        <rFont val="Calibri"/>
        <family val="2"/>
        <charset val="238"/>
        <scheme val="minor"/>
      </rPr>
      <t xml:space="preserve"> a není možno přidat PDE5i)</t>
    </r>
  </si>
  <si>
    <r>
      <t>3. volba (</t>
    </r>
    <r>
      <rPr>
        <b/>
        <u/>
        <sz val="10"/>
        <color theme="1"/>
        <rFont val="Calibri"/>
        <family val="2"/>
        <charset val="238"/>
        <scheme val="minor"/>
      </rPr>
      <t>i když je vyšší síla dopor. než pro iloprost add to bosentan, ale je výrazně dražší !!</t>
    </r>
    <r>
      <rPr>
        <sz val="10"/>
        <color theme="1"/>
        <rFont val="Calibri"/>
        <family val="2"/>
        <charset val="238"/>
        <scheme val="minor"/>
      </rPr>
      <t>)                     u PAH FC III (pokud nestačí bosen., je nutná komb. (add-on)</t>
    </r>
    <r>
      <rPr>
        <vertAlign val="superscript"/>
        <sz val="10"/>
        <color theme="1"/>
        <rFont val="Calibri"/>
        <family val="2"/>
        <charset val="238"/>
        <scheme val="minor"/>
      </rPr>
      <t>22</t>
    </r>
    <r>
      <rPr>
        <sz val="10"/>
        <color theme="1"/>
        <rFont val="Calibri"/>
        <family val="2"/>
        <charset val="238"/>
        <scheme val="minor"/>
      </rPr>
      <t xml:space="preserve"> a není možno přidat PDE5i)</t>
    </r>
  </si>
  <si>
    <r>
      <rPr>
        <i/>
        <sz val="9"/>
        <color rgb="FF000000"/>
        <rFont val="Calibri"/>
        <family val="2"/>
        <charset val="238"/>
        <scheme val="minor"/>
      </rPr>
      <t>pro tadal. add-on bosen.</t>
    </r>
    <r>
      <rPr>
        <sz val="9"/>
        <color rgb="FF000000"/>
        <rFont val="Calibri"/>
        <family val="2"/>
        <charset val="238"/>
        <scheme val="minor"/>
      </rPr>
      <t xml:space="preserve">:                                              pro FC II-IV je IIaC                                       </t>
    </r>
    <r>
      <rPr>
        <i/>
        <sz val="9"/>
        <color rgb="FF000000"/>
        <rFont val="Calibri"/>
        <family val="2"/>
        <charset val="238"/>
        <scheme val="minor"/>
      </rPr>
      <t>pro inicial.kombinaci:</t>
    </r>
    <r>
      <rPr>
        <sz val="9"/>
        <color rgb="FF000000"/>
        <rFont val="Calibri"/>
        <family val="2"/>
        <charset val="238"/>
        <scheme val="minor"/>
      </rPr>
      <t xml:space="preserve"> IIaC pro FC II                                              IIaC pro FC III                                           IIbC pro FC IV   </t>
    </r>
  </si>
  <si>
    <t>tadalafil + bosentan</t>
  </si>
  <si>
    <t>podat generikum Flolan</t>
  </si>
  <si>
    <t>jen na přechodnou dobu u pac. s PAH FC III, kteří mohou být na monoterapii PDE5i, ale nemohou krátkodobě nic p.o. přijímat !!!</t>
  </si>
  <si>
    <t>nejvyšší cena za léčbu !!</t>
  </si>
  <si>
    <t>druhá nejvyšší cena za léčbu !!!</t>
  </si>
  <si>
    <t>sildenafil+ epoprostenol</t>
  </si>
  <si>
    <t>bosentan + epoprostenol</t>
  </si>
  <si>
    <r>
      <t xml:space="preserve">Balcoga 20mg tbl flm 90 +                  Flolan 1,5mg inf 1x50ml </t>
    </r>
    <r>
      <rPr>
        <sz val="8"/>
        <color theme="1"/>
        <rFont val="Calibri"/>
        <family val="2"/>
        <charset val="238"/>
        <scheme val="minor"/>
      </rPr>
      <t>(cena počítána pro udrž.dávku 35ng/kg/min pro 80kg bez titrace!!!)</t>
    </r>
    <r>
      <rPr>
        <sz val="10"/>
        <color theme="1"/>
        <rFont val="Calibri"/>
        <family val="2"/>
        <charset val="238"/>
        <scheme val="minor"/>
      </rPr>
      <t xml:space="preserve"> </t>
    </r>
  </si>
  <si>
    <t>C02KX01 + G04BE03 + B01AC09</t>
  </si>
  <si>
    <t>ERA + PDE5i + Prostacyklinová analoga (PCA)</t>
  </si>
  <si>
    <t>bosentan + sildenafil + epoprostenol</t>
  </si>
  <si>
    <r>
      <rPr>
        <i/>
        <u/>
        <sz val="8"/>
        <color theme="1"/>
        <rFont val="Calibri"/>
        <family val="2"/>
        <charset val="238"/>
        <scheme val="minor"/>
      </rPr>
      <t>bosentan:</t>
    </r>
    <r>
      <rPr>
        <sz val="8"/>
        <color theme="1"/>
        <rFont val="Calibri"/>
        <family val="2"/>
        <charset val="238"/>
        <scheme val="minor"/>
      </rPr>
      <t xml:space="preserve"> léčba </t>
    </r>
    <r>
      <rPr>
        <u/>
        <sz val="8"/>
        <color theme="1"/>
        <rFont val="Calibri"/>
        <family val="2"/>
        <charset val="238"/>
        <scheme val="minor"/>
      </rPr>
      <t>PAH</t>
    </r>
    <r>
      <rPr>
        <sz val="8"/>
        <color theme="1"/>
        <rFont val="Calibri"/>
        <family val="2"/>
        <charset val="238"/>
        <scheme val="minor"/>
      </rPr>
      <t xml:space="preserve"> s cílem zlepšení zátěž. kapacity a symp. u pac. s onem. </t>
    </r>
    <r>
      <rPr>
        <u/>
        <sz val="8"/>
        <color theme="1"/>
        <rFont val="Calibri"/>
        <family val="2"/>
        <charset val="238"/>
        <scheme val="minor"/>
      </rPr>
      <t xml:space="preserve">stupně  III </t>
    </r>
    <r>
      <rPr>
        <sz val="8"/>
        <color theme="1"/>
        <rFont val="Calibri"/>
        <family val="2"/>
        <charset val="238"/>
        <scheme val="minor"/>
      </rPr>
      <t xml:space="preserve">podle fční klasif.WHO. Účinnost byla prokázána u těchto indikací: * Primární (idiopatická a dědičná) PAH, * PAH sek. při sklerodermii bez významného interstic. plicního onem., * PAH sdružená s vrozenými levo-pravými zkraty a Eisenmengerovým sy.                            </t>
    </r>
    <r>
      <rPr>
        <u/>
        <sz val="8"/>
        <color theme="1"/>
        <rFont val="Calibri"/>
        <family val="2"/>
        <charset val="238"/>
        <scheme val="minor"/>
      </rPr>
      <t xml:space="preserve"> </t>
    </r>
    <r>
      <rPr>
        <i/>
        <u/>
        <sz val="8"/>
        <color theme="1"/>
        <rFont val="Calibri"/>
        <family val="2"/>
        <charset val="238"/>
        <scheme val="minor"/>
      </rPr>
      <t>sildenafil</t>
    </r>
    <r>
      <rPr>
        <u/>
        <sz val="8"/>
        <color theme="1"/>
        <rFont val="Calibri"/>
        <family val="2"/>
        <charset val="238"/>
        <scheme val="minor"/>
      </rPr>
      <t xml:space="preserve">: </t>
    </r>
    <r>
      <rPr>
        <sz val="8"/>
        <color theme="1"/>
        <rFont val="Calibri"/>
        <family val="2"/>
        <charset val="238"/>
        <scheme val="minor"/>
      </rPr>
      <t xml:space="preserve">léčba dospělých pacientů trpících PAH třídy II a III podle klasifikace WHO s cílem zlepšit fyzickou zdatnost. Byla prokázána účinnost v léčbě primární plicní hypertenze a plicní hypertenze při onemocnění pojivových tkání.   </t>
    </r>
    <r>
      <rPr>
        <u/>
        <sz val="8"/>
        <color theme="1"/>
        <rFont val="Calibri"/>
        <family val="2"/>
        <charset val="238"/>
        <scheme val="minor"/>
      </rPr>
      <t xml:space="preserve">                                                                         </t>
    </r>
    <r>
      <rPr>
        <i/>
        <u/>
        <sz val="8"/>
        <color theme="1"/>
        <rFont val="Calibri"/>
        <family val="2"/>
        <charset val="238"/>
        <scheme val="minor"/>
      </rPr>
      <t>epoprostenol</t>
    </r>
    <r>
      <rPr>
        <sz val="8"/>
        <color theme="1"/>
        <rFont val="Calibri"/>
        <family val="2"/>
        <charset val="238"/>
        <scheme val="minor"/>
      </rPr>
      <t xml:space="preserve">: k léčbě pacientů s </t>
    </r>
    <r>
      <rPr>
        <u/>
        <sz val="8"/>
        <color theme="1"/>
        <rFont val="Calibri"/>
        <family val="2"/>
        <charset val="238"/>
        <scheme val="minor"/>
      </rPr>
      <t>PAH</t>
    </r>
    <r>
      <rPr>
        <sz val="8"/>
        <color theme="1"/>
        <rFont val="Calibri"/>
        <family val="2"/>
        <charset val="238"/>
        <scheme val="minor"/>
      </rPr>
      <t xml:space="preserve"> (idiopatická nebo dědičná PAH a PAH spojená s onemocněním pojivových tkání) u pacientů se symptomy</t>
    </r>
    <r>
      <rPr>
        <u/>
        <sz val="8"/>
        <color theme="1"/>
        <rFont val="Calibri"/>
        <family val="2"/>
        <charset val="238"/>
        <scheme val="minor"/>
      </rPr>
      <t xml:space="preserve"> III</t>
    </r>
    <r>
      <rPr>
        <sz val="8"/>
        <color theme="1"/>
        <rFont val="Calibri"/>
        <family val="2"/>
        <charset val="238"/>
        <scheme val="minor"/>
      </rPr>
      <t xml:space="preserve">-IV funkční třídy podle WHO ke zlepšení zátěžové kapacity. </t>
    </r>
  </si>
  <si>
    <r>
      <rPr>
        <i/>
        <sz val="9"/>
        <color rgb="FF000000"/>
        <rFont val="Calibri"/>
        <family val="2"/>
        <charset val="238"/>
        <scheme val="minor"/>
      </rPr>
      <t>pro iniciál.komb.</t>
    </r>
    <r>
      <rPr>
        <sz val="9"/>
        <color rgb="FF000000"/>
        <rFont val="Calibri"/>
        <family val="2"/>
        <charset val="238"/>
        <scheme val="minor"/>
      </rPr>
      <t xml:space="preserve">:                      IIbC pro FC III                                                    IIbC pro FC IV                                  </t>
    </r>
    <r>
      <rPr>
        <i/>
        <sz val="9"/>
        <color rgb="FF000000"/>
        <rFont val="Calibri"/>
        <family val="2"/>
        <charset val="238"/>
        <scheme val="minor"/>
      </rPr>
      <t>pro sildenafil add to epoprostenol</t>
    </r>
    <r>
      <rPr>
        <sz val="9"/>
        <color rgb="FF000000"/>
        <rFont val="Calibri"/>
        <family val="2"/>
        <charset val="238"/>
        <scheme val="minor"/>
      </rPr>
      <t xml:space="preserve">:                                IB pro FC III                                           IIaB pro FC IV </t>
    </r>
  </si>
  <si>
    <r>
      <rPr>
        <i/>
        <sz val="9"/>
        <color rgb="FF000000"/>
        <rFont val="Calibri"/>
        <family val="2"/>
        <charset val="238"/>
        <scheme val="minor"/>
      </rPr>
      <t>pro iniciál.komb.</t>
    </r>
    <r>
      <rPr>
        <sz val="9"/>
        <color rgb="FF000000"/>
        <rFont val="Calibri"/>
        <family val="2"/>
        <charset val="238"/>
        <scheme val="minor"/>
      </rPr>
      <t xml:space="preserve">:                      IIaC pro FC III                                                    IIaC pro FC IV                                 </t>
    </r>
    <r>
      <rPr>
        <i/>
        <sz val="9"/>
        <color rgb="FF000000"/>
        <rFont val="Calibri"/>
        <family val="2"/>
        <charset val="238"/>
        <scheme val="minor"/>
      </rPr>
      <t>pro bosentan add-on epoprostenol</t>
    </r>
    <r>
      <rPr>
        <sz val="9"/>
        <color rgb="FF000000"/>
        <rFont val="Calibri"/>
        <family val="2"/>
        <charset val="238"/>
        <scheme val="minor"/>
      </rPr>
      <t>:                                              pro FC III-IV je IIbC</t>
    </r>
  </si>
  <si>
    <r>
      <rPr>
        <i/>
        <sz val="9"/>
        <color rgb="FF000000"/>
        <rFont val="Calibri"/>
        <family val="2"/>
        <charset val="238"/>
        <scheme val="minor"/>
      </rPr>
      <t xml:space="preserve">pro iniciál.komb.: </t>
    </r>
    <r>
      <rPr>
        <sz val="9"/>
        <color rgb="FF000000"/>
        <rFont val="Calibri"/>
        <family val="2"/>
        <charset val="238"/>
        <scheme val="minor"/>
      </rPr>
      <t xml:space="preserve">                     IIaC pro FC III                                                    IIaC pro FC IV </t>
    </r>
  </si>
  <si>
    <r>
      <rPr>
        <b/>
        <u/>
        <sz val="10"/>
        <color theme="1"/>
        <rFont val="Calibri"/>
        <family val="2"/>
        <charset val="238"/>
        <scheme val="minor"/>
      </rPr>
      <t>1. volba u PAH FC IV (pokud jde podat iniciálně kombinaci</t>
    </r>
    <r>
      <rPr>
        <b/>
        <u/>
        <vertAlign val="superscript"/>
        <sz val="10"/>
        <color theme="1"/>
        <rFont val="Calibri"/>
        <family val="2"/>
        <charset val="238"/>
        <scheme val="minor"/>
      </rPr>
      <t xml:space="preserve">24 </t>
    </r>
    <r>
      <rPr>
        <b/>
        <u/>
        <sz val="10"/>
        <color theme="1"/>
        <rFont val="Calibri"/>
        <family val="2"/>
        <charset val="238"/>
        <scheme val="minor"/>
      </rPr>
      <t>s ERA a PDE5i</t>
    </r>
    <r>
      <rPr>
        <b/>
        <sz val="10"/>
        <color theme="1"/>
        <rFont val="Calibri"/>
        <family val="2"/>
        <charset val="238"/>
        <scheme val="minor"/>
      </rPr>
      <t>)</t>
    </r>
    <r>
      <rPr>
        <sz val="10"/>
        <color theme="1"/>
        <rFont val="Calibri"/>
        <family val="2"/>
        <charset val="238"/>
        <scheme val="minor"/>
      </rPr>
      <t xml:space="preserve"> - CAVE! úhrada ERA a PDE5i u FC IV ?</t>
    </r>
    <r>
      <rPr>
        <sz val="9"/>
        <color theme="1"/>
        <rFont val="Calibri"/>
        <family val="2"/>
        <charset val="238"/>
        <scheme val="minor"/>
      </rPr>
      <t xml:space="preserve">                                             </t>
    </r>
  </si>
  <si>
    <r>
      <rPr>
        <b/>
        <u/>
        <sz val="10"/>
        <color theme="1"/>
        <rFont val="Calibri"/>
        <family val="2"/>
        <charset val="238"/>
        <scheme val="minor"/>
      </rPr>
      <t>1. volba u PAH FC IV (pokud nejde podat iniciálně kombinaci</t>
    </r>
    <r>
      <rPr>
        <b/>
        <u/>
        <vertAlign val="superscript"/>
        <sz val="10"/>
        <color theme="1"/>
        <rFont val="Calibri"/>
        <family val="2"/>
        <charset val="238"/>
        <scheme val="minor"/>
      </rPr>
      <t xml:space="preserve">24 </t>
    </r>
    <r>
      <rPr>
        <b/>
        <u/>
        <sz val="10"/>
        <color theme="1"/>
        <rFont val="Calibri"/>
        <family val="2"/>
        <charset val="238"/>
        <scheme val="minor"/>
      </rPr>
      <t>s ERA a PDE5i, jen s PDEi)</t>
    </r>
    <r>
      <rPr>
        <sz val="10"/>
        <color theme="1"/>
        <rFont val="Calibri"/>
        <family val="2"/>
        <charset val="238"/>
        <scheme val="minor"/>
      </rPr>
      <t xml:space="preserve"> - CAVE! úhrada PDE5i u FC IV ?</t>
    </r>
    <r>
      <rPr>
        <sz val="9"/>
        <color theme="1"/>
        <rFont val="Calibri"/>
        <family val="2"/>
        <charset val="238"/>
        <scheme val="minor"/>
      </rPr>
      <t xml:space="preserve">                                             </t>
    </r>
  </si>
  <si>
    <r>
      <rPr>
        <b/>
        <u/>
        <sz val="10"/>
        <color theme="1"/>
        <rFont val="Calibri"/>
        <family val="2"/>
        <charset val="238"/>
        <scheme val="minor"/>
      </rPr>
      <t>1. volba u PAH FC IV (pokud nejde podat iniciálně kombinaci</t>
    </r>
    <r>
      <rPr>
        <b/>
        <u/>
        <vertAlign val="superscript"/>
        <sz val="10"/>
        <color theme="1"/>
        <rFont val="Calibri"/>
        <family val="2"/>
        <charset val="238"/>
        <scheme val="minor"/>
      </rPr>
      <t xml:space="preserve">24 </t>
    </r>
    <r>
      <rPr>
        <b/>
        <u/>
        <sz val="10"/>
        <color theme="1"/>
        <rFont val="Calibri"/>
        <family val="2"/>
        <charset val="238"/>
        <scheme val="minor"/>
      </rPr>
      <t>s ERA a PDE5i, jen s ERA</t>
    </r>
    <r>
      <rPr>
        <b/>
        <sz val="10"/>
        <color theme="1"/>
        <rFont val="Calibri"/>
        <family val="2"/>
        <charset val="238"/>
        <scheme val="minor"/>
      </rPr>
      <t>)</t>
    </r>
    <r>
      <rPr>
        <sz val="10"/>
        <color theme="1"/>
        <rFont val="Calibri"/>
        <family val="2"/>
        <charset val="238"/>
        <scheme val="minor"/>
      </rPr>
      <t xml:space="preserve"> - CAVE! úhrada ERA  u FC IV ?</t>
    </r>
    <r>
      <rPr>
        <sz val="9"/>
        <color theme="1"/>
        <rFont val="Calibri"/>
        <family val="2"/>
        <charset val="238"/>
        <scheme val="minor"/>
      </rPr>
      <t xml:space="preserve">                                             </t>
    </r>
  </si>
  <si>
    <r>
      <t>1. volba u PAH FC III (pokud má být/stačí</t>
    </r>
    <r>
      <rPr>
        <b/>
        <u/>
        <vertAlign val="superscript"/>
        <sz val="10"/>
        <color rgb="FF000000"/>
        <rFont val="Calibri"/>
        <family val="2"/>
        <charset val="238"/>
        <scheme val="minor"/>
      </rPr>
      <t>21</t>
    </r>
    <r>
      <rPr>
        <b/>
        <u/>
        <sz val="10"/>
        <color rgb="FF000000"/>
        <rFont val="Calibri"/>
        <family val="2"/>
        <charset val="238"/>
        <scheme val="minor"/>
      </rPr>
      <t xml:space="preserve"> monoterapie a může být podán PDE5i)</t>
    </r>
  </si>
  <si>
    <r>
      <t>1. volba u PAH FC III (pokud má být/stačí</t>
    </r>
    <r>
      <rPr>
        <b/>
        <u/>
        <vertAlign val="superscript"/>
        <sz val="10"/>
        <color theme="1"/>
        <rFont val="Calibri"/>
        <family val="2"/>
        <charset val="238"/>
        <scheme val="minor"/>
      </rPr>
      <t>21</t>
    </r>
    <r>
      <rPr>
        <b/>
        <u/>
        <sz val="10"/>
        <color theme="1"/>
        <rFont val="Calibri"/>
        <family val="2"/>
        <charset val="238"/>
        <scheme val="minor"/>
      </rPr>
      <t xml:space="preserve"> monoterapie a nemůže být podán PDE5i)</t>
    </r>
  </si>
  <si>
    <r>
      <rPr>
        <b/>
        <u/>
        <sz val="10"/>
        <color rgb="FF000000"/>
        <rFont val="Calibri"/>
        <family val="2"/>
        <charset val="238"/>
        <scheme val="minor"/>
      </rPr>
      <t>1. volba u PAH FC III (pokud nestačí sildenafil, je nutná komb.(add-on)</t>
    </r>
    <r>
      <rPr>
        <b/>
        <u/>
        <vertAlign val="superscript"/>
        <sz val="10"/>
        <color rgb="FF000000"/>
        <rFont val="Calibri"/>
        <family val="2"/>
        <charset val="238"/>
        <scheme val="minor"/>
      </rPr>
      <t>22</t>
    </r>
    <r>
      <rPr>
        <b/>
        <u/>
        <sz val="10"/>
        <color rgb="FF000000"/>
        <rFont val="Calibri"/>
        <family val="2"/>
        <charset val="238"/>
        <scheme val="minor"/>
      </rPr>
      <t xml:space="preserve"> a je možno přidat bosen.) </t>
    </r>
    <r>
      <rPr>
        <sz val="9"/>
        <color rgb="FF000000"/>
        <rFont val="Calibri"/>
        <family val="2"/>
        <charset val="238"/>
        <scheme val="minor"/>
      </rPr>
      <t xml:space="preserve">                 </t>
    </r>
    <r>
      <rPr>
        <sz val="8"/>
        <color rgb="FF000000"/>
        <rFont val="Calibri"/>
        <family val="2"/>
        <charset val="238"/>
        <scheme val="minor"/>
      </rPr>
      <t xml:space="preserve"> 2. volba u PAH FC III (pokud nestačí bosent., je nutná komb.(add-on)</t>
    </r>
    <r>
      <rPr>
        <vertAlign val="superscript"/>
        <sz val="8"/>
        <color rgb="FF000000"/>
        <rFont val="Calibri"/>
        <family val="2"/>
        <charset val="238"/>
        <scheme val="minor"/>
      </rPr>
      <t>22</t>
    </r>
    <r>
      <rPr>
        <sz val="8"/>
        <color rgb="FF000000"/>
        <rFont val="Calibri"/>
        <family val="2"/>
        <charset val="238"/>
        <scheme val="minor"/>
      </rPr>
      <t xml:space="preserve"> s PDE5i, ale není možno dát tadal.)                                     2.? volba u PAH FC III (pokud je nutná od začátku kombinace</t>
    </r>
    <r>
      <rPr>
        <vertAlign val="superscript"/>
        <sz val="8"/>
        <color rgb="FF000000"/>
        <rFont val="Calibri"/>
        <family val="2"/>
        <charset val="238"/>
        <scheme val="minor"/>
      </rPr>
      <t>21</t>
    </r>
    <r>
      <rPr>
        <sz val="8"/>
        <color rgb="FF000000"/>
        <rFont val="Calibri"/>
        <family val="2"/>
        <charset val="238"/>
        <scheme val="minor"/>
      </rPr>
      <t xml:space="preserve"> ERA s PDE5i a pacient ji zvládne tolerovat !)</t>
    </r>
  </si>
  <si>
    <r>
      <t>1. volba u PAH FC III (pokud má být/stačí</t>
    </r>
    <r>
      <rPr>
        <b/>
        <u/>
        <vertAlign val="superscript"/>
        <sz val="10"/>
        <color rgb="FF000000"/>
        <rFont val="Calibri"/>
        <family val="2"/>
        <charset val="238"/>
        <scheme val="minor"/>
      </rPr>
      <t>21</t>
    </r>
    <r>
      <rPr>
        <b/>
        <u/>
        <sz val="10"/>
        <color rgb="FF000000"/>
        <rFont val="Calibri"/>
        <family val="2"/>
        <charset val="238"/>
        <scheme val="minor"/>
      </rPr>
      <t xml:space="preserve"> monoterapie a může být podán PDE5i, ale ne sildenafil!!)</t>
    </r>
    <r>
      <rPr>
        <sz val="10"/>
        <color rgb="FF000000"/>
        <rFont val="Calibri"/>
        <family val="2"/>
        <charset val="238"/>
        <scheme val="minor"/>
      </rPr>
      <t>,</t>
    </r>
    <r>
      <rPr>
        <sz val="9"/>
        <color rgb="FF000000"/>
        <rFont val="Calibri"/>
        <family val="2"/>
        <charset val="238"/>
        <scheme val="minor"/>
      </rPr>
      <t xml:space="preserve"> jinak podat alternativum (jiné PDE5i) Balcogu</t>
    </r>
  </si>
  <si>
    <r>
      <rPr>
        <b/>
        <u/>
        <sz val="10"/>
        <color rgb="FF000000"/>
        <rFont val="Calibri"/>
        <family val="2"/>
        <charset val="238"/>
        <scheme val="minor"/>
      </rPr>
      <t>1. volba u PAH FC III (pokud nestačí bosentan, je nutná komb. (add-on)</t>
    </r>
    <r>
      <rPr>
        <b/>
        <u/>
        <vertAlign val="superscript"/>
        <sz val="10"/>
        <color rgb="FF000000"/>
        <rFont val="Calibri"/>
        <family val="2"/>
        <charset val="238"/>
        <scheme val="minor"/>
      </rPr>
      <t>22</t>
    </r>
    <r>
      <rPr>
        <b/>
        <u/>
        <sz val="10"/>
        <color rgb="FF000000"/>
        <rFont val="Calibri"/>
        <family val="2"/>
        <charset val="238"/>
        <scheme val="minor"/>
      </rPr>
      <t xml:space="preserve"> a je možno přidat PDE5i</t>
    </r>
    <r>
      <rPr>
        <b/>
        <sz val="10"/>
        <color rgb="FF000000"/>
        <rFont val="Calibri"/>
        <family val="2"/>
        <charset val="238"/>
        <scheme val="minor"/>
      </rPr>
      <t>)</t>
    </r>
    <r>
      <rPr>
        <b/>
        <sz val="9"/>
        <color rgb="FF000000"/>
        <rFont val="Calibri"/>
        <family val="2"/>
        <charset val="238"/>
        <scheme val="minor"/>
      </rPr>
      <t xml:space="preserve">                                                                             </t>
    </r>
    <r>
      <rPr>
        <sz val="9"/>
        <color rgb="FF000000"/>
        <rFont val="Calibri"/>
        <family val="2"/>
        <charset val="238"/>
        <scheme val="minor"/>
      </rPr>
      <t xml:space="preserve">   3. volba u PAH FC III (pokud je nutná od začátku kombinace</t>
    </r>
    <r>
      <rPr>
        <vertAlign val="superscript"/>
        <sz val="9"/>
        <color rgb="FF000000"/>
        <rFont val="Calibri"/>
        <family val="2"/>
        <charset val="238"/>
        <scheme val="minor"/>
      </rPr>
      <t>21</t>
    </r>
    <r>
      <rPr>
        <sz val="9"/>
        <color rgb="FF000000"/>
        <rFont val="Calibri"/>
        <family val="2"/>
        <charset val="238"/>
        <scheme val="minor"/>
      </rPr>
      <t xml:space="preserve"> ERA s PDE5i a pacient ji zvládne tolerovat !)</t>
    </r>
  </si>
  <si>
    <r>
      <rPr>
        <b/>
        <u/>
        <sz val="10"/>
        <color theme="1"/>
        <rFont val="Calibri"/>
        <family val="2"/>
        <charset val="238"/>
        <scheme val="minor"/>
      </rPr>
      <t>1. volba u PAH FC III (pokud má být/stačí</t>
    </r>
    <r>
      <rPr>
        <b/>
        <u/>
        <vertAlign val="superscript"/>
        <sz val="10"/>
        <color theme="1"/>
        <rFont val="Calibri"/>
        <family val="2"/>
        <charset val="238"/>
        <scheme val="minor"/>
      </rPr>
      <t>21</t>
    </r>
    <r>
      <rPr>
        <b/>
        <u/>
        <sz val="10"/>
        <color theme="1"/>
        <rFont val="Calibri"/>
        <family val="2"/>
        <charset val="238"/>
        <scheme val="minor"/>
      </rPr>
      <t xml:space="preserve"> monoterapie a nemůže být podán PDE5i, ani bosentan)</t>
    </r>
    <r>
      <rPr>
        <sz val="9"/>
        <color theme="1"/>
        <rFont val="Calibri"/>
        <family val="2"/>
        <charset val="238"/>
        <scheme val="minor"/>
      </rPr>
      <t>, jinak podat alternativum (jiné ERA)  Bosentan AVMC</t>
    </r>
  </si>
  <si>
    <r>
      <t>1.  ? (cena/evidence)                             volba u PAH FC III (pokud je nutná od začátku kombinace</t>
    </r>
    <r>
      <rPr>
        <b/>
        <u/>
        <vertAlign val="superscript"/>
        <sz val="10"/>
        <color rgb="FF000000"/>
        <rFont val="Calibri"/>
        <family val="2"/>
        <charset val="238"/>
        <scheme val="minor"/>
      </rPr>
      <t>21</t>
    </r>
    <r>
      <rPr>
        <b/>
        <u/>
        <sz val="10"/>
        <color rgb="FF000000"/>
        <rFont val="Calibri"/>
        <family val="2"/>
        <charset val="238"/>
        <scheme val="minor"/>
      </rPr>
      <t xml:space="preserve"> ERA s PDE5i a pacient ji zvládne tolerovat !)</t>
    </r>
  </si>
  <si>
    <r>
      <t>1. volba u PAH FC III (pokud má být/stačí</t>
    </r>
    <r>
      <rPr>
        <b/>
        <u/>
        <vertAlign val="superscript"/>
        <sz val="10"/>
        <color theme="1"/>
        <rFont val="Calibri"/>
        <family val="2"/>
        <charset val="238"/>
        <scheme val="minor"/>
      </rPr>
      <t>21</t>
    </r>
    <r>
      <rPr>
        <b/>
        <u/>
        <sz val="10"/>
        <color theme="1"/>
        <rFont val="Calibri"/>
        <family val="2"/>
        <charset val="238"/>
        <scheme val="minor"/>
      </rPr>
      <t xml:space="preserve"> monoterapie a nemůže být podán PDE5i ani ERA)</t>
    </r>
  </si>
  <si>
    <r>
      <t>2. volba u PAH FC III (pokud má být/stačí</t>
    </r>
    <r>
      <rPr>
        <vertAlign val="superscript"/>
        <sz val="10"/>
        <color theme="1"/>
        <rFont val="Calibri"/>
        <family val="2"/>
        <charset val="238"/>
        <scheme val="minor"/>
      </rPr>
      <t>21</t>
    </r>
    <r>
      <rPr>
        <sz val="10"/>
        <color theme="1"/>
        <rFont val="Calibri"/>
        <family val="2"/>
        <charset val="238"/>
        <scheme val="minor"/>
      </rPr>
      <t xml:space="preserve"> monoterapie a nemůže být podán PDE5i ani ERA)</t>
    </r>
  </si>
  <si>
    <r>
      <t>násobek poměru cena/účinnost</t>
    </r>
    <r>
      <rPr>
        <b/>
        <vertAlign val="superscript"/>
        <sz val="8"/>
        <rFont val="Arial"/>
        <family val="2"/>
        <charset val="238"/>
      </rPr>
      <t>8</t>
    </r>
    <r>
      <rPr>
        <b/>
        <sz val="8"/>
        <rFont val="Arial"/>
        <family val="2"/>
        <charset val="238"/>
      </rPr>
      <t xml:space="preserve"> vůči nákl. nejefekt. za 1. 6 měsíců léčby                    (CEA-monoterap., event.inic.komb.)</t>
    </r>
  </si>
  <si>
    <r>
      <t xml:space="preserve">27                                                 (add vůči samotné ERA)                                </t>
    </r>
    <r>
      <rPr>
        <u/>
        <sz val="9"/>
        <color rgb="FF000000"/>
        <rFont val="Calibri"/>
        <family val="2"/>
        <charset val="238"/>
        <scheme val="minor"/>
      </rPr>
      <t>53     (obecně pro ERA+PDE5i vůči placebu</t>
    </r>
    <r>
      <rPr>
        <u/>
        <vertAlign val="superscript"/>
        <sz val="9"/>
        <color rgb="FF000000"/>
        <rFont val="Calibri"/>
        <family val="2"/>
        <charset val="238"/>
        <scheme val="minor"/>
      </rPr>
      <t>12</t>
    </r>
    <r>
      <rPr>
        <sz val="9"/>
        <color rgb="FF000000"/>
        <rFont val="Calibri"/>
        <family val="2"/>
        <charset val="238"/>
        <scheme val="minor"/>
      </rPr>
      <t>)</t>
    </r>
  </si>
  <si>
    <r>
      <t xml:space="preserve">cca 9                                      </t>
    </r>
    <r>
      <rPr>
        <sz val="10"/>
        <rFont val="Calibri"/>
        <family val="2"/>
        <charset val="238"/>
        <scheme val="minor"/>
      </rPr>
      <t xml:space="preserve"> (</t>
    </r>
    <r>
      <rPr>
        <sz val="8"/>
        <rFont val="Calibri"/>
        <family val="2"/>
        <charset val="238"/>
        <scheme val="minor"/>
      </rPr>
      <t xml:space="preserve">pro silden. add to ERA vůči tadal. add to ERA)   </t>
    </r>
    <r>
      <rPr>
        <sz val="10"/>
        <rFont val="Calibri"/>
        <family val="2"/>
        <charset val="238"/>
        <scheme val="minor"/>
      </rPr>
      <t xml:space="preserve">                                 </t>
    </r>
    <r>
      <rPr>
        <b/>
        <u/>
        <sz val="14"/>
        <rFont val="Calibri"/>
        <family val="2"/>
        <charset val="238"/>
        <scheme val="minor"/>
      </rPr>
      <t>1,</t>
    </r>
    <r>
      <rPr>
        <b/>
        <sz val="14"/>
        <rFont val="Calibri"/>
        <family val="2"/>
        <charset val="238"/>
        <scheme val="minor"/>
      </rPr>
      <t xml:space="preserve">0  </t>
    </r>
    <r>
      <rPr>
        <sz val="10"/>
        <rFont val="Calibri"/>
        <family val="2"/>
        <charset val="238"/>
        <scheme val="minor"/>
      </rPr>
      <t xml:space="preserve">                       </t>
    </r>
    <r>
      <rPr>
        <sz val="8"/>
        <rFont val="Calibri"/>
        <family val="2"/>
        <charset val="238"/>
        <scheme val="minor"/>
      </rPr>
      <t xml:space="preserve">(pro bosen. add to silden. vůči PDEi)   </t>
    </r>
  </si>
  <si>
    <t>viz jednotlivé přípravky</t>
  </si>
  <si>
    <r>
      <t>podat generikum Veletri</t>
    </r>
    <r>
      <rPr>
        <vertAlign val="superscript"/>
        <sz val="10"/>
        <color theme="1"/>
        <rFont val="Calibri"/>
        <family val="2"/>
        <charset val="238"/>
        <scheme val="minor"/>
      </rPr>
      <t>25</t>
    </r>
  </si>
  <si>
    <r>
      <rPr>
        <vertAlign val="superscript"/>
        <sz val="8"/>
        <color theme="1"/>
        <rFont val="Calibri"/>
        <family val="2"/>
        <charset val="238"/>
        <scheme val="minor"/>
      </rPr>
      <t>26</t>
    </r>
    <r>
      <rPr>
        <sz val="8"/>
        <color theme="1"/>
        <rFont val="Calibri"/>
        <family val="2"/>
        <charset val="238"/>
        <scheme val="minor"/>
      </rPr>
      <t xml:space="preserve"> Cena Bosentanu AVMC je jen dočasná (výprodej jejich zásob k říjnu 2020!!), proto není brána za nejlevnější !!</t>
    </r>
  </si>
  <si>
    <r>
      <t>podat generikum Bosentan Ebewe</t>
    </r>
    <r>
      <rPr>
        <vertAlign val="superscript"/>
        <sz val="10"/>
        <color theme="1"/>
        <rFont val="Calibri"/>
        <family val="2"/>
        <charset val="238"/>
        <scheme val="minor"/>
      </rPr>
      <t>26</t>
    </r>
  </si>
  <si>
    <t>Bosentan Ebewe 125mg tbl flm 56 + Balcoga 20mg tbl flm 90</t>
  </si>
  <si>
    <t>Ebewe Pharma + Sandoz</t>
  </si>
  <si>
    <r>
      <t xml:space="preserve">2 231,94 Kč </t>
    </r>
    <r>
      <rPr>
        <sz val="9"/>
        <rFont val="Calibri"/>
        <family val="2"/>
        <charset val="238"/>
        <scheme val="minor"/>
      </rPr>
      <t xml:space="preserve">(Bosentan Ebewe) </t>
    </r>
    <r>
      <rPr>
        <sz val="11"/>
        <rFont val="Calibri"/>
        <family val="2"/>
        <charset val="238"/>
        <scheme val="minor"/>
      </rPr>
      <t xml:space="preserve">+ 993,12 Kč </t>
    </r>
    <r>
      <rPr>
        <sz val="9"/>
        <rFont val="Calibri"/>
        <family val="2"/>
        <charset val="238"/>
        <scheme val="minor"/>
      </rPr>
      <t>(Balcoga)</t>
    </r>
  </si>
  <si>
    <t>Tadalafil Accord 20mg tbl flm 56 + Bosentan Ebewe 125mg tbl flm 56</t>
  </si>
  <si>
    <t>Accord + Ebewe</t>
  </si>
  <si>
    <r>
      <t xml:space="preserve">7 008,42 Kč </t>
    </r>
    <r>
      <rPr>
        <sz val="9"/>
        <rFont val="Calibri"/>
        <family val="2"/>
        <charset val="238"/>
        <scheme val="minor"/>
      </rPr>
      <t xml:space="preserve">(Tadalafil Accord) +        </t>
    </r>
    <r>
      <rPr>
        <sz val="11"/>
        <rFont val="Calibri"/>
        <family val="2"/>
        <charset val="238"/>
        <scheme val="minor"/>
      </rPr>
      <t xml:space="preserve">  2 231,94 Kč </t>
    </r>
    <r>
      <rPr>
        <sz val="9"/>
        <rFont val="Calibri"/>
        <family val="2"/>
        <charset val="238"/>
        <scheme val="minor"/>
      </rPr>
      <t>(Bosentan Ebewe)</t>
    </r>
  </si>
  <si>
    <t>Ventavis 10 microg/ml sol neb 168x1ml    (cena počítana pro dávku 8x 5 mikrog./den) + Bosentan Ebewe 125mg tbl flm 56</t>
  </si>
  <si>
    <t>Bayer + Ebewe</t>
  </si>
  <si>
    <r>
      <t xml:space="preserve">  61 986,86 Kč </t>
    </r>
    <r>
      <rPr>
        <sz val="9"/>
        <rFont val="Calibri"/>
        <family val="2"/>
        <charset val="238"/>
        <scheme val="minor"/>
      </rPr>
      <t xml:space="preserve">(Ventavis) </t>
    </r>
    <r>
      <rPr>
        <sz val="11"/>
        <rFont val="Calibri"/>
        <family val="2"/>
        <charset val="238"/>
        <scheme val="minor"/>
      </rPr>
      <t xml:space="preserve"> +                      2 231,94 Kč</t>
    </r>
    <r>
      <rPr>
        <sz val="9"/>
        <rFont val="Calibri"/>
        <family val="2"/>
        <charset val="238"/>
        <scheme val="minor"/>
      </rPr>
      <t xml:space="preserve"> (Bosentan Ebewe)</t>
    </r>
  </si>
  <si>
    <t>Adempas 1mg, 1,5mg, 2mg, 2,5mg tbl flm 42 + Bosentan Ebewe 125mg tbl flm 56</t>
  </si>
  <si>
    <r>
      <t xml:space="preserve">37 274.54 Kč </t>
    </r>
    <r>
      <rPr>
        <sz val="8"/>
        <rFont val="Calibri"/>
        <family val="2"/>
        <charset val="238"/>
        <scheme val="minor"/>
      </rPr>
      <t>(za Adempas 84x2mg)</t>
    </r>
    <r>
      <rPr>
        <sz val="11"/>
        <rFont val="Calibri"/>
        <family val="2"/>
        <charset val="238"/>
        <scheme val="minor"/>
      </rPr>
      <t xml:space="preserve"> +       18 897,33 Kč </t>
    </r>
    <r>
      <rPr>
        <sz val="8"/>
        <rFont val="Calibri"/>
        <family val="2"/>
        <charset val="238"/>
        <scheme val="minor"/>
      </rPr>
      <t>(za Adempas 42x0,5mg</t>
    </r>
    <r>
      <rPr>
        <vertAlign val="superscript"/>
        <sz val="8"/>
        <rFont val="Calibri"/>
        <family val="2"/>
        <charset val="238"/>
        <scheme val="minor"/>
      </rPr>
      <t>19</t>
    </r>
    <r>
      <rPr>
        <sz val="8"/>
        <rFont val="Calibri"/>
        <family val="2"/>
        <charset val="238"/>
        <scheme val="minor"/>
      </rPr>
      <t>)</t>
    </r>
    <r>
      <rPr>
        <sz val="9"/>
        <rFont val="Calibri"/>
        <family val="2"/>
        <charset val="238"/>
        <scheme val="minor"/>
      </rPr>
      <t xml:space="preserve"> +             </t>
    </r>
    <r>
      <rPr>
        <sz val="11"/>
        <rFont val="Calibri"/>
        <family val="2"/>
        <charset val="238"/>
        <scheme val="minor"/>
      </rPr>
      <t xml:space="preserve"> 2 231,94 Kč</t>
    </r>
    <r>
      <rPr>
        <sz val="9"/>
        <rFont val="Calibri"/>
        <family val="2"/>
        <charset val="238"/>
        <scheme val="minor"/>
      </rPr>
      <t xml:space="preserve"> </t>
    </r>
    <r>
      <rPr>
        <sz val="8"/>
        <rFont val="Calibri"/>
        <family val="2"/>
        <charset val="238"/>
        <scheme val="minor"/>
      </rPr>
      <t>(Bosentan Ebewe)</t>
    </r>
  </si>
  <si>
    <r>
      <t xml:space="preserve">37 274.54 Kč </t>
    </r>
    <r>
      <rPr>
        <sz val="8"/>
        <rFont val="Calibri"/>
        <family val="2"/>
        <charset val="238"/>
        <scheme val="minor"/>
      </rPr>
      <t>(za Adempas 84x2mg)</t>
    </r>
    <r>
      <rPr>
        <sz val="11"/>
        <rFont val="Calibri"/>
        <family val="2"/>
        <charset val="238"/>
        <scheme val="minor"/>
      </rPr>
      <t xml:space="preserve"> +             18 897,33 Kč </t>
    </r>
    <r>
      <rPr>
        <sz val="8"/>
        <rFont val="Calibri"/>
        <family val="2"/>
        <charset val="238"/>
        <scheme val="minor"/>
      </rPr>
      <t>(za Adempas 42x0,5mg</t>
    </r>
    <r>
      <rPr>
        <vertAlign val="superscript"/>
        <sz val="8"/>
        <rFont val="Calibri"/>
        <family val="2"/>
        <charset val="238"/>
        <scheme val="minor"/>
      </rPr>
      <t>19</t>
    </r>
    <r>
      <rPr>
        <sz val="8"/>
        <rFont val="Calibri"/>
        <family val="2"/>
        <charset val="238"/>
        <scheme val="minor"/>
      </rPr>
      <t>)</t>
    </r>
    <r>
      <rPr>
        <sz val="9"/>
        <rFont val="Calibri"/>
        <family val="2"/>
        <charset val="238"/>
        <scheme val="minor"/>
      </rPr>
      <t xml:space="preserve"> +             </t>
    </r>
    <r>
      <rPr>
        <sz val="11"/>
        <rFont val="Calibri"/>
        <family val="2"/>
        <charset val="238"/>
        <scheme val="minor"/>
      </rPr>
      <t xml:space="preserve"> 2 231,94 Kč</t>
    </r>
    <r>
      <rPr>
        <sz val="9"/>
        <rFont val="Calibri"/>
        <family val="2"/>
        <charset val="238"/>
        <scheme val="minor"/>
      </rPr>
      <t xml:space="preserve"> </t>
    </r>
    <r>
      <rPr>
        <sz val="8"/>
        <rFont val="Calibri"/>
        <family val="2"/>
        <charset val="238"/>
        <scheme val="minor"/>
      </rPr>
      <t>(Bosentan Ebewe)</t>
    </r>
  </si>
  <si>
    <r>
      <t>Uptravi 200mcg, 400 mcg, 600 mcg, 800 mcg, 1000 mcg, 1200 mcg, 1400 mcg, 1600 mcg tbl flm 60 (cena je pro udrž.dávku 2x 1600mcg</t>
    </r>
    <r>
      <rPr>
        <vertAlign val="superscript"/>
        <sz val="9"/>
        <color theme="1"/>
        <rFont val="Calibri"/>
        <family val="2"/>
        <charset val="238"/>
        <scheme val="minor"/>
      </rPr>
      <t>11</t>
    </r>
    <r>
      <rPr>
        <sz val="9"/>
        <color theme="1"/>
        <rFont val="Calibri"/>
        <family val="2"/>
        <charset val="238"/>
        <scheme val="minor"/>
      </rPr>
      <t>)  + Bosentan Ebewe 125mg tbl flm 56</t>
    </r>
  </si>
  <si>
    <t>Janssen- Cilag + Ebewe</t>
  </si>
  <si>
    <r>
      <rPr>
        <sz val="11"/>
        <rFont val="Calibri"/>
        <family val="2"/>
        <charset val="238"/>
        <scheme val="minor"/>
      </rPr>
      <t>92 798,38 Kč</t>
    </r>
    <r>
      <rPr>
        <sz val="10"/>
        <rFont val="Calibri"/>
        <family val="2"/>
        <charset val="238"/>
        <scheme val="minor"/>
      </rPr>
      <t xml:space="preserve"> </t>
    </r>
    <r>
      <rPr>
        <sz val="9"/>
        <rFont val="Calibri"/>
        <family val="2"/>
        <charset val="238"/>
        <scheme val="minor"/>
      </rPr>
      <t>(všechny síly Uptravi)</t>
    </r>
    <r>
      <rPr>
        <sz val="10"/>
        <rFont val="Calibri"/>
        <family val="2"/>
        <charset val="238"/>
        <scheme val="minor"/>
      </rPr>
      <t xml:space="preserve"> +                                          </t>
    </r>
    <r>
      <rPr>
        <sz val="11"/>
        <rFont val="Calibri"/>
        <family val="2"/>
        <charset val="238"/>
        <scheme val="minor"/>
      </rPr>
      <t xml:space="preserve"> 2 231,94 Kč</t>
    </r>
    <r>
      <rPr>
        <sz val="10"/>
        <rFont val="Calibri"/>
        <family val="2"/>
        <charset val="238"/>
        <scheme val="minor"/>
      </rPr>
      <t xml:space="preserve"> (</t>
    </r>
    <r>
      <rPr>
        <sz val="9"/>
        <rFont val="Calibri"/>
        <family val="2"/>
        <charset val="238"/>
        <scheme val="minor"/>
      </rPr>
      <t>Bosentan Ebewe</t>
    </r>
    <r>
      <rPr>
        <sz val="10"/>
        <rFont val="Calibri"/>
        <family val="2"/>
        <charset val="238"/>
        <scheme val="minor"/>
      </rPr>
      <t>)</t>
    </r>
  </si>
  <si>
    <r>
      <t>Uptravi 200mcg, 400 mcg, 600 mcg, 800 mcg, 1000 mcg, 1200 mcg, 1400 mcg, 1600 mcg tbl flm 60 (cena je pro udrž.dávku 2x 1600mcg</t>
    </r>
    <r>
      <rPr>
        <vertAlign val="superscript"/>
        <sz val="9"/>
        <color theme="1"/>
        <rFont val="Calibri"/>
        <family val="2"/>
        <charset val="238"/>
        <scheme val="minor"/>
      </rPr>
      <t>11</t>
    </r>
    <r>
      <rPr>
        <sz val="9"/>
        <color theme="1"/>
        <rFont val="Calibri"/>
        <family val="2"/>
        <charset val="238"/>
        <scheme val="minor"/>
      </rPr>
      <t>) + Bosentan Ebewe 125mg tbl flm 56 + Balcoga 20mg tbl flm 90</t>
    </r>
  </si>
  <si>
    <t>Janssen- Cilag + Ebewe + Sandoz</t>
  </si>
  <si>
    <r>
      <rPr>
        <sz val="11"/>
        <rFont val="Calibri"/>
        <family val="2"/>
        <charset val="238"/>
        <scheme val="minor"/>
      </rPr>
      <t>92 798,38 Kč</t>
    </r>
    <r>
      <rPr>
        <sz val="10"/>
        <rFont val="Calibri"/>
        <family val="2"/>
        <charset val="238"/>
        <scheme val="minor"/>
      </rPr>
      <t xml:space="preserve"> </t>
    </r>
    <r>
      <rPr>
        <sz val="9"/>
        <rFont val="Calibri"/>
        <family val="2"/>
        <charset val="238"/>
        <scheme val="minor"/>
      </rPr>
      <t>(všechny síly Uptravi)</t>
    </r>
    <r>
      <rPr>
        <sz val="10"/>
        <rFont val="Calibri"/>
        <family val="2"/>
        <charset val="238"/>
        <scheme val="minor"/>
      </rPr>
      <t xml:space="preserve"> +                                          </t>
    </r>
    <r>
      <rPr>
        <sz val="11"/>
        <rFont val="Calibri"/>
        <family val="2"/>
        <charset val="238"/>
        <scheme val="minor"/>
      </rPr>
      <t xml:space="preserve"> 2 231,94 Kč</t>
    </r>
    <r>
      <rPr>
        <sz val="10"/>
        <rFont val="Calibri"/>
        <family val="2"/>
        <charset val="238"/>
        <scheme val="minor"/>
      </rPr>
      <t xml:space="preserve"> (</t>
    </r>
    <r>
      <rPr>
        <sz val="9"/>
        <rFont val="Calibri"/>
        <family val="2"/>
        <charset val="238"/>
        <scheme val="minor"/>
      </rPr>
      <t>Bosentan Ebewe</t>
    </r>
    <r>
      <rPr>
        <sz val="10"/>
        <rFont val="Calibri"/>
        <family val="2"/>
        <charset val="238"/>
        <scheme val="minor"/>
      </rPr>
      <t xml:space="preserve">) +                            </t>
    </r>
    <r>
      <rPr>
        <sz val="11"/>
        <rFont val="Calibri"/>
        <family val="2"/>
        <charset val="238"/>
        <scheme val="minor"/>
      </rPr>
      <t xml:space="preserve"> 993,12 Kč</t>
    </r>
    <r>
      <rPr>
        <sz val="10"/>
        <rFont val="Calibri"/>
        <family val="2"/>
        <charset val="238"/>
        <scheme val="minor"/>
      </rPr>
      <t xml:space="preserve"> (Balcoga)</t>
    </r>
  </si>
  <si>
    <r>
      <t xml:space="preserve">Bosentan Ebewe 125mg tbl flm 56 + Flolan 1,5mg inf 1x50ml </t>
    </r>
    <r>
      <rPr>
        <sz val="8"/>
        <color theme="1"/>
        <rFont val="Calibri"/>
        <family val="2"/>
        <charset val="238"/>
        <scheme val="minor"/>
      </rPr>
      <t xml:space="preserve">(cena počítána pro udrž.dávku 35ng/kg/min pro 80kg bez titrace!!!) </t>
    </r>
  </si>
  <si>
    <t>Ebewe + GSK</t>
  </si>
  <si>
    <r>
      <t xml:space="preserve"> 2 231,94 Kč</t>
    </r>
    <r>
      <rPr>
        <sz val="9"/>
        <rFont val="Calibri"/>
        <family val="2"/>
        <charset val="238"/>
        <scheme val="minor"/>
      </rPr>
      <t xml:space="preserve"> (Bosentan Ebewe)</t>
    </r>
    <r>
      <rPr>
        <sz val="11"/>
        <rFont val="Calibri"/>
        <family val="2"/>
        <charset val="238"/>
        <scheme val="minor"/>
      </rPr>
      <t xml:space="preserve"> +                    1338,34 Kč </t>
    </r>
    <r>
      <rPr>
        <sz val="9"/>
        <rFont val="Calibri"/>
        <family val="2"/>
        <charset val="238"/>
        <scheme val="minor"/>
      </rPr>
      <t>(Flolan 1,5mg inf)</t>
    </r>
    <r>
      <rPr>
        <sz val="11"/>
        <rFont val="Calibri"/>
        <family val="2"/>
        <charset val="238"/>
        <scheme val="minor"/>
      </rPr>
      <t xml:space="preserve"> </t>
    </r>
  </si>
  <si>
    <r>
      <t xml:space="preserve">Bosentan Ebewe 125mg tbl flm 56 + Balcoga 20mg tbl flm 90 +                  Flolan 1,5mg inf 1x50ml </t>
    </r>
    <r>
      <rPr>
        <sz val="8"/>
        <color theme="1"/>
        <rFont val="Calibri"/>
        <family val="2"/>
        <charset val="238"/>
        <scheme val="minor"/>
      </rPr>
      <t>(cena počítána pro udrž.dávku 35ng/kg/min pro 80kg bez titrace!!!)</t>
    </r>
    <r>
      <rPr>
        <sz val="10"/>
        <color theme="1"/>
        <rFont val="Calibri"/>
        <family val="2"/>
        <charset val="238"/>
        <scheme val="minor"/>
      </rPr>
      <t xml:space="preserve"> </t>
    </r>
  </si>
  <si>
    <t>Ebewe + Sandoz + GSK</t>
  </si>
  <si>
    <r>
      <t xml:space="preserve">2 231,94 Kč </t>
    </r>
    <r>
      <rPr>
        <sz val="9"/>
        <rFont val="Calibri"/>
        <family val="2"/>
        <charset val="238"/>
        <scheme val="minor"/>
      </rPr>
      <t>(Bosentan Ebewe)</t>
    </r>
    <r>
      <rPr>
        <sz val="11"/>
        <rFont val="Calibri"/>
        <family val="2"/>
        <charset val="238"/>
        <scheme val="minor"/>
      </rPr>
      <t xml:space="preserve"> +                    993,12 Kč </t>
    </r>
    <r>
      <rPr>
        <sz val="9"/>
        <rFont val="Calibri"/>
        <family val="2"/>
        <charset val="238"/>
        <scheme val="minor"/>
      </rPr>
      <t>(Balcoga)</t>
    </r>
    <r>
      <rPr>
        <sz val="11"/>
        <rFont val="Calibri"/>
        <family val="2"/>
        <charset val="238"/>
        <scheme val="minor"/>
      </rPr>
      <t xml:space="preserve"> +                                   1338,34 Kč </t>
    </r>
    <r>
      <rPr>
        <sz val="9"/>
        <rFont val="Calibri"/>
        <family val="2"/>
        <charset val="238"/>
        <scheme val="minor"/>
      </rPr>
      <t>(Flolan 1,5mg inf)</t>
    </r>
    <r>
      <rPr>
        <sz val="11"/>
        <rFont val="Calibri"/>
        <family val="2"/>
        <charset val="238"/>
        <scheme val="minor"/>
      </rPr>
      <t xml:space="preserve"> </t>
    </r>
  </si>
  <si>
    <r>
      <rPr>
        <vertAlign val="superscript"/>
        <sz val="8"/>
        <color theme="1"/>
        <rFont val="Calibri"/>
        <family val="2"/>
        <charset val="238"/>
        <scheme val="minor"/>
      </rPr>
      <t>8</t>
    </r>
    <r>
      <rPr>
        <sz val="8"/>
        <color theme="1"/>
        <rFont val="Calibri"/>
        <family val="2"/>
        <charset val="238"/>
        <scheme val="minor"/>
      </rPr>
      <t xml:space="preserve"> Jako parametr </t>
    </r>
    <r>
      <rPr>
        <u/>
        <sz val="8"/>
        <color theme="1"/>
        <rFont val="Calibri"/>
        <family val="2"/>
        <charset val="238"/>
        <scheme val="minor"/>
      </rPr>
      <t>účinnosti</t>
    </r>
    <r>
      <rPr>
        <sz val="8"/>
        <color theme="1"/>
        <rFont val="Calibri"/>
        <family val="2"/>
        <charset val="238"/>
        <scheme val="minor"/>
      </rPr>
      <t xml:space="preserve"> jsem použil </t>
    </r>
    <r>
      <rPr>
        <u/>
        <sz val="8"/>
        <color theme="1"/>
        <rFont val="Calibri"/>
        <family val="2"/>
        <charset val="238"/>
        <scheme val="minor"/>
      </rPr>
      <t>průměrné hodnoty změn 6MWD oproti hodnotě před terapií a to vůči placebu (u monoterapie), vůči ERA (u add-on ERA+X) či vůči PDEi  (u add-on PDEi+X</t>
    </r>
    <r>
      <rPr>
        <sz val="8"/>
        <color theme="1"/>
        <rFont val="Calibri"/>
        <family val="2"/>
        <charset val="238"/>
        <scheme val="minor"/>
      </rPr>
      <t xml:space="preserve">) CAVE!! MEZI JEDNOTLIVÝMI INTERVENCEMI NEBYLY ROZDÍLY STATISTICKY VÝZNAMNÉ!! - jedná se o výsledky NMA, která ma nižší sílu než RCT dle EBM (výsledky NMA byly pro použity pro nedostatek head to head RCT). </t>
    </r>
  </si>
  <si>
    <r>
      <t xml:space="preserve">K léčbě pacientů s </t>
    </r>
    <r>
      <rPr>
        <u/>
        <sz val="8"/>
        <color theme="1"/>
        <rFont val="Calibri"/>
        <family val="2"/>
        <charset val="238"/>
        <scheme val="minor"/>
      </rPr>
      <t>PAH ve funkční třídě III. dle klasifikace NYHA v kombinaci s ERA u pacientů, u nichž nebylo dosaženo dostatečné klinické odpovědi při léčbě kombinací ERA+PDE5i.</t>
    </r>
    <r>
      <rPr>
        <sz val="8"/>
        <color theme="1"/>
        <rFont val="Calibri"/>
        <family val="2"/>
        <charset val="238"/>
        <scheme val="minor"/>
      </rPr>
      <t xml:space="preserve">  Úspěšnost terap. bude pravidelně přehodnoc. po 6 měsících od zahájení léčby. Léčba  bude ukončena v případech, kdy zdrav. stav trvale progreduje a pacient se dostává na léčbě do stavu vysokého rizika podle Doporuč. postupů ESC/ERS na dvou po 6 měsících po sobě jdoucích kontrolách a současně není čekatelem na transplantaci, a v případě výskytu závažných NÚ souvisejících s léčbou.  </t>
    </r>
  </si>
  <si>
    <r>
      <t>úhradové omezení</t>
    </r>
    <r>
      <rPr>
        <b/>
        <vertAlign val="superscript"/>
        <sz val="9"/>
        <rFont val="Arial"/>
        <family val="2"/>
        <charset val="238"/>
      </rPr>
      <t>1,2</t>
    </r>
    <r>
      <rPr>
        <b/>
        <sz val="9"/>
        <rFont val="Arial"/>
        <family val="2"/>
        <charset val="238"/>
      </rPr>
      <t xml:space="preserve"> </t>
    </r>
    <r>
      <rPr>
        <sz val="9"/>
        <rFont val="Arial"/>
        <family val="2"/>
        <charset val="238"/>
      </rPr>
      <t>v ČR k datu 1.11.2021 (výběr jen pro PAH)</t>
    </r>
  </si>
  <si>
    <t>riociguat switch PDE5i in patients on PDE5i + ERA</t>
  </si>
  <si>
    <r>
      <t>není zahrnut v NMA</t>
    </r>
    <r>
      <rPr>
        <vertAlign val="superscript"/>
        <sz val="9"/>
        <color rgb="FF000000"/>
        <rFont val="Calibri"/>
        <family val="2"/>
        <charset val="238"/>
        <scheme val="minor"/>
      </rPr>
      <t>8</t>
    </r>
    <r>
      <rPr>
        <sz val="9"/>
        <color rgb="FF000000"/>
        <rFont val="Calibri"/>
        <family val="2"/>
        <charset val="238"/>
        <scheme val="minor"/>
      </rPr>
      <t xml:space="preserve">                                         </t>
    </r>
    <r>
      <rPr>
        <u/>
        <sz val="9"/>
        <color rgb="FF000000"/>
        <rFont val="Calibri"/>
        <family val="2"/>
        <charset val="238"/>
        <scheme val="minor"/>
      </rPr>
      <t xml:space="preserve"> 23       (pro riociguat +/- ERA  vůči PDE5i+/- ERA u smíšené populace</t>
    </r>
    <r>
      <rPr>
        <u/>
        <vertAlign val="superscript"/>
        <sz val="9"/>
        <color rgb="FF000000"/>
        <rFont val="Calibri"/>
        <family val="2"/>
        <charset val="238"/>
        <scheme val="minor"/>
      </rPr>
      <t>27</t>
    </r>
    <r>
      <rPr>
        <sz val="9"/>
        <color rgb="FF000000"/>
        <rFont val="Calibri"/>
        <family val="2"/>
        <charset val="238"/>
        <scheme val="minor"/>
      </rPr>
      <t>)</t>
    </r>
  </si>
  <si>
    <r>
      <rPr>
        <vertAlign val="superscript"/>
        <sz val="8"/>
        <color theme="1"/>
        <rFont val="Calibri"/>
        <family val="2"/>
        <charset val="238"/>
        <scheme val="minor"/>
      </rPr>
      <t>27</t>
    </r>
    <r>
      <rPr>
        <sz val="8"/>
        <color theme="1"/>
        <rFont val="Calibri"/>
        <family val="2"/>
        <charset val="238"/>
        <scheme val="minor"/>
      </rPr>
      <t xml:space="preserve"> Ve studii REPLACE mělo v aktivní větvi cca 29% pac. jen samotný riociguat po switchi jen samotného PDE5i (tadal. nebo silden.) a cca 71% pac. mělo kombinaci riociguat + ERA (z toho: 17% bosent., 27% ambrisent., 27% macitent.) po switchi PDE5i u pac. původně na kombinaci PDE5i + ERA - viz: </t>
    </r>
  </si>
  <si>
    <r>
      <t xml:space="preserve">     Hoeper MM, Al-Hiti H, Benza RL, et al. Switching to riociguat versus maintenance therapy with phosphodiesterase-5 inhibitors in patients with pulmonary arterial hypertension (REPLACE): a multicentre, open-label, randomised controlled trial.</t>
    </r>
    <r>
      <rPr>
        <i/>
        <sz val="8"/>
        <color theme="1"/>
        <rFont val="Calibri"/>
        <family val="2"/>
        <charset val="238"/>
        <scheme val="minor"/>
      </rPr>
      <t xml:space="preserve"> Lancet Respir Med</t>
    </r>
    <r>
      <rPr>
        <sz val="8"/>
        <color theme="1"/>
        <rFont val="Calibri"/>
        <family val="2"/>
        <charset val="238"/>
        <scheme val="minor"/>
      </rPr>
      <t xml:space="preserve"> 2021</t>
    </r>
  </si>
  <si>
    <t>Inhibitory fosfodiesterázy typu 5 (PDE5i)</t>
  </si>
  <si>
    <r>
      <rPr>
        <vertAlign val="superscript"/>
        <sz val="8"/>
        <color theme="1"/>
        <rFont val="Calibri"/>
        <family val="2"/>
        <charset val="238"/>
        <scheme val="minor"/>
      </rPr>
      <t>13</t>
    </r>
    <r>
      <rPr>
        <sz val="8"/>
        <color theme="1"/>
        <rFont val="Calibri"/>
        <family val="2"/>
        <charset val="238"/>
        <scheme val="minor"/>
      </rPr>
      <t xml:space="preserve"> Ve studii GRIPHON neužívalo na PAH nic jiného (tj placebo nebo selexipag) cca 20%, cca 15% mělo ERA, cca 32% mělo PDE5i, a cca 33% mělo kombinaci ERA+PDE5i - viz: Sitbon O. et al. Selexipag for the treatment of pulmonary arterial hypertension (GRIPHON). </t>
    </r>
    <r>
      <rPr>
        <i/>
        <sz val="8"/>
        <color theme="1"/>
        <rFont val="Calibri"/>
        <family val="2"/>
        <charset val="238"/>
        <scheme val="minor"/>
      </rPr>
      <t>N Engl J Med 2015</t>
    </r>
    <r>
      <rPr>
        <sz val="8"/>
        <color theme="1"/>
        <rFont val="Calibri"/>
        <family val="2"/>
        <charset val="238"/>
        <scheme val="minor"/>
      </rPr>
      <t>, 373: 2522-33</t>
    </r>
  </si>
  <si>
    <r>
      <t xml:space="preserve">15                             (add vůči samotné ERA)                                       </t>
    </r>
    <r>
      <rPr>
        <u/>
        <sz val="9"/>
        <color rgb="FF000000"/>
        <rFont val="Calibri"/>
        <family val="2"/>
        <charset val="238"/>
        <scheme val="minor"/>
      </rPr>
      <t>41     (obecně pro ERA+PCA vůči placebu</t>
    </r>
    <r>
      <rPr>
        <u/>
        <vertAlign val="superscript"/>
        <sz val="9"/>
        <color rgb="FF000000"/>
        <rFont val="Calibri"/>
        <family val="2"/>
        <charset val="238"/>
        <scheme val="minor"/>
      </rPr>
      <t>12</t>
    </r>
    <r>
      <rPr>
        <sz val="9"/>
        <color rgb="FF000000"/>
        <rFont val="Calibri"/>
        <family val="2"/>
        <charset val="238"/>
        <scheme val="minor"/>
      </rPr>
      <t>)</t>
    </r>
  </si>
  <si>
    <r>
      <rPr>
        <sz val="10"/>
        <color theme="1"/>
        <rFont val="Calibri"/>
        <family val="2"/>
        <charset val="238"/>
        <scheme val="minor"/>
      </rPr>
      <t>2. volba u PAH FC III (pokud nestačí kombinace ERA+PDE5i a je nutné přidat 3. léčivo (add-on)</t>
    </r>
    <r>
      <rPr>
        <vertAlign val="superscript"/>
        <sz val="10"/>
        <color theme="1"/>
        <rFont val="Calibri"/>
        <family val="2"/>
        <charset val="238"/>
        <scheme val="minor"/>
      </rPr>
      <t>22</t>
    </r>
    <r>
      <rPr>
        <sz val="10"/>
        <color theme="1"/>
        <rFont val="Calibri"/>
        <family val="2"/>
        <charset val="238"/>
        <scheme val="minor"/>
      </rPr>
      <t>)</t>
    </r>
  </si>
  <si>
    <r>
      <t>1. volba u PAH FC III (pokud nestačí kombinace ERA+PDE5i  - pak je PDE5i zaměněno za riociguat</t>
    </r>
    <r>
      <rPr>
        <b/>
        <u/>
        <vertAlign val="superscript"/>
        <sz val="10"/>
        <color theme="1"/>
        <rFont val="Calibri"/>
        <family val="2"/>
        <charset val="238"/>
        <scheme val="minor"/>
      </rPr>
      <t>27,28</t>
    </r>
    <r>
      <rPr>
        <b/>
        <u/>
        <sz val="10"/>
        <color theme="1"/>
        <rFont val="Calibri"/>
        <family val="2"/>
        <charset val="238"/>
        <scheme val="minor"/>
      </rPr>
      <t>)</t>
    </r>
  </si>
  <si>
    <r>
      <t>oproti kombinaci selexipag+ ERA + PDE je kombinace riociguat + ERA jen dvoukombinací při pravděpodobně vyšší účinnosti dle bod.hodnot</t>
    </r>
    <r>
      <rPr>
        <vertAlign val="superscript"/>
        <sz val="8"/>
        <color rgb="FF000000"/>
        <rFont val="Calibri"/>
        <family val="2"/>
        <charset val="238"/>
        <scheme val="minor"/>
      </rPr>
      <t>28</t>
    </r>
  </si>
  <si>
    <r>
      <rPr>
        <vertAlign val="superscript"/>
        <sz val="8"/>
        <color theme="1"/>
        <rFont val="Calibri"/>
        <family val="2"/>
        <charset val="238"/>
        <scheme val="minor"/>
      </rPr>
      <t>28</t>
    </r>
    <r>
      <rPr>
        <sz val="8"/>
        <color theme="1"/>
        <rFont val="Calibri"/>
        <family val="2"/>
        <charset val="238"/>
        <scheme val="minor"/>
      </rPr>
      <t xml:space="preserve"> Tužil J. (Value Outcomes s.r.o.) Nepřímé srovnání riociguat vs. selexipag v léčbě PAH u pacientů, u nichž nebylo dosaženo dostatečné klinické odpovědi při léčbě kombinací ERA+PDE5i. 8.4.2021. Staženo dne 25.10.2021 z dokumentace tvořící spis se Sp.zn.: SUKLS159377/2021 (přípravek Adempas) ze stránek www.sukl.cz</t>
    </r>
  </si>
  <si>
    <t xml:space="preserve">cena za 6 měs. udrž. léčby vč. obrat. bonusů </t>
  </si>
  <si>
    <r>
      <rPr>
        <b/>
        <sz val="9"/>
        <rFont val="Arial"/>
        <family val="2"/>
        <charset val="238"/>
      </rPr>
      <t xml:space="preserve">KI </t>
    </r>
    <r>
      <rPr>
        <sz val="9"/>
        <rFont val="Arial"/>
        <family val="2"/>
        <charset val="238"/>
      </rPr>
      <t>(kromě hypersenz. na léč. či pomoc. látky) dle SPC</t>
    </r>
    <r>
      <rPr>
        <vertAlign val="superscript"/>
        <sz val="9"/>
        <rFont val="Arial"/>
        <family val="2"/>
        <charset val="238"/>
      </rPr>
      <t>1</t>
    </r>
  </si>
  <si>
    <r>
      <rPr>
        <b/>
        <sz val="8.5"/>
        <rFont val="Arial"/>
        <family val="2"/>
        <charset val="238"/>
      </rPr>
      <t xml:space="preserve">dopor. pro účinnost </t>
    </r>
    <r>
      <rPr>
        <sz val="8.5"/>
        <rFont val="Arial"/>
        <family val="2"/>
        <charset val="238"/>
      </rPr>
      <t>dle ESC/ERS</t>
    </r>
    <r>
      <rPr>
        <vertAlign val="superscript"/>
        <sz val="8.5"/>
        <rFont val="Arial"/>
        <family val="2"/>
        <charset val="238"/>
      </rPr>
      <t xml:space="preserve">3 </t>
    </r>
    <r>
      <rPr>
        <sz val="8.5"/>
        <rFont val="Arial"/>
        <family val="2"/>
        <charset val="238"/>
      </rPr>
      <t>dle funkč. tříd (FC) dle WHO</t>
    </r>
    <r>
      <rPr>
        <vertAlign val="superscript"/>
        <sz val="8.5"/>
        <rFont val="Arial"/>
        <family val="2"/>
        <charset val="238"/>
      </rPr>
      <t>4</t>
    </r>
  </si>
  <si>
    <r>
      <rPr>
        <b/>
        <sz val="9"/>
        <rFont val="Arial"/>
        <family val="2"/>
        <charset val="238"/>
      </rPr>
      <t>linie léčby</t>
    </r>
    <r>
      <rPr>
        <sz val="9"/>
        <rFont val="Arial"/>
        <family val="2"/>
        <charset val="238"/>
      </rPr>
      <t xml:space="preserve"> dle klin. doporuč.</t>
    </r>
    <r>
      <rPr>
        <vertAlign val="superscript"/>
        <sz val="9"/>
        <rFont val="Arial"/>
        <family val="2"/>
        <charset val="238"/>
      </rPr>
      <t>15</t>
    </r>
    <r>
      <rPr>
        <sz val="9"/>
        <rFont val="Arial"/>
        <family val="2"/>
        <charset val="238"/>
      </rPr>
      <t>, úhrad. podmínek v ČR (viz sl. F) a výsledků FEA</t>
    </r>
  </si>
  <si>
    <r>
      <t>poměr ceny za prvních 6 měs.</t>
    </r>
    <r>
      <rPr>
        <b/>
        <vertAlign val="superscript"/>
        <sz val="8"/>
        <rFont val="Arial"/>
        <family val="2"/>
        <charset val="238"/>
      </rPr>
      <t>5</t>
    </r>
    <r>
      <rPr>
        <b/>
        <sz val="8"/>
        <rFont val="Arial"/>
        <family val="2"/>
        <charset val="238"/>
      </rPr>
      <t xml:space="preserve"> terap. vůči nejlev. (CMA)</t>
    </r>
  </si>
  <si>
    <t>poměr ceny za 6 měs. udrž. léčby vůči nejlev. (CMA)</t>
  </si>
  <si>
    <r>
      <t>násobek poměru cena/účinnost</t>
    </r>
    <r>
      <rPr>
        <b/>
        <vertAlign val="superscript"/>
        <sz val="8"/>
        <rFont val="Arial"/>
        <family val="2"/>
        <charset val="238"/>
      </rPr>
      <t>8</t>
    </r>
    <r>
      <rPr>
        <b/>
        <sz val="8"/>
        <rFont val="Arial"/>
        <family val="2"/>
        <charset val="238"/>
      </rPr>
      <t xml:space="preserve"> vůči nákl. nejefekt. za 6 měs. udrž. léčby </t>
    </r>
  </si>
  <si>
    <r>
      <t xml:space="preserve">Flolan 1,5mg inf 1x50ml </t>
    </r>
    <r>
      <rPr>
        <sz val="9"/>
        <color theme="1"/>
        <rFont val="Calibri"/>
        <family val="2"/>
        <charset val="238"/>
        <scheme val="minor"/>
      </rPr>
      <t>(cena pro udrž.dávku 35ng/kg/min pro 80kg</t>
    </r>
    <r>
      <rPr>
        <vertAlign val="superscript"/>
        <sz val="9"/>
        <color theme="1"/>
        <rFont val="Calibri"/>
        <family val="2"/>
        <charset val="238"/>
        <scheme val="minor"/>
      </rPr>
      <t>9</t>
    </r>
    <r>
      <rPr>
        <sz val="9"/>
        <color theme="1"/>
        <rFont val="Calibri"/>
        <family val="2"/>
        <charset val="238"/>
        <scheme val="minor"/>
      </rPr>
      <t>)</t>
    </r>
  </si>
  <si>
    <r>
      <t xml:space="preserve">Veletri 1,5mg inf plv sol 1 </t>
    </r>
    <r>
      <rPr>
        <sz val="9"/>
        <color theme="1"/>
        <rFont val="Calibri"/>
        <family val="2"/>
        <charset val="238"/>
        <scheme val="minor"/>
      </rPr>
      <t>(cena pro udrž.dávku 35ng/kg/min pro 80kg</t>
    </r>
    <r>
      <rPr>
        <vertAlign val="superscript"/>
        <sz val="9"/>
        <color theme="1"/>
        <rFont val="Calibri"/>
        <family val="2"/>
        <charset val="238"/>
        <scheme val="minor"/>
      </rPr>
      <t>9</t>
    </r>
    <r>
      <rPr>
        <sz val="9"/>
        <color theme="1"/>
        <rFont val="Calibri"/>
        <family val="2"/>
        <charset val="238"/>
        <scheme val="minor"/>
      </rPr>
      <t>)</t>
    </r>
  </si>
  <si>
    <r>
      <rPr>
        <u/>
        <sz val="9"/>
        <color rgb="FF000000"/>
        <rFont val="Calibri"/>
        <family val="2"/>
        <charset val="238"/>
        <scheme val="minor"/>
      </rPr>
      <t>IA pro FC III</t>
    </r>
    <r>
      <rPr>
        <sz val="9"/>
        <color rgb="FF000000"/>
        <rFont val="Calibri"/>
        <family val="2"/>
        <charset val="238"/>
        <scheme val="minor"/>
      </rPr>
      <t xml:space="preserve">                                             </t>
    </r>
    <r>
      <rPr>
        <u/>
        <sz val="9"/>
        <color rgb="FF000000"/>
        <rFont val="Calibri"/>
        <family val="2"/>
        <charset val="238"/>
        <scheme val="minor"/>
      </rPr>
      <t xml:space="preserve"> IA pro FC IV</t>
    </r>
    <r>
      <rPr>
        <sz val="9"/>
        <color rgb="FF000000"/>
        <rFont val="Calibri"/>
        <family val="2"/>
        <charset val="238"/>
        <scheme val="minor"/>
      </rPr>
      <t xml:space="preserve">  </t>
    </r>
  </si>
  <si>
    <r>
      <rPr>
        <sz val="10"/>
        <color theme="1"/>
        <rFont val="Calibri"/>
        <family val="2"/>
        <charset val="238"/>
        <scheme val="minor"/>
      </rPr>
      <t>Remodulin 1mg/ml či 2,5 mg/ml inf sol 1x20ml</t>
    </r>
    <r>
      <rPr>
        <sz val="9"/>
        <color theme="1"/>
        <rFont val="Calibri"/>
        <family val="2"/>
        <charset val="238"/>
        <scheme val="minor"/>
      </rPr>
      <t xml:space="preserve"> </t>
    </r>
    <r>
      <rPr>
        <sz val="8"/>
        <color theme="1"/>
        <rFont val="Calibri"/>
        <family val="2"/>
        <charset val="238"/>
        <scheme val="minor"/>
      </rPr>
      <t>(cena pro 80kg</t>
    </r>
    <r>
      <rPr>
        <vertAlign val="superscript"/>
        <sz val="8"/>
        <color theme="1"/>
        <rFont val="Calibri"/>
        <family val="2"/>
        <charset val="238"/>
        <scheme val="minor"/>
      </rPr>
      <t xml:space="preserve">10 </t>
    </r>
    <r>
      <rPr>
        <sz val="8"/>
        <color theme="1"/>
        <rFont val="Calibri"/>
        <family val="2"/>
        <charset val="238"/>
        <scheme val="minor"/>
      </rPr>
      <t xml:space="preserve">a pro </t>
    </r>
    <r>
      <rPr>
        <u/>
        <sz val="8"/>
        <color theme="1"/>
        <rFont val="Calibri"/>
        <family val="2"/>
        <charset val="238"/>
        <scheme val="minor"/>
      </rPr>
      <t>exsp. balení u s.c. 3 dny</t>
    </r>
    <r>
      <rPr>
        <sz val="8"/>
        <color theme="1"/>
        <rFont val="Calibri"/>
        <family val="2"/>
        <charset val="238"/>
        <scheme val="minor"/>
      </rPr>
      <t xml:space="preserve"> !!!)</t>
    </r>
  </si>
  <si>
    <r>
      <rPr>
        <sz val="10"/>
        <color theme="1"/>
        <rFont val="Calibri"/>
        <family val="2"/>
        <charset val="238"/>
        <scheme val="minor"/>
      </rPr>
      <t>Tresuvi 2,5mg/ml či 5mg/ml inf sol 1x10ml</t>
    </r>
    <r>
      <rPr>
        <sz val="9"/>
        <color theme="1"/>
        <rFont val="Calibri"/>
        <family val="2"/>
        <charset val="238"/>
        <scheme val="minor"/>
      </rPr>
      <t xml:space="preserve"> </t>
    </r>
    <r>
      <rPr>
        <sz val="8"/>
        <color theme="1"/>
        <rFont val="Calibri"/>
        <family val="2"/>
        <charset val="238"/>
        <scheme val="minor"/>
      </rPr>
      <t>(cena pro 80kg</t>
    </r>
    <r>
      <rPr>
        <vertAlign val="superscript"/>
        <sz val="8"/>
        <color theme="1"/>
        <rFont val="Calibri"/>
        <family val="2"/>
        <charset val="238"/>
        <scheme val="minor"/>
      </rPr>
      <t xml:space="preserve">10 </t>
    </r>
    <r>
      <rPr>
        <sz val="8"/>
        <color theme="1"/>
        <rFont val="Calibri"/>
        <family val="2"/>
        <charset val="238"/>
        <scheme val="minor"/>
      </rPr>
      <t xml:space="preserve">a pro </t>
    </r>
    <r>
      <rPr>
        <u/>
        <sz val="8"/>
        <color theme="1"/>
        <rFont val="Calibri"/>
        <family val="2"/>
        <charset val="238"/>
        <scheme val="minor"/>
      </rPr>
      <t xml:space="preserve">exsp. balení u s.c. 3 dny </t>
    </r>
    <r>
      <rPr>
        <sz val="8"/>
        <color theme="1"/>
        <rFont val="Calibri"/>
        <family val="2"/>
        <charset val="238"/>
        <scheme val="minor"/>
      </rPr>
      <t>!!!)</t>
    </r>
  </si>
  <si>
    <r>
      <rPr>
        <vertAlign val="superscript"/>
        <sz val="8"/>
        <color theme="1"/>
        <rFont val="Calibri"/>
        <family val="2"/>
        <charset val="238"/>
        <scheme val="minor"/>
      </rPr>
      <t>25</t>
    </r>
    <r>
      <rPr>
        <sz val="8"/>
        <color theme="1"/>
        <rFont val="Calibri"/>
        <family val="2"/>
        <charset val="238"/>
        <scheme val="minor"/>
      </rPr>
      <t xml:space="preserve"> Veletri je u nás preferováno před Flolanem (navzdory ceně!), protože firma Janssen (vyrábějící Veletri) zajišťuje bezplatnou zapůjčku aplik. pump+veškerý servis k nim.</t>
    </r>
  </si>
  <si>
    <r>
      <rPr>
        <b/>
        <u/>
        <sz val="10"/>
        <color theme="1"/>
        <rFont val="Calibri"/>
        <family val="2"/>
        <charset val="238"/>
        <scheme val="minor"/>
      </rPr>
      <t>1. volba u PAH FC IV (jen pokud nejde podat i.v. epoprost.</t>
    </r>
    <r>
      <rPr>
        <b/>
        <u/>
        <vertAlign val="superscript"/>
        <sz val="10"/>
        <color theme="1"/>
        <rFont val="Calibri"/>
        <family val="2"/>
        <charset val="238"/>
        <scheme val="minor"/>
      </rPr>
      <t>24</t>
    </r>
    <r>
      <rPr>
        <b/>
        <sz val="10"/>
        <color theme="1"/>
        <rFont val="Calibri"/>
        <family val="2"/>
        <charset val="238"/>
        <scheme val="minor"/>
      </rPr>
      <t>) CAVE! exspirace (sl.A)</t>
    </r>
    <r>
      <rPr>
        <sz val="9"/>
        <color theme="1"/>
        <rFont val="Calibri"/>
        <family val="2"/>
        <charset val="238"/>
        <scheme val="minor"/>
      </rPr>
      <t xml:space="preserve">                                              </t>
    </r>
    <r>
      <rPr>
        <sz val="8"/>
        <color theme="1"/>
        <rFont val="Calibri"/>
        <family val="2"/>
        <charset val="238"/>
        <scheme val="minor"/>
      </rPr>
      <t xml:space="preserve"> 3. volba u PAH FC III (u pac. s rychlou progresí či špatnou progn.</t>
    </r>
    <r>
      <rPr>
        <vertAlign val="superscript"/>
        <sz val="8"/>
        <color theme="1"/>
        <rFont val="Calibri"/>
        <family val="2"/>
        <charset val="238"/>
        <scheme val="minor"/>
      </rPr>
      <t>23</t>
    </r>
    <r>
      <rPr>
        <sz val="8"/>
        <color theme="1"/>
        <rFont val="Calibri"/>
        <family val="2"/>
        <charset val="238"/>
        <scheme val="minor"/>
      </rPr>
      <t>)</t>
    </r>
  </si>
  <si>
    <r>
      <rPr>
        <b/>
        <u/>
        <sz val="10"/>
        <color theme="1"/>
        <rFont val="Calibri"/>
        <family val="2"/>
        <charset val="238"/>
        <scheme val="minor"/>
      </rPr>
      <t>1. volba</t>
    </r>
    <r>
      <rPr>
        <b/>
        <u/>
        <vertAlign val="superscript"/>
        <sz val="10"/>
        <color theme="1"/>
        <rFont val="Calibri"/>
        <family val="2"/>
        <charset val="238"/>
        <scheme val="minor"/>
      </rPr>
      <t>25</t>
    </r>
    <r>
      <rPr>
        <b/>
        <u/>
        <sz val="10"/>
        <color theme="1"/>
        <rFont val="Calibri"/>
        <family val="2"/>
        <charset val="238"/>
        <scheme val="minor"/>
      </rPr>
      <t xml:space="preserve"> u PAH FC IV </t>
    </r>
    <r>
      <rPr>
        <sz val="9"/>
        <color theme="1"/>
        <rFont val="Calibri"/>
        <family val="2"/>
        <charset val="238"/>
        <scheme val="minor"/>
      </rPr>
      <t xml:space="preserve">                                             </t>
    </r>
    <r>
      <rPr>
        <sz val="8"/>
        <color theme="1"/>
        <rFont val="Calibri"/>
        <family val="2"/>
        <charset val="238"/>
        <scheme val="minor"/>
      </rPr>
      <t xml:space="preserve"> 2. volba (po komb. Ventavis + Bosentan Ebewe) u PAH FC III (u pac. s rychlou progresí či špatnou progn.</t>
    </r>
    <r>
      <rPr>
        <vertAlign val="superscript"/>
        <sz val="8"/>
        <color theme="1"/>
        <rFont val="Calibri"/>
        <family val="2"/>
        <charset val="238"/>
        <scheme val="minor"/>
      </rPr>
      <t>23</t>
    </r>
    <r>
      <rPr>
        <sz val="8"/>
        <color theme="1"/>
        <rFont val="Calibri"/>
        <family val="2"/>
        <charset val="238"/>
        <scheme val="minor"/>
      </rPr>
      <t>)</t>
    </r>
  </si>
  <si>
    <r>
      <rPr>
        <sz val="8"/>
        <color theme="1"/>
        <rFont val="Calibri"/>
        <family val="2"/>
        <charset val="238"/>
        <scheme val="minor"/>
      </rPr>
      <t>2. volba u PAH FC IV (jen pokud nejde podat i.v. epoprost.</t>
    </r>
    <r>
      <rPr>
        <vertAlign val="superscript"/>
        <sz val="8"/>
        <color theme="1"/>
        <rFont val="Calibri"/>
        <family val="2"/>
        <charset val="238"/>
        <scheme val="minor"/>
      </rPr>
      <t>24</t>
    </r>
    <r>
      <rPr>
        <sz val="8"/>
        <color theme="1"/>
        <rFont val="Calibri"/>
        <family val="2"/>
        <charset val="238"/>
        <scheme val="minor"/>
      </rPr>
      <t xml:space="preserve">) CAVE! exspirace (sl.A)   </t>
    </r>
    <r>
      <rPr>
        <sz val="9"/>
        <color theme="1"/>
        <rFont val="Calibri"/>
        <family val="2"/>
        <charset val="238"/>
        <scheme val="minor"/>
      </rPr>
      <t xml:space="preserve">                                           </t>
    </r>
    <r>
      <rPr>
        <sz val="8"/>
        <color theme="1"/>
        <rFont val="Calibri"/>
        <family val="2"/>
        <charset val="238"/>
        <scheme val="minor"/>
      </rPr>
      <t xml:space="preserve"> 3. volba u PAH FC III (u pac. s rychlou progresí či špatnou progn.</t>
    </r>
    <r>
      <rPr>
        <vertAlign val="superscript"/>
        <sz val="8"/>
        <color theme="1"/>
        <rFont val="Calibri"/>
        <family val="2"/>
        <charset val="238"/>
        <scheme val="minor"/>
      </rPr>
      <t>23</t>
    </r>
    <r>
      <rPr>
        <sz val="8"/>
        <color theme="1"/>
        <rFont val="Calibri"/>
        <family val="2"/>
        <charset val="238"/>
        <scheme val="minor"/>
      </rPr>
      <t>)</t>
    </r>
  </si>
  <si>
    <r>
      <rPr>
        <i/>
        <sz val="8.5"/>
        <color rgb="FF000000"/>
        <rFont val="Calibri"/>
        <family val="2"/>
        <charset val="238"/>
        <scheme val="minor"/>
      </rPr>
      <t xml:space="preserve">pro s.c. podání:  </t>
    </r>
    <r>
      <rPr>
        <sz val="8.5"/>
        <color rgb="FF000000"/>
        <rFont val="Calibri"/>
        <family val="2"/>
        <charset val="238"/>
        <scheme val="minor"/>
      </rPr>
      <t xml:space="preserve">            IB pro FC III                                              IIbC pro FC IV                            </t>
    </r>
    <r>
      <rPr>
        <i/>
        <sz val="8.5"/>
        <color rgb="FF000000"/>
        <rFont val="Calibri"/>
        <family val="2"/>
        <charset val="238"/>
        <scheme val="minor"/>
      </rPr>
      <t xml:space="preserve">pro i.v. podání: </t>
    </r>
    <r>
      <rPr>
        <sz val="8.5"/>
        <color rgb="FF000000"/>
        <rFont val="Calibri"/>
        <family val="2"/>
        <charset val="238"/>
        <scheme val="minor"/>
      </rPr>
      <t xml:space="preserve">             IIaC pro FC III                                              IIbC pro FC IV </t>
    </r>
  </si>
  <si>
    <r>
      <t xml:space="preserve">57                                                      </t>
    </r>
    <r>
      <rPr>
        <sz val="8"/>
        <color rgb="FF000000"/>
        <rFont val="Calibri"/>
        <family val="2"/>
        <charset val="238"/>
        <scheme val="minor"/>
      </rPr>
      <t>(v NMA</t>
    </r>
    <r>
      <rPr>
        <vertAlign val="superscript"/>
        <sz val="8"/>
        <color rgb="FF000000"/>
        <rFont val="Calibri"/>
        <family val="2"/>
        <charset val="238"/>
        <scheme val="minor"/>
      </rPr>
      <t>8</t>
    </r>
    <r>
      <rPr>
        <sz val="8"/>
        <color rgb="FF000000"/>
        <rFont val="Calibri"/>
        <family val="2"/>
        <charset val="238"/>
        <scheme val="minor"/>
      </rPr>
      <t xml:space="preserve"> byla prům.dávka jen 10ng/kg/min !)</t>
    </r>
  </si>
  <si>
    <r>
      <rPr>
        <u/>
        <sz val="10"/>
        <rFont val="Calibri"/>
        <family val="2"/>
        <charset val="238"/>
        <scheme val="minor"/>
      </rPr>
      <t xml:space="preserve">32 580,08 Kč </t>
    </r>
    <r>
      <rPr>
        <sz val="10"/>
        <rFont val="Calibri"/>
        <family val="2"/>
        <charset val="238"/>
        <scheme val="minor"/>
      </rPr>
      <t xml:space="preserve">(za 1x10ml 5mg/ml)          </t>
    </r>
  </si>
  <si>
    <t>jednotková cena (NC) s DPH k 13.6.23</t>
  </si>
  <si>
    <t>jednotková cena (NC) s DPH vč. obrat. bonusů k 13.6.23</t>
  </si>
  <si>
    <r>
      <rPr>
        <sz val="10"/>
        <color theme="1"/>
        <rFont val="Calibri"/>
        <family val="2"/>
        <charset val="238"/>
        <scheme val="minor"/>
      </rPr>
      <t>Remodulin 2,5mg/ml inf sol 1x20ml</t>
    </r>
    <r>
      <rPr>
        <sz val="8"/>
        <color theme="1"/>
        <rFont val="Calibri"/>
        <family val="2"/>
        <charset val="238"/>
        <scheme val="minor"/>
      </rPr>
      <t xml:space="preserve"> (cena pro 80kg</t>
    </r>
    <r>
      <rPr>
        <vertAlign val="superscript"/>
        <sz val="8"/>
        <color theme="1"/>
        <rFont val="Calibri"/>
        <family val="2"/>
        <charset val="238"/>
        <scheme val="minor"/>
      </rPr>
      <t xml:space="preserve">10 </t>
    </r>
    <r>
      <rPr>
        <sz val="8"/>
        <color theme="1"/>
        <rFont val="Calibri"/>
        <family val="2"/>
        <charset val="238"/>
        <scheme val="minor"/>
      </rPr>
      <t xml:space="preserve">a pro </t>
    </r>
    <r>
      <rPr>
        <b/>
        <u/>
        <sz val="8"/>
        <color theme="1"/>
        <rFont val="Calibri"/>
        <family val="2"/>
        <charset val="238"/>
        <scheme val="minor"/>
      </rPr>
      <t>exsp. balení u s.c. 30 dnů (trochu off-label)</t>
    </r>
    <r>
      <rPr>
        <sz val="8"/>
        <color theme="1"/>
        <rFont val="Calibri"/>
        <family val="2"/>
        <charset val="238"/>
        <scheme val="minor"/>
      </rPr>
      <t xml:space="preserve"> !!!, pro i.v. externí pumpa má lahv. po otevření exp 30 dnů)</t>
    </r>
  </si>
  <si>
    <r>
      <rPr>
        <sz val="10"/>
        <color theme="1"/>
        <rFont val="Calibri"/>
        <family val="2"/>
        <charset val="238"/>
        <scheme val="minor"/>
      </rPr>
      <t>Tresuvi 5mg/ml inf sol 1x10ml</t>
    </r>
    <r>
      <rPr>
        <sz val="8"/>
        <color theme="1"/>
        <rFont val="Calibri"/>
        <family val="2"/>
        <charset val="238"/>
        <scheme val="minor"/>
      </rPr>
      <t xml:space="preserve"> (cena pro 80kg</t>
    </r>
    <r>
      <rPr>
        <vertAlign val="superscript"/>
        <sz val="8"/>
        <color theme="1"/>
        <rFont val="Calibri"/>
        <family val="2"/>
        <charset val="238"/>
        <scheme val="minor"/>
      </rPr>
      <t xml:space="preserve">10 </t>
    </r>
    <r>
      <rPr>
        <sz val="8"/>
        <color theme="1"/>
        <rFont val="Calibri"/>
        <family val="2"/>
        <charset val="238"/>
        <scheme val="minor"/>
      </rPr>
      <t>a pro</t>
    </r>
    <r>
      <rPr>
        <b/>
        <sz val="8"/>
        <color theme="1"/>
        <rFont val="Calibri"/>
        <family val="2"/>
        <charset val="238"/>
        <scheme val="minor"/>
      </rPr>
      <t xml:space="preserve"> </t>
    </r>
    <r>
      <rPr>
        <b/>
        <u/>
        <sz val="8"/>
        <color theme="1"/>
        <rFont val="Calibri"/>
        <family val="2"/>
        <charset val="238"/>
        <scheme val="minor"/>
      </rPr>
      <t>exsp. balení u s.c. 30 dnů (trochu off-label)</t>
    </r>
    <r>
      <rPr>
        <u/>
        <sz val="8"/>
        <color theme="1"/>
        <rFont val="Calibri"/>
        <family val="2"/>
        <charset val="238"/>
        <scheme val="minor"/>
      </rPr>
      <t xml:space="preserve"> </t>
    </r>
    <r>
      <rPr>
        <sz val="8"/>
        <color theme="1"/>
        <rFont val="Calibri"/>
        <family val="2"/>
        <charset val="238"/>
        <scheme val="minor"/>
      </rPr>
      <t>!!!, pro i.v. externí pumpa má lahv. po otevření exp 30 dnů)</t>
    </r>
  </si>
  <si>
    <r>
      <rPr>
        <u/>
        <sz val="10"/>
        <rFont val="Calibri"/>
        <family val="2"/>
        <charset val="238"/>
        <scheme val="minor"/>
      </rPr>
      <t>65 274,78 Kč</t>
    </r>
    <r>
      <rPr>
        <sz val="10"/>
        <rFont val="Calibri"/>
        <family val="2"/>
        <charset val="238"/>
        <scheme val="minor"/>
      </rPr>
      <t xml:space="preserve">  (za 1x20ml 2,5mg/ml)</t>
    </r>
  </si>
  <si>
    <r>
      <t>cena za prvních 6 měs.</t>
    </r>
    <r>
      <rPr>
        <b/>
        <u/>
        <vertAlign val="superscript"/>
        <sz val="8"/>
        <rFont val="Arial"/>
        <family val="2"/>
        <charset val="238"/>
      </rPr>
      <t>5</t>
    </r>
    <r>
      <rPr>
        <b/>
        <u/>
        <sz val="8"/>
        <rFont val="Arial"/>
        <family val="2"/>
        <charset val="238"/>
      </rPr>
      <t xml:space="preserve"> léčby vč. obrat. bonusů</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</si>
</sst>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quot;Kč&quot;"/>
    <numFmt numFmtId="165" formatCode="#,##0\ &quot;Kč&quot;"/>
    <numFmt numFmtId="166" formatCode="_-* #,##0\ [$Kč-405]_-;\-* #,##0\ [$Kč-405]_-;_-* &quot;-&quot;??\ [$Kč-405]_-;_-@_-"/>
    <numFmt numFmtId="167" formatCode="0.0"/>
  </numFmts>
  <fonts count="70" x14ac:knownFonts="1">
    <font>
      <sz val="11"/>
      <color theme="1"/>
      <name val="Calibri"/>
      <family val="2"/>
      <charset val="238"/>
      <scheme val="minor"/>
    </font>
    <font>
      <sz val="10"/>
      <color theme="1"/>
      <name val="Calibri"/>
      <family val="2"/>
      <charset val="238"/>
      <scheme val="minor"/>
    </font>
    <font>
      <sz val="9"/>
      <color theme="1"/>
      <name val="Calibri"/>
      <family val="2"/>
      <charset val="238"/>
      <scheme val="minor"/>
    </font>
    <font>
      <b/>
      <sz val="9"/>
      <name val="Arial"/>
      <family val="2"/>
      <charset val="238"/>
    </font>
    <font>
      <b/>
      <sz val="10"/>
      <name val="Arial"/>
      <family val="2"/>
      <charset val="238"/>
    </font>
    <font>
      <sz val="10"/>
      <color theme="5" tint="-0.249977111117893"/>
      <name val="Arial"/>
      <family val="2"/>
      <charset val="238"/>
    </font>
    <font>
      <sz val="10"/>
      <name val="Calibri"/>
      <family val="2"/>
      <charset val="238"/>
      <scheme val="minor"/>
    </font>
    <font>
      <sz val="11"/>
      <name val="Calibri"/>
      <family val="2"/>
      <charset val="238"/>
      <scheme val="minor"/>
    </font>
    <font>
      <b/>
      <sz val="8"/>
      <name val="Arial"/>
      <family val="2"/>
      <charset val="238"/>
    </font>
    <font>
      <b/>
      <vertAlign val="superscript"/>
      <sz val="9"/>
      <name val="Arial"/>
      <family val="2"/>
      <charset val="238"/>
    </font>
    <font>
      <b/>
      <sz val="10"/>
      <name val="Calibri"/>
      <family val="2"/>
      <charset val="238"/>
      <scheme val="minor"/>
    </font>
    <font>
      <sz val="9"/>
      <name val="Arial"/>
      <family val="2"/>
      <charset val="238"/>
    </font>
    <font>
      <vertAlign val="superscript"/>
      <sz val="9"/>
      <name val="Arial"/>
      <family val="2"/>
      <charset val="238"/>
    </font>
    <font>
      <sz val="8"/>
      <color theme="1"/>
      <name val="Calibri"/>
      <family val="2"/>
      <charset val="238"/>
      <scheme val="minor"/>
    </font>
    <font>
      <sz val="8"/>
      <color rgb="FF000000"/>
      <name val="Calibri"/>
      <family val="2"/>
      <charset val="238"/>
      <scheme val="minor"/>
    </font>
    <font>
      <u/>
      <sz val="8"/>
      <color rgb="FF000000"/>
      <name val="Calibri"/>
      <family val="2"/>
      <charset val="238"/>
      <scheme val="minor"/>
    </font>
    <font>
      <vertAlign val="superscript"/>
      <sz val="8"/>
      <color theme="1"/>
      <name val="Calibri"/>
      <family val="2"/>
      <charset val="238"/>
      <scheme val="minor"/>
    </font>
    <font>
      <sz val="10"/>
      <color rgb="FF000000"/>
      <name val="Calibri"/>
      <family val="2"/>
      <charset val="238"/>
      <scheme val="minor"/>
    </font>
    <font>
      <b/>
      <vertAlign val="superscript"/>
      <sz val="8"/>
      <name val="Arial"/>
      <family val="2"/>
      <charset val="238"/>
    </font>
    <font>
      <i/>
      <sz val="8"/>
      <color theme="1"/>
      <name val="Calibri"/>
      <family val="2"/>
      <charset val="238"/>
      <scheme val="minor"/>
    </font>
    <font>
      <sz val="8.5"/>
      <name val="Arial"/>
      <family val="2"/>
      <charset val="238"/>
    </font>
    <font>
      <vertAlign val="superscript"/>
      <sz val="8.5"/>
      <name val="Arial"/>
      <family val="2"/>
      <charset val="238"/>
    </font>
    <font>
      <b/>
      <sz val="8.5"/>
      <name val="Arial"/>
      <family val="2"/>
      <charset val="238"/>
    </font>
    <font>
      <vertAlign val="superscript"/>
      <sz val="8"/>
      <color rgb="FF000000"/>
      <name val="Calibri"/>
      <family val="2"/>
      <charset val="238"/>
      <scheme val="minor"/>
    </font>
    <font>
      <u/>
      <sz val="8"/>
      <color theme="1"/>
      <name val="Calibri"/>
      <family val="2"/>
      <charset val="238"/>
      <scheme val="minor"/>
    </font>
    <font>
      <u/>
      <sz val="10"/>
      <color rgb="FF000000"/>
      <name val="Calibri"/>
      <family val="2"/>
      <charset val="238"/>
      <scheme val="minor"/>
    </font>
    <font>
      <b/>
      <u/>
      <sz val="8"/>
      <color theme="1"/>
      <name val="Calibri"/>
      <family val="2"/>
      <charset val="238"/>
      <scheme val="minor"/>
    </font>
    <font>
      <b/>
      <u/>
      <sz val="8.5"/>
      <color theme="1"/>
      <name val="Calibri"/>
      <family val="2"/>
      <charset val="238"/>
      <scheme val="minor"/>
    </font>
    <font>
      <i/>
      <sz val="8"/>
      <color rgb="FF000000"/>
      <name val="Calibri"/>
      <family val="2"/>
      <charset val="238"/>
      <scheme val="minor"/>
    </font>
    <font>
      <sz val="9"/>
      <color rgb="FF000000"/>
      <name val="Calibri"/>
      <family val="2"/>
      <charset val="238"/>
      <scheme val="minor"/>
    </font>
    <font>
      <i/>
      <sz val="9"/>
      <color rgb="FF000000"/>
      <name val="Calibri"/>
      <family val="2"/>
      <charset val="238"/>
      <scheme val="minor"/>
    </font>
    <font>
      <i/>
      <u/>
      <sz val="8"/>
      <color rgb="FF000000"/>
      <name val="Calibri"/>
      <family val="2"/>
      <charset val="238"/>
      <scheme val="minor"/>
    </font>
    <font>
      <vertAlign val="superscript"/>
      <sz val="9"/>
      <color theme="1"/>
      <name val="Calibri"/>
      <family val="2"/>
      <charset val="238"/>
      <scheme val="minor"/>
    </font>
    <font>
      <i/>
      <u/>
      <sz val="8"/>
      <color theme="1"/>
      <name val="Calibri"/>
      <family val="2"/>
      <charset val="238"/>
      <scheme val="minor"/>
    </font>
    <font>
      <vertAlign val="superscript"/>
      <sz val="10"/>
      <color rgb="FF000000"/>
      <name val="Calibri"/>
      <family val="2"/>
      <charset val="238"/>
      <scheme val="minor"/>
    </font>
    <font>
      <u/>
      <vertAlign val="superscript"/>
      <sz val="8"/>
      <color rgb="FF000000"/>
      <name val="Calibri"/>
      <family val="2"/>
      <charset val="238"/>
      <scheme val="minor"/>
    </font>
    <font>
      <u/>
      <sz val="9"/>
      <color rgb="FF000000"/>
      <name val="Calibri"/>
      <family val="2"/>
      <charset val="238"/>
      <scheme val="minor"/>
    </font>
    <font>
      <u/>
      <vertAlign val="superscript"/>
      <sz val="9"/>
      <color rgb="FF000000"/>
      <name val="Calibri"/>
      <family val="2"/>
      <charset val="238"/>
      <scheme val="minor"/>
    </font>
    <font>
      <u/>
      <vertAlign val="superscript"/>
      <sz val="10"/>
      <color rgb="FF000000"/>
      <name val="Calibri"/>
      <family val="2"/>
      <charset val="238"/>
      <scheme val="minor"/>
    </font>
    <font>
      <u/>
      <sz val="8"/>
      <name val="Arial"/>
      <family val="2"/>
      <charset val="238"/>
    </font>
    <font>
      <b/>
      <u/>
      <sz val="11"/>
      <color theme="1"/>
      <name val="Calibri"/>
      <family val="2"/>
      <charset val="238"/>
      <scheme val="minor"/>
    </font>
    <font>
      <sz val="8"/>
      <name val="Calibri"/>
      <family val="2"/>
      <charset val="238"/>
      <scheme val="minor"/>
    </font>
    <font>
      <sz val="9"/>
      <name val="Calibri"/>
      <family val="2"/>
      <charset val="238"/>
      <scheme val="minor"/>
    </font>
    <font>
      <vertAlign val="superscript"/>
      <sz val="9"/>
      <name val="Calibri"/>
      <family val="2"/>
      <charset val="238"/>
      <scheme val="minor"/>
    </font>
    <font>
      <vertAlign val="superscript"/>
      <sz val="8"/>
      <name val="Calibri"/>
      <family val="2"/>
      <charset val="238"/>
      <scheme val="minor"/>
    </font>
    <font>
      <b/>
      <u val="singleAccounting"/>
      <sz val="12"/>
      <name val="Calibri"/>
      <family val="2"/>
      <charset val="238"/>
      <scheme val="minor"/>
    </font>
    <font>
      <i/>
      <sz val="10"/>
      <color theme="1"/>
      <name val="Calibri"/>
      <family val="2"/>
      <charset val="238"/>
      <scheme val="minor"/>
    </font>
    <font>
      <b/>
      <u/>
      <sz val="10"/>
      <color rgb="FF000000"/>
      <name val="Calibri"/>
      <family val="2"/>
      <charset val="238"/>
      <scheme val="minor"/>
    </font>
    <font>
      <b/>
      <u/>
      <sz val="10"/>
      <color theme="1"/>
      <name val="Calibri"/>
      <family val="2"/>
      <charset val="238"/>
      <scheme val="minor"/>
    </font>
    <font>
      <b/>
      <u/>
      <sz val="9"/>
      <color rgb="FF000000"/>
      <name val="Calibri"/>
      <family val="2"/>
      <charset val="238"/>
      <scheme val="minor"/>
    </font>
    <font>
      <b/>
      <u/>
      <sz val="9"/>
      <color theme="1"/>
      <name val="Calibri"/>
      <family val="2"/>
      <charset val="238"/>
      <scheme val="minor"/>
    </font>
    <font>
      <b/>
      <u/>
      <vertAlign val="superscript"/>
      <sz val="10"/>
      <color rgb="FF000000"/>
      <name val="Calibri"/>
      <family val="2"/>
      <charset val="238"/>
      <scheme val="minor"/>
    </font>
    <font>
      <b/>
      <u/>
      <vertAlign val="superscript"/>
      <sz val="10"/>
      <color theme="1"/>
      <name val="Calibri"/>
      <family val="2"/>
      <charset val="238"/>
      <scheme val="minor"/>
    </font>
    <font>
      <b/>
      <u/>
      <vertAlign val="superscript"/>
      <sz val="9"/>
      <color theme="1"/>
      <name val="Calibri"/>
      <family val="2"/>
      <charset val="238"/>
      <scheme val="minor"/>
    </font>
    <font>
      <b/>
      <sz val="9"/>
      <color theme="1"/>
      <name val="Calibri"/>
      <family val="2"/>
      <charset val="238"/>
      <scheme val="minor"/>
    </font>
    <font>
      <b/>
      <vertAlign val="superscript"/>
      <sz val="9"/>
      <color theme="1"/>
      <name val="Calibri"/>
      <family val="2"/>
      <charset val="238"/>
      <scheme val="minor"/>
    </font>
    <font>
      <vertAlign val="superscript"/>
      <sz val="10"/>
      <color theme="1"/>
      <name val="Calibri"/>
      <family val="2"/>
      <charset val="238"/>
      <scheme val="minor"/>
    </font>
    <font>
      <b/>
      <sz val="10"/>
      <color theme="1"/>
      <name val="Calibri"/>
      <family val="2"/>
      <charset val="238"/>
      <scheme val="minor"/>
    </font>
    <font>
      <b/>
      <sz val="9"/>
      <color rgb="FF000000"/>
      <name val="Calibri"/>
      <family val="2"/>
      <charset val="238"/>
      <scheme val="minor"/>
    </font>
    <font>
      <vertAlign val="superscript"/>
      <sz val="9"/>
      <color rgb="FF000000"/>
      <name val="Calibri"/>
      <family val="2"/>
      <charset val="238"/>
      <scheme val="minor"/>
    </font>
    <font>
      <b/>
      <sz val="10"/>
      <color rgb="FF000000"/>
      <name val="Calibri"/>
      <family val="2"/>
      <charset val="238"/>
      <scheme val="minor"/>
    </font>
    <font>
      <b/>
      <sz val="14"/>
      <name val="Calibri"/>
      <family val="2"/>
      <charset val="238"/>
      <scheme val="minor"/>
    </font>
    <font>
      <b/>
      <u/>
      <sz val="14"/>
      <name val="Calibri"/>
      <family val="2"/>
      <charset val="238"/>
      <scheme val="minor"/>
    </font>
    <font>
      <sz val="8.5"/>
      <color rgb="FF000000"/>
      <name val="Calibri"/>
      <family val="2"/>
      <charset val="238"/>
      <scheme val="minor"/>
    </font>
    <font>
      <i/>
      <sz val="8.5"/>
      <color rgb="FF000000"/>
      <name val="Calibri"/>
      <family val="2"/>
      <charset val="238"/>
      <scheme val="minor"/>
    </font>
    <font>
      <b/>
      <sz val="8"/>
      <color theme="1"/>
      <name val="Calibri"/>
      <family val="2"/>
      <charset val="238"/>
      <scheme val="minor"/>
    </font>
    <font>
      <u/>
      <sz val="10"/>
      <name val="Calibri"/>
      <family val="2"/>
      <charset val="238"/>
      <scheme val="minor"/>
    </font>
    <font>
      <b/>
      <sz val="12"/>
      <name val="Calibri"/>
      <family val="2"/>
      <charset val="238"/>
      <scheme val="minor"/>
    </font>
    <font>
      <b/>
      <u/>
      <sz val="8"/>
      <name val="Arial"/>
      <family val="2"/>
      <charset val="238"/>
    </font>
    <font>
      <b/>
      <u/>
      <vertAlign val="superscript"/>
      <sz val="8"/>
      <name val="Arial"/>
      <family val="2"/>
      <charset val="238"/>
    </font>
  </fonts>
  <fills count="17">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00B0F0"/>
        <bgColor indexed="64"/>
      </patternFill>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9" tint="-0.249977111117893"/>
        <bgColor indexed="64"/>
      </patternFill>
    </fill>
    <fill>
      <patternFill patternType="solid">
        <fgColor theme="8" tint="0.59999389629810485"/>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ck">
        <color indexed="64"/>
      </bottom>
      <diagonal/>
    </border>
  </borders>
  <cellStyleXfs count="1">
    <xf numFmtId="0" fontId="0" fillId="0" borderId="0"/>
  </cellStyleXfs>
  <cellXfs count="184">
    <xf numFmtId="0" fontId="0" fillId="0" borderId="0" xfId="0"/>
    <xf numFmtId="0" fontId="0" fillId="0" borderId="0" xfId="0" applyAlignment="1">
      <alignment horizontal="center" vertical="center"/>
    </xf>
    <xf numFmtId="0" fontId="2" fillId="0" borderId="0" xfId="0" applyFont="1"/>
    <xf numFmtId="0" fontId="1"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165" fontId="5" fillId="0" borderId="0" xfId="0" applyNumberFormat="1" applyFont="1"/>
    <xf numFmtId="164" fontId="0" fillId="0" borderId="0" xfId="0" applyNumberFormat="1"/>
    <xf numFmtId="0" fontId="0" fillId="0" borderId="0" xfId="0" applyFont="1"/>
    <xf numFmtId="0" fontId="0" fillId="0" borderId="0" xfId="0" applyAlignment="1">
      <alignment horizontal="left" vertical="center"/>
    </xf>
    <xf numFmtId="0" fontId="7" fillId="0" borderId="0" xfId="0" applyFont="1"/>
    <xf numFmtId="0" fontId="3" fillId="9" borderId="1"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13" fillId="0" borderId="0" xfId="0" applyFont="1"/>
    <xf numFmtId="0" fontId="13" fillId="0" borderId="1" xfId="0" applyFont="1" applyBorder="1" applyAlignment="1">
      <alignment horizontal="left" vertical="center" wrapText="1"/>
    </xf>
    <xf numFmtId="164" fontId="7" fillId="0" borderId="1" xfId="0" applyNumberFormat="1" applyFont="1" applyFill="1" applyBorder="1" applyAlignment="1">
      <alignment horizontal="center" vertical="center" wrapText="1"/>
    </xf>
    <xf numFmtId="0" fontId="1" fillId="0" borderId="1" xfId="0" applyFont="1" applyBorder="1" applyAlignment="1">
      <alignment horizontal="left" vertical="center" wrapText="1"/>
    </xf>
    <xf numFmtId="0" fontId="14" fillId="0" borderId="0" xfId="0" applyFont="1"/>
    <xf numFmtId="164" fontId="6" fillId="3" borderId="1" xfId="0" applyNumberFormat="1" applyFont="1" applyFill="1" applyBorder="1" applyAlignment="1">
      <alignment horizontal="center" vertical="center" wrapText="1"/>
    </xf>
    <xf numFmtId="166" fontId="6" fillId="3" borderId="2" xfId="0" applyNumberFormat="1" applyFont="1" applyFill="1" applyBorder="1" applyAlignment="1">
      <alignment horizontal="center" vertical="center" wrapText="1"/>
    </xf>
    <xf numFmtId="167" fontId="10" fillId="8" borderId="3" xfId="0" applyNumberFormat="1" applyFont="1" applyFill="1" applyBorder="1" applyAlignment="1">
      <alignment horizontal="center" vertical="center" wrapText="1"/>
    </xf>
    <xf numFmtId="10" fontId="0" fillId="0" borderId="4" xfId="0" applyNumberFormat="1" applyBorder="1"/>
    <xf numFmtId="9" fontId="0" fillId="0" borderId="4" xfId="0" applyNumberFormat="1" applyBorder="1"/>
    <xf numFmtId="0" fontId="3" fillId="3" borderId="4" xfId="0" applyFont="1" applyFill="1" applyBorder="1" applyAlignment="1">
      <alignment horizontal="center" vertical="center" wrapText="1"/>
    </xf>
    <xf numFmtId="0" fontId="8" fillId="11" borderId="8" xfId="0" applyFont="1" applyFill="1" applyBorder="1" applyAlignment="1">
      <alignment horizontal="center" vertical="center" wrapText="1"/>
    </xf>
    <xf numFmtId="0" fontId="14" fillId="3" borderId="1" xfId="0" applyFont="1" applyFill="1" applyBorder="1" applyAlignment="1">
      <alignment vertical="center" wrapText="1"/>
    </xf>
    <xf numFmtId="0" fontId="13" fillId="0" borderId="1" xfId="0" applyFont="1" applyBorder="1" applyAlignment="1">
      <alignment horizontal="center" vertical="center" wrapText="1"/>
    </xf>
    <xf numFmtId="0" fontId="11" fillId="6" borderId="1" xfId="0" applyFont="1" applyFill="1" applyBorder="1" applyAlignment="1">
      <alignment horizontal="center" vertical="center" wrapText="1"/>
    </xf>
    <xf numFmtId="0" fontId="11" fillId="11" borderId="1" xfId="0" applyFont="1" applyFill="1" applyBorder="1" applyAlignment="1">
      <alignment horizontal="center" vertical="center" wrapText="1"/>
    </xf>
    <xf numFmtId="2" fontId="17" fillId="0" borderId="1" xfId="0" applyNumberFormat="1" applyFont="1" applyBorder="1" applyAlignment="1">
      <alignment horizontal="center" vertical="center" wrapText="1"/>
    </xf>
    <xf numFmtId="0" fontId="14" fillId="3" borderId="1" xfId="0" applyFont="1" applyFill="1" applyBorder="1" applyAlignment="1">
      <alignment horizontal="center" vertical="center" wrapText="1"/>
    </xf>
    <xf numFmtId="0" fontId="8" fillId="8" borderId="8" xfId="0" applyFont="1" applyFill="1" applyBorder="1" applyAlignment="1">
      <alignment horizontal="center" vertical="center" wrapText="1"/>
    </xf>
    <xf numFmtId="167" fontId="10" fillId="13" borderId="7" xfId="0" applyNumberFormat="1" applyFont="1" applyFill="1" applyBorder="1" applyAlignment="1">
      <alignment horizontal="center" vertical="center" wrapText="1"/>
    </xf>
    <xf numFmtId="0" fontId="8" fillId="13" borderId="9" xfId="0" applyFont="1" applyFill="1" applyBorder="1" applyAlignment="1">
      <alignment horizontal="center" vertical="center" wrapText="1"/>
    </xf>
    <xf numFmtId="2" fontId="17" fillId="3" borderId="1" xfId="0" applyNumberFormat="1" applyFont="1" applyFill="1" applyBorder="1" applyAlignment="1">
      <alignment horizontal="center" vertical="center" wrapText="1"/>
    </xf>
    <xf numFmtId="0" fontId="13" fillId="3" borderId="1" xfId="0" applyFont="1" applyFill="1" applyBorder="1" applyAlignment="1">
      <alignment horizontal="left" vertical="center" wrapText="1"/>
    </xf>
    <xf numFmtId="0" fontId="14" fillId="3" borderId="1" xfId="0" applyFont="1" applyFill="1" applyBorder="1" applyAlignment="1">
      <alignment horizontal="left" vertical="center" wrapText="1"/>
    </xf>
    <xf numFmtId="0" fontId="20" fillId="12"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3" fillId="7"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1" fillId="14" borderId="1" xfId="0" applyFont="1" applyFill="1" applyBorder="1" applyAlignment="1">
      <alignment horizontal="left" vertical="center" wrapText="1"/>
    </xf>
    <xf numFmtId="0" fontId="2" fillId="14" borderId="1" xfId="0" applyFont="1" applyFill="1" applyBorder="1" applyAlignment="1">
      <alignment horizontal="center" vertical="center" wrapText="1"/>
    </xf>
    <xf numFmtId="0" fontId="1" fillId="14" borderId="1" xfId="0" applyFont="1" applyFill="1" applyBorder="1" applyAlignment="1">
      <alignment horizontal="center" vertical="center" wrapText="1"/>
    </xf>
    <xf numFmtId="0" fontId="13" fillId="14" borderId="1" xfId="0" applyFont="1" applyFill="1" applyBorder="1" applyAlignment="1">
      <alignment horizontal="center" vertical="center" wrapText="1"/>
    </xf>
    <xf numFmtId="0" fontId="14" fillId="14" borderId="1" xfId="0" applyFont="1" applyFill="1" applyBorder="1" applyAlignment="1">
      <alignment vertical="center" wrapText="1"/>
    </xf>
    <xf numFmtId="0" fontId="14" fillId="14" borderId="1" xfId="0" applyFont="1" applyFill="1" applyBorder="1" applyAlignment="1">
      <alignment horizontal="center" vertical="center" wrapText="1"/>
    </xf>
    <xf numFmtId="2" fontId="17" fillId="14" borderId="1" xfId="0" applyNumberFormat="1" applyFont="1" applyFill="1" applyBorder="1" applyAlignment="1">
      <alignment horizontal="center" vertical="center" wrapText="1"/>
    </xf>
    <xf numFmtId="0" fontId="13" fillId="14" borderId="1" xfId="0" applyFont="1" applyFill="1" applyBorder="1" applyAlignment="1">
      <alignment vertical="center" wrapText="1"/>
    </xf>
    <xf numFmtId="164" fontId="7" fillId="14" borderId="1" xfId="0" applyNumberFormat="1" applyFont="1" applyFill="1" applyBorder="1" applyAlignment="1">
      <alignment horizontal="center" vertical="center" wrapText="1"/>
    </xf>
    <xf numFmtId="164" fontId="6" fillId="14" borderId="1" xfId="0" applyNumberFormat="1" applyFont="1" applyFill="1" applyBorder="1" applyAlignment="1">
      <alignment horizontal="center" vertical="center" wrapText="1"/>
    </xf>
    <xf numFmtId="166" fontId="6" fillId="14" borderId="2" xfId="0" applyNumberFormat="1" applyFont="1" applyFill="1" applyBorder="1" applyAlignment="1">
      <alignment horizontal="center" vertical="center" wrapText="1"/>
    </xf>
    <xf numFmtId="2" fontId="1" fillId="14" borderId="1" xfId="0" applyNumberFormat="1" applyFont="1" applyFill="1" applyBorder="1" applyAlignment="1">
      <alignment horizontal="center" vertical="center" wrapText="1"/>
    </xf>
    <xf numFmtId="164" fontId="7" fillId="14" borderId="1" xfId="0" applyNumberFormat="1" applyFont="1" applyFill="1" applyBorder="1" applyAlignment="1" applyProtection="1">
      <alignment vertical="center"/>
    </xf>
    <xf numFmtId="0" fontId="13" fillId="14" borderId="1" xfId="0" applyFont="1" applyFill="1" applyBorder="1" applyAlignment="1">
      <alignment horizontal="left" vertical="center" wrapText="1"/>
    </xf>
    <xf numFmtId="0" fontId="1" fillId="12" borderId="1" xfId="0" applyFont="1" applyFill="1" applyBorder="1" applyAlignment="1">
      <alignment horizontal="left" vertical="center" wrapText="1"/>
    </xf>
    <xf numFmtId="0" fontId="2" fillId="12" borderId="1"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13" fillId="12" borderId="1" xfId="0" applyFont="1" applyFill="1" applyBorder="1" applyAlignment="1">
      <alignment horizontal="center" vertical="center" wrapText="1"/>
    </xf>
    <xf numFmtId="0" fontId="13" fillId="12" borderId="1" xfId="0" applyFont="1" applyFill="1" applyBorder="1" applyAlignment="1">
      <alignment horizontal="left" vertical="center" wrapText="1"/>
    </xf>
    <xf numFmtId="0" fontId="14" fillId="12" borderId="1" xfId="0" applyFont="1" applyFill="1" applyBorder="1" applyAlignment="1">
      <alignment vertical="center" wrapText="1"/>
    </xf>
    <xf numFmtId="2" fontId="17" fillId="12" borderId="1" xfId="0" applyNumberFormat="1" applyFont="1" applyFill="1" applyBorder="1" applyAlignment="1">
      <alignment horizontal="center" vertical="center" wrapText="1"/>
    </xf>
    <xf numFmtId="164" fontId="7" fillId="12" borderId="1" xfId="0" applyNumberFormat="1" applyFont="1" applyFill="1" applyBorder="1" applyAlignment="1">
      <alignment horizontal="center" vertical="center" wrapText="1"/>
    </xf>
    <xf numFmtId="0" fontId="8" fillId="13" borderId="15" xfId="0" applyFont="1" applyFill="1" applyBorder="1" applyAlignment="1">
      <alignment horizontal="center" vertical="center" wrapText="1"/>
    </xf>
    <xf numFmtId="0" fontId="8" fillId="13" borderId="14" xfId="0" applyFont="1" applyFill="1" applyBorder="1" applyAlignment="1">
      <alignment horizontal="center" vertical="center" wrapText="1"/>
    </xf>
    <xf numFmtId="0" fontId="13" fillId="7" borderId="0" xfId="0" applyFont="1" applyFill="1"/>
    <xf numFmtId="0" fontId="0" fillId="7" borderId="0" xfId="0" applyFill="1"/>
    <xf numFmtId="0" fontId="13" fillId="3" borderId="1" xfId="0" applyFont="1" applyFill="1" applyBorder="1" applyAlignment="1">
      <alignment horizontal="center" vertical="center" wrapText="1"/>
    </xf>
    <xf numFmtId="0" fontId="13" fillId="12" borderId="1" xfId="0" applyFont="1" applyFill="1" applyBorder="1" applyAlignment="1">
      <alignment vertical="center" wrapText="1"/>
    </xf>
    <xf numFmtId="167" fontId="10" fillId="8" borderId="13" xfId="0" applyNumberFormat="1" applyFont="1" applyFill="1" applyBorder="1" applyAlignment="1">
      <alignment horizontal="center" vertical="center" wrapText="1"/>
    </xf>
    <xf numFmtId="167" fontId="10" fillId="13" borderId="17" xfId="0" applyNumberFormat="1" applyFont="1" applyFill="1" applyBorder="1" applyAlignment="1">
      <alignment horizontal="center" vertical="center" wrapText="1"/>
    </xf>
    <xf numFmtId="167" fontId="10" fillId="13" borderId="1" xfId="0" applyNumberFormat="1" applyFont="1" applyFill="1" applyBorder="1" applyAlignment="1">
      <alignment horizontal="center" vertical="center" wrapText="1"/>
    </xf>
    <xf numFmtId="167" fontId="10" fillId="13" borderId="3" xfId="0" applyNumberFormat="1" applyFont="1" applyFill="1" applyBorder="1" applyAlignment="1">
      <alignment horizontal="center" vertical="center" wrapText="1"/>
    </xf>
    <xf numFmtId="2" fontId="14" fillId="3" borderId="1" xfId="0" applyNumberFormat="1" applyFont="1" applyFill="1" applyBorder="1" applyAlignment="1">
      <alignment horizontal="center" vertical="center" wrapText="1"/>
    </xf>
    <xf numFmtId="2" fontId="29" fillId="3" borderId="1" xfId="0" applyNumberFormat="1" applyFont="1" applyFill="1" applyBorder="1" applyAlignment="1">
      <alignment horizontal="center" vertical="center" wrapText="1"/>
    </xf>
    <xf numFmtId="0" fontId="1" fillId="4" borderId="1" xfId="0" applyFont="1" applyFill="1" applyBorder="1" applyAlignment="1">
      <alignment horizontal="left" vertical="center" wrapText="1"/>
    </xf>
    <xf numFmtId="0" fontId="2" fillId="4"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3" fillId="4" borderId="1" xfId="0" applyFont="1" applyFill="1" applyBorder="1" applyAlignment="1">
      <alignment horizontal="left" vertical="center" wrapText="1"/>
    </xf>
    <xf numFmtId="0" fontId="14" fillId="4" borderId="1" xfId="0" applyFont="1" applyFill="1" applyBorder="1" applyAlignment="1">
      <alignment vertical="center" wrapText="1"/>
    </xf>
    <xf numFmtId="2" fontId="17" fillId="4" borderId="1" xfId="0" applyNumberFormat="1" applyFont="1" applyFill="1" applyBorder="1" applyAlignment="1">
      <alignment horizontal="center" vertical="center" wrapText="1"/>
    </xf>
    <xf numFmtId="0" fontId="14" fillId="4" borderId="1" xfId="0" applyFont="1" applyFill="1" applyBorder="1" applyAlignment="1">
      <alignment horizontal="center" vertical="center" wrapText="1"/>
    </xf>
    <xf numFmtId="164" fontId="7" fillId="4" borderId="1" xfId="0" applyNumberFormat="1" applyFont="1" applyFill="1" applyBorder="1" applyAlignment="1">
      <alignment horizontal="center" vertical="center" wrapText="1"/>
    </xf>
    <xf numFmtId="164" fontId="6" fillId="4" borderId="1" xfId="0" applyNumberFormat="1" applyFont="1" applyFill="1" applyBorder="1" applyAlignment="1">
      <alignment horizontal="center" vertical="center" wrapText="1"/>
    </xf>
    <xf numFmtId="166" fontId="6" fillId="4" borderId="2" xfId="0" applyNumberFormat="1" applyFont="1" applyFill="1" applyBorder="1" applyAlignment="1">
      <alignment horizontal="center" vertical="center" wrapText="1"/>
    </xf>
    <xf numFmtId="0" fontId="1" fillId="6" borderId="1" xfId="0" applyFont="1" applyFill="1" applyBorder="1" applyAlignment="1">
      <alignment horizontal="left" vertical="center" wrapText="1"/>
    </xf>
    <xf numFmtId="0" fontId="2" fillId="6"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3" fillId="6" borderId="1" xfId="0" applyFont="1" applyFill="1" applyBorder="1" applyAlignment="1">
      <alignment horizontal="left" vertical="center" wrapText="1"/>
    </xf>
    <xf numFmtId="0" fontId="14" fillId="6" borderId="1" xfId="0" applyFont="1" applyFill="1" applyBorder="1" applyAlignment="1">
      <alignment horizontal="center" vertical="center" wrapText="1"/>
    </xf>
    <xf numFmtId="0" fontId="14" fillId="6" borderId="1" xfId="0" applyFont="1" applyFill="1" applyBorder="1" applyAlignment="1">
      <alignment vertical="center" wrapText="1"/>
    </xf>
    <xf numFmtId="2" fontId="17" fillId="6" borderId="1" xfId="0" applyNumberFormat="1" applyFont="1" applyFill="1" applyBorder="1" applyAlignment="1">
      <alignment horizontal="center" vertical="center" wrapText="1"/>
    </xf>
    <xf numFmtId="0" fontId="13" fillId="6" borderId="1" xfId="0" applyFont="1" applyFill="1" applyBorder="1" applyAlignment="1">
      <alignment vertical="center" wrapText="1"/>
    </xf>
    <xf numFmtId="164" fontId="7" fillId="6" borderId="1" xfId="0" applyNumberFormat="1" applyFont="1" applyFill="1" applyBorder="1" applyAlignment="1">
      <alignment horizontal="center" vertical="center" wrapText="1"/>
    </xf>
    <xf numFmtId="164" fontId="6" fillId="6" borderId="1" xfId="0" applyNumberFormat="1" applyFont="1" applyFill="1" applyBorder="1" applyAlignment="1">
      <alignment horizontal="center" vertical="center" wrapText="1"/>
    </xf>
    <xf numFmtId="166" fontId="6" fillId="6" borderId="2" xfId="0" applyNumberFormat="1" applyFont="1" applyFill="1" applyBorder="1" applyAlignment="1">
      <alignment horizontal="center" vertical="center" wrapText="1"/>
    </xf>
    <xf numFmtId="0" fontId="3" fillId="15" borderId="1" xfId="0" applyFont="1" applyFill="1" applyBorder="1" applyAlignment="1">
      <alignment horizontal="center" vertical="center" wrapText="1"/>
    </xf>
    <xf numFmtId="0" fontId="1" fillId="3"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3" fillId="3" borderId="1" xfId="0" applyFont="1" applyFill="1" applyBorder="1" applyAlignment="1">
      <alignment vertical="center" wrapText="1"/>
    </xf>
    <xf numFmtId="164" fontId="7" fillId="3" borderId="1" xfId="0" applyNumberFormat="1" applyFont="1" applyFill="1" applyBorder="1" applyAlignment="1">
      <alignment horizontal="center" vertical="center" wrapText="1"/>
    </xf>
    <xf numFmtId="0" fontId="31" fillId="3" borderId="1" xfId="0" applyFont="1" applyFill="1" applyBorder="1" applyAlignment="1">
      <alignment vertical="center" wrapText="1"/>
    </xf>
    <xf numFmtId="0" fontId="2" fillId="3" borderId="1" xfId="0" applyFont="1" applyFill="1" applyBorder="1" applyAlignment="1">
      <alignment horizontal="left" vertical="center" wrapText="1"/>
    </xf>
    <xf numFmtId="0" fontId="14" fillId="0" borderId="1" xfId="0" applyFont="1" applyBorder="1" applyAlignment="1">
      <alignment horizontal="center" vertical="center" wrapText="1"/>
    </xf>
    <xf numFmtId="0" fontId="14" fillId="0" borderId="1" xfId="0" applyFont="1" applyBorder="1" applyAlignment="1">
      <alignment horizontal="left" vertical="center" wrapText="1"/>
    </xf>
    <xf numFmtId="1" fontId="17" fillId="14" borderId="1" xfId="0" applyNumberFormat="1" applyFont="1" applyFill="1" applyBorder="1" applyAlignment="1">
      <alignment horizontal="center" vertical="center" wrapText="1"/>
    </xf>
    <xf numFmtId="1" fontId="1" fillId="14" borderId="1" xfId="0" applyNumberFormat="1" applyFont="1" applyFill="1" applyBorder="1" applyAlignment="1">
      <alignment horizontal="center" vertical="center" wrapText="1"/>
    </xf>
    <xf numFmtId="1" fontId="17" fillId="0" borderId="1" xfId="0" applyNumberFormat="1" applyFont="1" applyBorder="1" applyAlignment="1">
      <alignment horizontal="center" vertical="center" wrapText="1"/>
    </xf>
    <xf numFmtId="1" fontId="17" fillId="12" borderId="1" xfId="0" applyNumberFormat="1" applyFont="1" applyFill="1" applyBorder="1" applyAlignment="1">
      <alignment horizontal="center" vertical="center" wrapText="1"/>
    </xf>
    <xf numFmtId="1" fontId="17" fillId="4" borderId="1" xfId="0" applyNumberFormat="1" applyFont="1" applyFill="1" applyBorder="1" applyAlignment="1">
      <alignment horizontal="center" vertical="center" wrapText="1"/>
    </xf>
    <xf numFmtId="1" fontId="17" fillId="6" borderId="1" xfId="0" applyNumberFormat="1" applyFont="1" applyFill="1" applyBorder="1" applyAlignment="1">
      <alignment horizontal="center" vertical="center" wrapText="1"/>
    </xf>
    <xf numFmtId="1" fontId="17" fillId="3" borderId="1" xfId="0" applyNumberFormat="1" applyFont="1" applyFill="1" applyBorder="1" applyAlignment="1">
      <alignment horizontal="center" vertical="center" wrapText="1"/>
    </xf>
    <xf numFmtId="1" fontId="0" fillId="0" borderId="0" xfId="0" applyNumberFormat="1"/>
    <xf numFmtId="1" fontId="29" fillId="0" borderId="1" xfId="0" applyNumberFormat="1" applyFont="1" applyBorder="1" applyAlignment="1">
      <alignment horizontal="center" vertical="center" wrapText="1"/>
    </xf>
    <xf numFmtId="1" fontId="14" fillId="0" borderId="1" xfId="0" applyNumberFormat="1" applyFont="1" applyBorder="1" applyAlignment="1">
      <alignment horizontal="center" vertical="center" wrapText="1"/>
    </xf>
    <xf numFmtId="0" fontId="40" fillId="0" borderId="0" xfId="0" applyFont="1"/>
    <xf numFmtId="0" fontId="11" fillId="13" borderId="1" xfId="0" applyFont="1" applyFill="1" applyBorder="1" applyAlignment="1">
      <alignment horizontal="center" vertical="center" wrapText="1"/>
    </xf>
    <xf numFmtId="166" fontId="6" fillId="16" borderId="2" xfId="0" applyNumberFormat="1" applyFont="1" applyFill="1" applyBorder="1" applyAlignment="1">
      <alignment horizontal="center" vertical="center" wrapText="1"/>
    </xf>
    <xf numFmtId="0" fontId="2" fillId="6" borderId="1" xfId="0" applyFont="1" applyFill="1" applyBorder="1" applyAlignment="1">
      <alignment horizontal="left" vertical="center" wrapText="1"/>
    </xf>
    <xf numFmtId="167" fontId="10" fillId="8" borderId="5" xfId="0" applyNumberFormat="1" applyFont="1" applyFill="1" applyBorder="1" applyAlignment="1">
      <alignment horizontal="center" vertical="center" wrapText="1"/>
    </xf>
    <xf numFmtId="167" fontId="10" fillId="8" borderId="10" xfId="0" applyNumberFormat="1" applyFont="1" applyFill="1" applyBorder="1" applyAlignment="1">
      <alignment horizontal="center" vertical="center" wrapText="1"/>
    </xf>
    <xf numFmtId="167" fontId="10" fillId="13" borderId="6" xfId="0" applyNumberFormat="1" applyFont="1" applyFill="1" applyBorder="1" applyAlignment="1">
      <alignment horizontal="center" vertical="center" wrapText="1"/>
    </xf>
    <xf numFmtId="167" fontId="10" fillId="13" borderId="11" xfId="0" applyNumberFormat="1" applyFont="1" applyFill="1" applyBorder="1" applyAlignment="1">
      <alignment horizontal="center" vertical="center" wrapText="1"/>
    </xf>
    <xf numFmtId="167" fontId="10" fillId="8" borderId="12" xfId="0" applyNumberFormat="1" applyFont="1" applyFill="1" applyBorder="1" applyAlignment="1">
      <alignment horizontal="center" vertical="center" wrapText="1"/>
    </xf>
    <xf numFmtId="167" fontId="10" fillId="13" borderId="5" xfId="0" applyNumberFormat="1" applyFont="1" applyFill="1" applyBorder="1" applyAlignment="1">
      <alignment horizontal="center" vertical="center" wrapText="1"/>
    </xf>
    <xf numFmtId="167" fontId="10" fillId="13" borderId="16" xfId="0" applyNumberFormat="1" applyFont="1" applyFill="1" applyBorder="1" applyAlignment="1">
      <alignment horizontal="center" vertical="center" wrapText="1"/>
    </xf>
    <xf numFmtId="167" fontId="10" fillId="13" borderId="18" xfId="0" applyNumberFormat="1" applyFont="1" applyFill="1" applyBorder="1" applyAlignment="1">
      <alignment horizontal="center" vertical="center" wrapText="1"/>
    </xf>
    <xf numFmtId="2" fontId="10" fillId="8" borderId="3" xfId="0" applyNumberFormat="1" applyFont="1" applyFill="1" applyBorder="1" applyAlignment="1">
      <alignment horizontal="center" vertical="center" wrapText="1"/>
    </xf>
    <xf numFmtId="2" fontId="10" fillId="8" borderId="13" xfId="0" applyNumberFormat="1" applyFont="1" applyFill="1" applyBorder="1" applyAlignment="1">
      <alignment horizontal="center" vertical="center" wrapText="1"/>
    </xf>
    <xf numFmtId="2" fontId="10" fillId="13" borderId="17" xfId="0" applyNumberFormat="1" applyFont="1" applyFill="1" applyBorder="1" applyAlignment="1">
      <alignment horizontal="center" vertical="center" wrapText="1"/>
    </xf>
    <xf numFmtId="2" fontId="10" fillId="13" borderId="1" xfId="0" applyNumberFormat="1" applyFont="1" applyFill="1" applyBorder="1" applyAlignment="1">
      <alignment horizontal="center" vertical="center" wrapText="1"/>
    </xf>
    <xf numFmtId="2" fontId="10" fillId="13" borderId="7" xfId="0" applyNumberFormat="1" applyFont="1" applyFill="1" applyBorder="1" applyAlignment="1">
      <alignment horizontal="center" vertical="center" wrapText="1"/>
    </xf>
    <xf numFmtId="166" fontId="45" fillId="4" borderId="2" xfId="0" applyNumberFormat="1" applyFont="1" applyFill="1" applyBorder="1" applyAlignment="1">
      <alignment horizontal="center" vertical="center" wrapText="1"/>
    </xf>
    <xf numFmtId="0" fontId="17" fillId="4"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47" fillId="4" borderId="1" xfId="0" applyFont="1" applyFill="1" applyBorder="1" applyAlignment="1">
      <alignment horizontal="center" vertical="center" wrapText="1"/>
    </xf>
    <xf numFmtId="0" fontId="48" fillId="14" borderId="1" xfId="0" applyFont="1" applyFill="1" applyBorder="1" applyAlignment="1">
      <alignment horizontal="center" vertical="center" wrapText="1"/>
    </xf>
    <xf numFmtId="0" fontId="47" fillId="0" borderId="1" xfId="0" applyFont="1" applyBorder="1" applyAlignment="1">
      <alignment horizontal="center" vertical="center" wrapText="1"/>
    </xf>
    <xf numFmtId="0" fontId="49" fillId="0" borderId="1" xfId="0" applyFont="1" applyBorder="1" applyAlignment="1">
      <alignment horizontal="center" vertical="center" wrapText="1"/>
    </xf>
    <xf numFmtId="0" fontId="54" fillId="0" borderId="0" xfId="0" applyFont="1"/>
    <xf numFmtId="0" fontId="48" fillId="6" borderId="1" xfId="0" applyFont="1" applyFill="1" applyBorder="1" applyAlignment="1">
      <alignment horizontal="center" vertical="center" wrapText="1"/>
    </xf>
    <xf numFmtId="0" fontId="48" fillId="3" borderId="1" xfId="0" applyFont="1" applyFill="1" applyBorder="1" applyAlignment="1">
      <alignment horizontal="center" vertical="center" wrapText="1"/>
    </xf>
    <xf numFmtId="0" fontId="1" fillId="1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167" fontId="10" fillId="8" borderId="4" xfId="0" applyNumberFormat="1" applyFont="1" applyFill="1" applyBorder="1" applyAlignment="1">
      <alignment horizontal="center" vertical="center" wrapText="1"/>
    </xf>
    <xf numFmtId="167" fontId="62" fillId="13" borderId="3" xfId="0" applyNumberFormat="1" applyFont="1" applyFill="1" applyBorder="1" applyAlignment="1">
      <alignment horizontal="center" vertical="center" wrapText="1"/>
    </xf>
    <xf numFmtId="167" fontId="62" fillId="8" borderId="3" xfId="0" applyNumberFormat="1" applyFont="1" applyFill="1" applyBorder="1" applyAlignment="1">
      <alignment horizontal="center" vertical="center" wrapText="1"/>
    </xf>
    <xf numFmtId="167" fontId="62" fillId="13" borderId="7" xfId="0" applyNumberFormat="1" applyFont="1" applyFill="1" applyBorder="1" applyAlignment="1">
      <alignment horizontal="center" vertical="center" wrapText="1"/>
    </xf>
    <xf numFmtId="167" fontId="62" fillId="13" borderId="17" xfId="0" applyNumberFormat="1" applyFont="1" applyFill="1" applyBorder="1" applyAlignment="1">
      <alignment horizontal="center" vertical="center" wrapText="1"/>
    </xf>
    <xf numFmtId="1" fontId="29" fillId="3" borderId="1" xfId="0" applyNumberFormat="1" applyFont="1" applyFill="1" applyBorder="1" applyAlignment="1">
      <alignment horizontal="center" vertical="center" wrapText="1"/>
    </xf>
    <xf numFmtId="0" fontId="13" fillId="0" borderId="0" xfId="0" applyFont="1" applyAlignment="1"/>
    <xf numFmtId="2" fontId="29" fillId="7" borderId="1" xfId="0" applyNumberFormat="1" applyFont="1" applyFill="1" applyBorder="1" applyAlignment="1">
      <alignment horizontal="center" vertical="center" wrapText="1"/>
    </xf>
    <xf numFmtId="0" fontId="2" fillId="4" borderId="1" xfId="0" applyFont="1" applyFill="1" applyBorder="1" applyAlignment="1">
      <alignment horizontal="left" vertical="center" wrapText="1"/>
    </xf>
    <xf numFmtId="0" fontId="13" fillId="4" borderId="1" xfId="0" applyFont="1" applyFill="1" applyBorder="1" applyAlignment="1">
      <alignment vertical="center" wrapText="1"/>
    </xf>
    <xf numFmtId="2" fontId="63" fillId="4" borderId="1" xfId="0" applyNumberFormat="1" applyFont="1" applyFill="1" applyBorder="1" applyAlignment="1">
      <alignment horizontal="center" vertical="center" wrapText="1"/>
    </xf>
    <xf numFmtId="2" fontId="63" fillId="6" borderId="1" xfId="0" applyNumberFormat="1" applyFont="1" applyFill="1" applyBorder="1" applyAlignment="1">
      <alignment horizontal="center" vertical="center" wrapText="1"/>
    </xf>
    <xf numFmtId="0" fontId="1" fillId="7" borderId="1" xfId="0" applyFont="1" applyFill="1" applyBorder="1" applyAlignment="1">
      <alignment horizontal="left" vertical="center" wrapText="1"/>
    </xf>
    <xf numFmtId="0" fontId="2" fillId="7" borderId="1" xfId="0" applyFont="1" applyFill="1" applyBorder="1" applyAlignment="1">
      <alignment horizontal="center" vertical="center" wrapText="1"/>
    </xf>
    <xf numFmtId="0" fontId="14" fillId="7" borderId="1" xfId="0" applyFont="1" applyFill="1" applyBorder="1" applyAlignment="1">
      <alignment vertical="center" wrapText="1"/>
    </xf>
    <xf numFmtId="1" fontId="17" fillId="7" borderId="1" xfId="0" applyNumberFormat="1" applyFont="1" applyFill="1" applyBorder="1" applyAlignment="1">
      <alignment horizontal="center" vertical="center" wrapText="1"/>
    </xf>
    <xf numFmtId="0" fontId="13" fillId="7" borderId="1" xfId="0" applyFont="1" applyFill="1" applyBorder="1" applyAlignment="1">
      <alignment vertical="center" wrapText="1"/>
    </xf>
    <xf numFmtId="164" fontId="7" fillId="7" borderId="1" xfId="0" applyNumberFormat="1" applyFont="1" applyFill="1" applyBorder="1" applyAlignment="1">
      <alignment horizontal="center" vertical="center" wrapText="1"/>
    </xf>
    <xf numFmtId="164" fontId="6" fillId="7" borderId="1" xfId="0" applyNumberFormat="1" applyFont="1" applyFill="1" applyBorder="1" applyAlignment="1">
      <alignment horizontal="center" vertical="center" wrapText="1"/>
    </xf>
    <xf numFmtId="166" fontId="67" fillId="7" borderId="2" xfId="0" applyNumberFormat="1" applyFont="1" applyFill="1" applyBorder="1" applyAlignment="1">
      <alignment horizontal="center" vertical="center" wrapText="1"/>
    </xf>
    <xf numFmtId="166" fontId="67" fillId="4" borderId="2" xfId="0" applyNumberFormat="1" applyFont="1" applyFill="1" applyBorder="1" applyAlignment="1">
      <alignment horizontal="center" vertical="center" wrapText="1"/>
    </xf>
    <xf numFmtId="166" fontId="67" fillId="6" borderId="2" xfId="0" applyNumberFormat="1" applyFont="1" applyFill="1" applyBorder="1" applyAlignment="1">
      <alignment horizontal="center" vertical="center" wrapText="1"/>
    </xf>
    <xf numFmtId="0" fontId="1" fillId="14" borderId="20" xfId="0" applyFont="1" applyFill="1" applyBorder="1" applyAlignment="1">
      <alignment horizontal="left" vertical="center" wrapText="1"/>
    </xf>
    <xf numFmtId="0" fontId="2" fillId="14" borderId="20" xfId="0" applyFont="1" applyFill="1" applyBorder="1" applyAlignment="1">
      <alignment horizontal="center" vertical="center" wrapText="1"/>
    </xf>
    <xf numFmtId="0" fontId="1" fillId="14" borderId="20" xfId="0" applyFont="1" applyFill="1" applyBorder="1" applyAlignment="1">
      <alignment horizontal="center" vertical="center" wrapText="1"/>
    </xf>
    <xf numFmtId="0" fontId="13" fillId="14" borderId="20" xfId="0" applyFont="1" applyFill="1" applyBorder="1" applyAlignment="1">
      <alignment horizontal="center" vertical="center" wrapText="1"/>
    </xf>
    <xf numFmtId="1" fontId="17" fillId="14" borderId="20" xfId="0" applyNumberFormat="1" applyFont="1" applyFill="1" applyBorder="1" applyAlignment="1">
      <alignment horizontal="center" vertical="center" wrapText="1"/>
    </xf>
    <xf numFmtId="164" fontId="7" fillId="14" borderId="20" xfId="0" applyNumberFormat="1" applyFont="1" applyFill="1" applyBorder="1" applyAlignment="1">
      <alignment horizontal="center" vertical="center" wrapText="1"/>
    </xf>
    <xf numFmtId="164" fontId="6" fillId="14" borderId="20" xfId="0" applyNumberFormat="1" applyFont="1" applyFill="1" applyBorder="1" applyAlignment="1">
      <alignment horizontal="center" vertical="center" wrapText="1"/>
    </xf>
    <xf numFmtId="166" fontId="6" fillId="14" borderId="21" xfId="0" applyNumberFormat="1" applyFont="1" applyFill="1" applyBorder="1" applyAlignment="1">
      <alignment horizontal="center" vertical="center" wrapText="1"/>
    </xf>
    <xf numFmtId="0" fontId="4" fillId="2" borderId="22"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22" xfId="0" applyFont="1" applyFill="1" applyBorder="1" applyAlignment="1">
      <alignment horizontal="center" vertical="center"/>
    </xf>
    <xf numFmtId="0" fontId="11" fillId="11" borderId="22" xfId="0" applyFont="1" applyFill="1" applyBorder="1" applyAlignment="1">
      <alignment horizontal="center" vertical="center" wrapText="1"/>
    </xf>
    <xf numFmtId="0" fontId="3" fillId="5" borderId="22" xfId="0" applyFont="1" applyFill="1" applyBorder="1" applyAlignment="1">
      <alignment horizontal="center" vertical="center" wrapText="1"/>
    </xf>
    <xf numFmtId="0" fontId="8" fillId="4" borderId="22" xfId="0" applyFont="1" applyFill="1" applyBorder="1" applyAlignment="1">
      <alignment horizontal="center" vertical="center" wrapText="1"/>
    </xf>
    <xf numFmtId="0" fontId="68" fillId="3" borderId="22" xfId="0" applyFont="1" applyFill="1" applyBorder="1" applyAlignment="1">
      <alignment horizontal="center" vertical="center" wrapText="1"/>
    </xf>
    <xf numFmtId="0" fontId="68" fillId="7" borderId="19" xfId="0" applyFont="1" applyFill="1" applyBorder="1" applyAlignment="1">
      <alignment horizontal="center" vertical="center" wrapText="1"/>
    </xf>
  </cellXfs>
  <cellStyles count="1">
    <cellStyle name="Normální"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82</xdr:row>
      <xdr:rowOff>0</xdr:rowOff>
    </xdr:from>
    <xdr:to>
      <xdr:col>19</xdr:col>
      <xdr:colOff>428417</xdr:colOff>
      <xdr:row>96</xdr:row>
      <xdr:rowOff>47629</xdr:rowOff>
    </xdr:to>
    <xdr:pic>
      <xdr:nvPicPr>
        <xdr:cNvPr id="1026" name="Picture 2">
          <a:extLst>
            <a:ext uri="{FF2B5EF4-FFF2-40B4-BE49-F238E27FC236}">
              <a16:creationId xmlns:a16="http://schemas.microsoft.com/office/drawing/2014/main" id="{00000000-0008-0000-0000-000002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8402300"/>
          <a:ext cx="5535762" cy="2800350"/>
        </a:xfrm>
        <a:prstGeom prst="rect">
          <a:avLst/>
        </a:prstGeom>
        <a:noFill/>
      </xdr:spPr>
    </xdr:pic>
    <xdr:clientData/>
  </xdr:twoCellAnchor>
  <xdr:twoCellAnchor editAs="oneCell">
    <xdr:from>
      <xdr:col>6</xdr:col>
      <xdr:colOff>2009775</xdr:colOff>
      <xdr:row>82</xdr:row>
      <xdr:rowOff>38101</xdr:rowOff>
    </xdr:from>
    <xdr:to>
      <xdr:col>22</xdr:col>
      <xdr:colOff>122522</xdr:colOff>
      <xdr:row>95</xdr:row>
      <xdr:rowOff>75431</xdr:rowOff>
    </xdr:to>
    <xdr:pic>
      <xdr:nvPicPr>
        <xdr:cNvPr id="1028" name="Picture 4">
          <a:extLst>
            <a:ext uri="{FF2B5EF4-FFF2-40B4-BE49-F238E27FC236}">
              <a16:creationId xmlns:a16="http://schemas.microsoft.com/office/drawing/2014/main" id="{00000000-0008-0000-0000-000004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72150" y="18440401"/>
          <a:ext cx="4371975" cy="2599552"/>
        </a:xfrm>
        <a:prstGeom prst="rect">
          <a:avLst/>
        </a:prstGeom>
        <a:noFill/>
      </xdr:spPr>
    </xdr:pic>
    <xdr:clientData/>
  </xdr:twoCellAnchor>
  <xdr:twoCellAnchor editAs="oneCell">
    <xdr:from>
      <xdr:col>0</xdr:col>
      <xdr:colOff>38101</xdr:colOff>
      <xdr:row>96</xdr:row>
      <xdr:rowOff>57150</xdr:rowOff>
    </xdr:from>
    <xdr:to>
      <xdr:col>9</xdr:col>
      <xdr:colOff>971192</xdr:colOff>
      <xdr:row>114</xdr:row>
      <xdr:rowOff>104773</xdr:rowOff>
    </xdr:to>
    <xdr:pic>
      <xdr:nvPicPr>
        <xdr:cNvPr id="1030" name="Picture 6">
          <a:extLst>
            <a:ext uri="{FF2B5EF4-FFF2-40B4-BE49-F238E27FC236}">
              <a16:creationId xmlns:a16="http://schemas.microsoft.com/office/drawing/2014/main" id="{00000000-0008-0000-0000-0000060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8101" y="20402550"/>
          <a:ext cx="4762499" cy="3200400"/>
        </a:xfrm>
        <a:prstGeom prst="rect">
          <a:avLst/>
        </a:prstGeom>
        <a:noFill/>
      </xdr:spPr>
    </xdr:pic>
    <xdr:clientData/>
  </xdr:twoCellAnchor>
  <xdr:twoCellAnchor editAs="oneCell">
    <xdr:from>
      <xdr:col>6</xdr:col>
      <xdr:colOff>1181100</xdr:colOff>
      <xdr:row>96</xdr:row>
      <xdr:rowOff>95251</xdr:rowOff>
    </xdr:from>
    <xdr:to>
      <xdr:col>27</xdr:col>
      <xdr:colOff>640728</xdr:colOff>
      <xdr:row>119</xdr:row>
      <xdr:rowOff>76198</xdr:rowOff>
    </xdr:to>
    <xdr:pic>
      <xdr:nvPicPr>
        <xdr:cNvPr id="1032" name="Picture 8">
          <a:extLst>
            <a:ext uri="{FF2B5EF4-FFF2-40B4-BE49-F238E27FC236}">
              <a16:creationId xmlns:a16="http://schemas.microsoft.com/office/drawing/2014/main" id="{00000000-0008-0000-0000-0000080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943475" y="20440651"/>
          <a:ext cx="7600950" cy="4086224"/>
        </a:xfrm>
        <a:prstGeom prst="rect">
          <a:avLst/>
        </a:prstGeom>
        <a:noFill/>
      </xdr:spPr>
    </xdr:pic>
    <xdr:clientData/>
  </xdr:twoCellAnchor>
  <xdr:twoCellAnchor editAs="oneCell">
    <xdr:from>
      <xdr:col>0</xdr:col>
      <xdr:colOff>0</xdr:colOff>
      <xdr:row>121</xdr:row>
      <xdr:rowOff>47626</xdr:rowOff>
    </xdr:from>
    <xdr:to>
      <xdr:col>22</xdr:col>
      <xdr:colOff>511965</xdr:colOff>
      <xdr:row>147</xdr:row>
      <xdr:rowOff>180977</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0" y="61674376"/>
          <a:ext cx="8601075" cy="5086350"/>
        </a:xfrm>
        <a:prstGeom prst="rect">
          <a:avLst/>
        </a:prstGeom>
        <a:noFill/>
      </xdr:spPr>
    </xdr:pic>
    <xdr:clientData/>
  </xdr:twoCellAnchor>
  <xdr:twoCellAnchor editAs="oneCell">
    <xdr:from>
      <xdr:col>0</xdr:col>
      <xdr:colOff>1</xdr:colOff>
      <xdr:row>148</xdr:row>
      <xdr:rowOff>51954</xdr:rowOff>
    </xdr:from>
    <xdr:to>
      <xdr:col>22</xdr:col>
      <xdr:colOff>488586</xdr:colOff>
      <xdr:row>155</xdr:row>
      <xdr:rowOff>80653</xdr:rowOff>
    </xdr:to>
    <xdr:pic>
      <xdr:nvPicPr>
        <xdr:cNvPr id="3" name="Picture 4">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 y="66917454"/>
          <a:ext cx="8572500" cy="1362199"/>
        </a:xfrm>
        <a:prstGeom prst="rect">
          <a:avLst/>
        </a:prstGeom>
        <a:noFill/>
      </xdr:spPr>
    </xdr:pic>
    <xdr:clientData/>
  </xdr:twoCellAnchor>
  <xdr:twoCellAnchor editAs="oneCell">
    <xdr:from>
      <xdr:col>7</xdr:col>
      <xdr:colOff>1914525</xdr:colOff>
      <xdr:row>121</xdr:row>
      <xdr:rowOff>47625</xdr:rowOff>
    </xdr:from>
    <xdr:to>
      <xdr:col>22</xdr:col>
      <xdr:colOff>487388</xdr:colOff>
      <xdr:row>137</xdr:row>
      <xdr:rowOff>9525</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8829675" y="62179200"/>
          <a:ext cx="4695825" cy="3009900"/>
        </a:xfrm>
        <a:prstGeom prst="rect">
          <a:avLst/>
        </a:prstGeom>
        <a:noFill/>
      </xdr:spPr>
    </xdr:pic>
    <xdr:clientData/>
  </xdr:twoCellAnchor>
  <xdr:twoCellAnchor editAs="oneCell">
    <xdr:from>
      <xdr:col>0</xdr:col>
      <xdr:colOff>28575</xdr:colOff>
      <xdr:row>157</xdr:row>
      <xdr:rowOff>47625</xdr:rowOff>
    </xdr:from>
    <xdr:to>
      <xdr:col>19</xdr:col>
      <xdr:colOff>15517</xdr:colOff>
      <xdr:row>188</xdr:row>
      <xdr:rowOff>66675</xdr:rowOff>
    </xdr:to>
    <xdr:pic>
      <xdr:nvPicPr>
        <xdr:cNvPr id="5" name="Picture 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8575" y="68732400"/>
          <a:ext cx="5086350" cy="5924550"/>
        </a:xfrm>
        <a:prstGeom prst="rect">
          <a:avLst/>
        </a:prstGeom>
        <a:noFill/>
      </xdr:spPr>
    </xdr:pic>
    <xdr:clientData/>
  </xdr:twoCellAnchor>
  <xdr:twoCellAnchor editAs="oneCell">
    <xdr:from>
      <xdr:col>0</xdr:col>
      <xdr:colOff>19050</xdr:colOff>
      <xdr:row>188</xdr:row>
      <xdr:rowOff>95250</xdr:rowOff>
    </xdr:from>
    <xdr:to>
      <xdr:col>19</xdr:col>
      <xdr:colOff>63142</xdr:colOff>
      <xdr:row>195</xdr:row>
      <xdr:rowOff>90775</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9050" y="74685525"/>
          <a:ext cx="5143500" cy="1329025"/>
        </a:xfrm>
        <a:prstGeom prst="rect">
          <a:avLst/>
        </a:prstGeom>
        <a:noFill/>
      </xdr:spPr>
    </xdr:pic>
    <xdr:clientData/>
  </xdr:twoCellAnchor>
  <xdr:twoCellAnchor editAs="oneCell">
    <xdr:from>
      <xdr:col>0</xdr:col>
      <xdr:colOff>1</xdr:colOff>
      <xdr:row>195</xdr:row>
      <xdr:rowOff>85725</xdr:rowOff>
    </xdr:from>
    <xdr:to>
      <xdr:col>9</xdr:col>
      <xdr:colOff>1234723</xdr:colOff>
      <xdr:row>199</xdr:row>
      <xdr:rowOff>111388</xdr:rowOff>
    </xdr:to>
    <xdr:pic>
      <xdr:nvPicPr>
        <xdr:cNvPr id="8" name="Picture 8">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 y="76009500"/>
          <a:ext cx="5067300" cy="787663"/>
        </a:xfrm>
        <a:prstGeom prst="rect">
          <a:avLst/>
        </a:prstGeom>
        <a:noFill/>
      </xdr:spPr>
    </xdr:pic>
    <xdr:clientData/>
  </xdr:twoCellAnchor>
  <xdr:twoCellAnchor editAs="oneCell">
    <xdr:from>
      <xdr:col>7</xdr:col>
      <xdr:colOff>1733550</xdr:colOff>
      <xdr:row>141</xdr:row>
      <xdr:rowOff>76200</xdr:rowOff>
    </xdr:from>
    <xdr:to>
      <xdr:col>23</xdr:col>
      <xdr:colOff>772187</xdr:colOff>
      <xdr:row>158</xdr:row>
      <xdr:rowOff>152399</xdr:rowOff>
    </xdr:to>
    <xdr:pic>
      <xdr:nvPicPr>
        <xdr:cNvPr id="1034" name="Picture 10">
          <a:extLst>
            <a:ext uri="{FF2B5EF4-FFF2-40B4-BE49-F238E27FC236}">
              <a16:creationId xmlns:a16="http://schemas.microsoft.com/office/drawing/2014/main" id="{00000000-0008-0000-0000-00000A04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8648700" y="65760600"/>
          <a:ext cx="5962650" cy="3267075"/>
        </a:xfrm>
        <a:prstGeom prst="rect">
          <a:avLst/>
        </a:prstGeom>
        <a:noFill/>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1:AJ157"/>
  <sheetViews>
    <sheetView tabSelected="1" topLeftCell="A2" zoomScale="90" zoomScaleNormal="90" workbookViewId="0">
      <pane xSplit="6" ySplit="1" topLeftCell="G34" activePane="bottomRight" state="frozen"/>
      <selection activeCell="A2" sqref="A2"/>
      <selection pane="topRight" activeCell="D2" sqref="D2"/>
      <selection pane="bottomLeft" activeCell="A3" sqref="A3"/>
      <selection pane="bottomRight" activeCell="X42" sqref="X42"/>
    </sheetView>
  </sheetViews>
  <sheetFormatPr defaultRowHeight="14.5" x14ac:dyDescent="0.35"/>
  <cols>
    <col min="1" max="1" width="26.7265625" customWidth="1"/>
    <col min="2" max="2" width="10.36328125" customWidth="1"/>
    <col min="3" max="3" width="8" hidden="1" customWidth="1"/>
    <col min="4" max="4" width="9" hidden="1" customWidth="1"/>
    <col min="5" max="5" width="11" customWidth="1"/>
    <col min="6" max="6" width="9.90625" customWidth="1"/>
    <col min="7" max="7" width="8.453125" hidden="1" customWidth="1"/>
    <col min="8" max="8" width="20.1796875" hidden="1" customWidth="1"/>
    <col min="9" max="9" width="26.26953125" hidden="1" customWidth="1"/>
    <col min="10" max="10" width="18.1796875" customWidth="1"/>
    <col min="11" max="11" width="5.54296875" hidden="1" customWidth="1"/>
    <col min="12" max="12" width="6.26953125" hidden="1" customWidth="1"/>
    <col min="13" max="13" width="0.81640625" hidden="1" customWidth="1"/>
    <col min="14" max="14" width="13.54296875" hidden="1" customWidth="1"/>
    <col min="15" max="15" width="10.81640625" hidden="1" customWidth="1"/>
    <col min="16" max="16" width="10.453125" hidden="1" customWidth="1"/>
    <col min="17" max="17" width="5.7265625" hidden="1" customWidth="1"/>
    <col min="18" max="18" width="0.453125" hidden="1" customWidth="1"/>
    <col min="19" max="19" width="25.1796875" hidden="1" customWidth="1"/>
    <col min="20" max="20" width="15" customWidth="1"/>
    <col min="21" max="21" width="15.81640625" customWidth="1"/>
    <col min="22" max="22" width="14.36328125" customWidth="1"/>
    <col min="23" max="23" width="13.81640625" customWidth="1"/>
    <col min="24" max="24" width="13.26953125" customWidth="1"/>
    <col min="25" max="25" width="14.1796875" customWidth="1"/>
    <col min="26" max="27" width="1.453125" hidden="1" customWidth="1"/>
    <col min="28" max="28" width="16.54296875" customWidth="1"/>
    <col min="29" max="29" width="15.26953125" hidden="1" customWidth="1"/>
    <col min="30" max="32" width="18.26953125" hidden="1" customWidth="1"/>
    <col min="33" max="33" width="0.453125" hidden="1" customWidth="1"/>
    <col min="34" max="34" width="7.90625" customWidth="1"/>
    <col min="35" max="35" width="11.26953125" customWidth="1"/>
  </cols>
  <sheetData>
    <row r="1" spans="1:36" ht="15" thickBot="1" x14ac:dyDescent="0.4"/>
    <row r="2" spans="1:36" ht="51.75" customHeight="1" thickTop="1" thickBot="1" x14ac:dyDescent="0.4">
      <c r="A2" s="176" t="s">
        <v>1</v>
      </c>
      <c r="B2" s="177" t="s">
        <v>2</v>
      </c>
      <c r="C2" s="4" t="s">
        <v>3</v>
      </c>
      <c r="D2" s="4" t="s">
        <v>53</v>
      </c>
      <c r="E2" s="177" t="s">
        <v>5</v>
      </c>
      <c r="F2" s="178" t="s">
        <v>52</v>
      </c>
      <c r="G2" s="10" t="s">
        <v>71</v>
      </c>
      <c r="H2" s="97" t="s">
        <v>336</v>
      </c>
      <c r="I2" s="11" t="s">
        <v>15</v>
      </c>
      <c r="J2" s="179" t="s">
        <v>204</v>
      </c>
      <c r="K2" s="27" t="s">
        <v>217</v>
      </c>
      <c r="L2" s="27" t="s">
        <v>218</v>
      </c>
      <c r="M2" s="27" t="s">
        <v>219</v>
      </c>
      <c r="N2" s="36" t="s">
        <v>350</v>
      </c>
      <c r="O2" s="26" t="s">
        <v>349</v>
      </c>
      <c r="P2" s="37" t="s">
        <v>121</v>
      </c>
      <c r="Q2" s="118" t="s">
        <v>208</v>
      </c>
      <c r="R2" s="118" t="s">
        <v>209</v>
      </c>
      <c r="S2" s="145" t="s">
        <v>351</v>
      </c>
      <c r="T2" s="180" t="s">
        <v>367</v>
      </c>
      <c r="U2" s="181" t="s">
        <v>368</v>
      </c>
      <c r="V2" s="182" t="s">
        <v>372</v>
      </c>
      <c r="W2" s="183" t="s">
        <v>348</v>
      </c>
      <c r="X2" s="23" t="s">
        <v>352</v>
      </c>
      <c r="Y2" s="32" t="s">
        <v>353</v>
      </c>
      <c r="Z2" s="30" t="s">
        <v>303</v>
      </c>
      <c r="AA2" s="30" t="s">
        <v>61</v>
      </c>
      <c r="AB2" s="62" t="s">
        <v>354</v>
      </c>
      <c r="AC2" s="62" t="s">
        <v>62</v>
      </c>
      <c r="AD2" s="63" t="s">
        <v>63</v>
      </c>
      <c r="AE2" s="63" t="s">
        <v>64</v>
      </c>
      <c r="AF2" s="63" t="s">
        <v>65</v>
      </c>
      <c r="AG2" s="63" t="s">
        <v>66</v>
      </c>
      <c r="AH2" s="22" t="s">
        <v>0</v>
      </c>
      <c r="AI2" s="1"/>
    </row>
    <row r="3" spans="1:36" ht="91.5" hidden="1" customHeight="1" thickTop="1" x14ac:dyDescent="0.35">
      <c r="A3" s="168" t="s">
        <v>12</v>
      </c>
      <c r="B3" s="169" t="s">
        <v>26</v>
      </c>
      <c r="C3" s="42" t="s">
        <v>16</v>
      </c>
      <c r="D3" s="43" t="s">
        <v>54</v>
      </c>
      <c r="E3" s="170" t="s">
        <v>6</v>
      </c>
      <c r="F3" s="171" t="s">
        <v>7</v>
      </c>
      <c r="G3" s="44" t="s">
        <v>27</v>
      </c>
      <c r="H3" s="45" t="s">
        <v>17</v>
      </c>
      <c r="I3" s="44" t="s">
        <v>19</v>
      </c>
      <c r="J3" s="172">
        <v>26</v>
      </c>
      <c r="K3" s="46">
        <v>1.17</v>
      </c>
      <c r="L3" s="46">
        <v>1.08</v>
      </c>
      <c r="M3" s="46">
        <v>1.01</v>
      </c>
      <c r="N3" s="46" t="s">
        <v>37</v>
      </c>
      <c r="O3" s="47" t="s">
        <v>38</v>
      </c>
      <c r="P3" s="47" t="s">
        <v>24</v>
      </c>
      <c r="Q3" s="43" t="s">
        <v>211</v>
      </c>
      <c r="R3" s="47"/>
      <c r="S3" s="47"/>
      <c r="T3" s="173"/>
      <c r="U3" s="174">
        <f t="shared" ref="U3:U13" si="0">T3-AI3</f>
        <v>0</v>
      </c>
      <c r="V3" s="175">
        <f>PRODUCT(U3,0.5)+PRODUCT(U3,5.5)</f>
        <v>0</v>
      </c>
      <c r="W3" s="175">
        <f>PRODUCT(U3,6.52)</f>
        <v>0</v>
      </c>
      <c r="X3" s="121" t="e">
        <f xml:space="preserve"> V3/#REF!</f>
        <v>#REF!</v>
      </c>
      <c r="Y3" s="123" t="e">
        <f xml:space="preserve"> W3/#REF!</f>
        <v>#REF!</v>
      </c>
      <c r="Z3" s="122"/>
      <c r="AA3" s="125"/>
      <c r="AB3" s="126"/>
      <c r="AC3" s="127"/>
      <c r="AD3" s="128"/>
      <c r="AE3" s="124"/>
      <c r="AF3" s="128"/>
      <c r="AG3" s="124"/>
      <c r="AH3" s="21"/>
      <c r="AI3" s="5">
        <f t="shared" ref="AI3:AI14" si="1">AH3*T3</f>
        <v>0</v>
      </c>
    </row>
    <row r="4" spans="1:36" ht="94.5" hidden="1" customHeight="1" x14ac:dyDescent="0.35">
      <c r="A4" s="40" t="s">
        <v>13</v>
      </c>
      <c r="B4" s="41" t="s">
        <v>25</v>
      </c>
      <c r="C4" s="42" t="s">
        <v>16</v>
      </c>
      <c r="D4" s="43" t="s">
        <v>54</v>
      </c>
      <c r="E4" s="42" t="s">
        <v>6</v>
      </c>
      <c r="F4" s="43" t="s">
        <v>7</v>
      </c>
      <c r="G4" s="44" t="s">
        <v>27</v>
      </c>
      <c r="H4" s="45" t="s">
        <v>17</v>
      </c>
      <c r="I4" s="44" t="s">
        <v>19</v>
      </c>
      <c r="J4" s="107">
        <v>26</v>
      </c>
      <c r="K4" s="46">
        <v>1.17</v>
      </c>
      <c r="L4" s="46">
        <v>1.08</v>
      </c>
      <c r="M4" s="46">
        <v>1.01</v>
      </c>
      <c r="N4" s="46" t="s">
        <v>37</v>
      </c>
      <c r="O4" s="47" t="s">
        <v>38</v>
      </c>
      <c r="P4" s="47" t="s">
        <v>24</v>
      </c>
      <c r="Q4" s="43" t="s">
        <v>211</v>
      </c>
      <c r="R4" s="47"/>
      <c r="S4" s="47"/>
      <c r="T4" s="48"/>
      <c r="U4" s="49">
        <f t="shared" si="0"/>
        <v>0</v>
      </c>
      <c r="V4" s="50">
        <f>PRODUCT(U4,0.5)+PRODUCT(U4,5.5)</f>
        <v>0</v>
      </c>
      <c r="W4" s="50">
        <f>PRODUCT(U4,6.52)</f>
        <v>0</v>
      </c>
      <c r="X4" s="122" t="e">
        <f xml:space="preserve"> V4/#REF!</f>
        <v>#REF!</v>
      </c>
      <c r="Y4" s="124" t="e">
        <f xml:space="preserve"> W4/#REF!</f>
        <v>#REF!</v>
      </c>
      <c r="Z4" s="19"/>
      <c r="AA4" s="68"/>
      <c r="AB4" s="71"/>
      <c r="AC4" s="69"/>
      <c r="AD4" s="70"/>
      <c r="AE4" s="31"/>
      <c r="AF4" s="70"/>
      <c r="AG4" s="31"/>
      <c r="AH4" s="21"/>
      <c r="AI4" s="5">
        <f t="shared" si="1"/>
        <v>0</v>
      </c>
    </row>
    <row r="5" spans="1:36" ht="90.75" hidden="1" customHeight="1" x14ac:dyDescent="0.35">
      <c r="A5" s="40" t="s">
        <v>14</v>
      </c>
      <c r="B5" s="41" t="s">
        <v>28</v>
      </c>
      <c r="C5" s="42" t="s">
        <v>16</v>
      </c>
      <c r="D5" s="43" t="s">
        <v>54</v>
      </c>
      <c r="E5" s="42" t="s">
        <v>6</v>
      </c>
      <c r="F5" s="43" t="s">
        <v>7</v>
      </c>
      <c r="G5" s="44" t="s">
        <v>27</v>
      </c>
      <c r="H5" s="45" t="s">
        <v>17</v>
      </c>
      <c r="I5" s="44" t="s">
        <v>19</v>
      </c>
      <c r="J5" s="107">
        <v>26</v>
      </c>
      <c r="K5" s="46">
        <v>1.17</v>
      </c>
      <c r="L5" s="46">
        <v>1.08</v>
      </c>
      <c r="M5" s="46">
        <v>1.01</v>
      </c>
      <c r="N5" s="46" t="s">
        <v>37</v>
      </c>
      <c r="O5" s="47" t="s">
        <v>38</v>
      </c>
      <c r="P5" s="47" t="s">
        <v>24</v>
      </c>
      <c r="Q5" s="43" t="s">
        <v>211</v>
      </c>
      <c r="R5" s="47"/>
      <c r="S5" s="47"/>
      <c r="T5" s="52"/>
      <c r="U5" s="49">
        <f t="shared" si="0"/>
        <v>0</v>
      </c>
      <c r="V5" s="50">
        <f>PRODUCT(U5,0.5)+PRODUCT(U5,5.5)</f>
        <v>0</v>
      </c>
      <c r="W5" s="50">
        <f>PRODUCT(U5,6.52)</f>
        <v>0</v>
      </c>
      <c r="X5" s="19" t="e">
        <f xml:space="preserve"> V5/#REF!</f>
        <v>#REF!</v>
      </c>
      <c r="Y5" s="31" t="e">
        <f xml:space="preserve"> W5/#REF!</f>
        <v>#REF!</v>
      </c>
      <c r="Z5" s="19"/>
      <c r="AA5" s="68"/>
      <c r="AB5" s="71"/>
      <c r="AC5" s="69"/>
      <c r="AD5" s="70"/>
      <c r="AE5" s="31"/>
      <c r="AF5" s="70"/>
      <c r="AG5" s="31"/>
      <c r="AH5" s="21"/>
      <c r="AI5" s="5">
        <f t="shared" si="1"/>
        <v>0</v>
      </c>
      <c r="AJ5" s="9"/>
    </row>
    <row r="6" spans="1:36" ht="93" hidden="1" customHeight="1" x14ac:dyDescent="0.35">
      <c r="A6" s="40" t="s">
        <v>31</v>
      </c>
      <c r="B6" s="41" t="s">
        <v>20</v>
      </c>
      <c r="C6" s="42" t="s">
        <v>29</v>
      </c>
      <c r="D6" s="43" t="s">
        <v>54</v>
      </c>
      <c r="E6" s="42" t="s">
        <v>6</v>
      </c>
      <c r="F6" s="43" t="s">
        <v>30</v>
      </c>
      <c r="G6" s="53" t="s">
        <v>33</v>
      </c>
      <c r="H6" s="45" t="s">
        <v>17</v>
      </c>
      <c r="I6" s="53" t="s">
        <v>227</v>
      </c>
      <c r="J6" s="108">
        <v>46</v>
      </c>
      <c r="K6" s="51">
        <v>1.43</v>
      </c>
      <c r="L6" s="51">
        <v>1.17</v>
      </c>
      <c r="M6" s="51">
        <v>1.02</v>
      </c>
      <c r="N6" s="46" t="s">
        <v>37</v>
      </c>
      <c r="O6" s="47" t="s">
        <v>39</v>
      </c>
      <c r="P6" s="47" t="s">
        <v>40</v>
      </c>
      <c r="Q6" s="43" t="s">
        <v>211</v>
      </c>
      <c r="R6" s="47"/>
      <c r="S6" s="41" t="s">
        <v>299</v>
      </c>
      <c r="T6" s="48">
        <v>14609.6</v>
      </c>
      <c r="U6" s="49">
        <f t="shared" si="0"/>
        <v>14609.6</v>
      </c>
      <c r="V6" s="50">
        <f>PRODUCT(U6,11.2)</f>
        <v>163627.51999999999</v>
      </c>
      <c r="W6" s="50">
        <f>PRODUCT(U6,12.13)</f>
        <v>177214.448</v>
      </c>
      <c r="X6" s="19">
        <f xml:space="preserve"> V6/V11</f>
        <v>27.143505140738956</v>
      </c>
      <c r="Y6" s="31">
        <f xml:space="preserve"> W6/W11</f>
        <v>29.397385478318178</v>
      </c>
      <c r="Z6" s="19"/>
      <c r="AA6" s="68"/>
      <c r="AB6" s="71">
        <f xml:space="preserve"> PRODUCT(Y6,46/46)</f>
        <v>29.397385478318178</v>
      </c>
      <c r="AC6" s="69"/>
      <c r="AD6" s="70"/>
      <c r="AE6" s="31"/>
      <c r="AF6" s="70"/>
      <c r="AG6" s="31"/>
      <c r="AH6" s="20"/>
      <c r="AI6" s="5">
        <f t="shared" si="1"/>
        <v>0</v>
      </c>
      <c r="AJ6" s="9"/>
    </row>
    <row r="7" spans="1:36" ht="39.75" hidden="1" customHeight="1" x14ac:dyDescent="0.35">
      <c r="A7" s="74" t="s">
        <v>99</v>
      </c>
      <c r="B7" s="75" t="s">
        <v>102</v>
      </c>
      <c r="C7" s="76" t="s">
        <v>89</v>
      </c>
      <c r="D7" s="77" t="s">
        <v>341</v>
      </c>
      <c r="E7" s="76" t="s">
        <v>6</v>
      </c>
      <c r="F7" s="77" t="s">
        <v>88</v>
      </c>
      <c r="G7" s="78" t="s">
        <v>91</v>
      </c>
      <c r="H7" s="38" t="s">
        <v>45</v>
      </c>
      <c r="I7" s="79" t="s">
        <v>92</v>
      </c>
      <c r="J7" s="111">
        <v>43</v>
      </c>
      <c r="K7" s="80">
        <v>1.29</v>
      </c>
      <c r="L7" s="80">
        <v>1.1399999999999999</v>
      </c>
      <c r="M7" s="80">
        <v>1.04</v>
      </c>
      <c r="N7" s="80" t="s">
        <v>36</v>
      </c>
      <c r="O7" s="79" t="s">
        <v>100</v>
      </c>
      <c r="P7" s="79" t="s">
        <v>101</v>
      </c>
      <c r="Q7" s="81"/>
      <c r="R7" s="79"/>
      <c r="S7" s="79"/>
      <c r="T7" s="82"/>
      <c r="U7" s="83">
        <f t="shared" si="0"/>
        <v>0</v>
      </c>
      <c r="V7" s="84">
        <f>PRODUCT(U7,6.5)</f>
        <v>0</v>
      </c>
      <c r="W7" s="84">
        <f>PRODUCT(U7,6.5)</f>
        <v>0</v>
      </c>
      <c r="X7" s="19" t="e">
        <f xml:space="preserve"> V7/#REF!</f>
        <v>#REF!</v>
      </c>
      <c r="Y7" s="31" t="e">
        <f xml:space="preserve"> W7/#REF!</f>
        <v>#REF!</v>
      </c>
      <c r="Z7" s="19"/>
      <c r="AA7" s="68"/>
      <c r="AB7" s="71"/>
      <c r="AC7" s="69"/>
      <c r="AD7" s="70"/>
      <c r="AE7" s="31"/>
      <c r="AF7" s="70"/>
      <c r="AG7" s="31"/>
      <c r="AH7" s="21"/>
      <c r="AI7" s="5">
        <f t="shared" si="1"/>
        <v>0</v>
      </c>
    </row>
    <row r="8" spans="1:36" ht="38.25" hidden="1" customHeight="1" x14ac:dyDescent="0.35">
      <c r="A8" s="74" t="s">
        <v>105</v>
      </c>
      <c r="B8" s="75" t="s">
        <v>106</v>
      </c>
      <c r="C8" s="76" t="s">
        <v>89</v>
      </c>
      <c r="D8" s="77" t="s">
        <v>341</v>
      </c>
      <c r="E8" s="76" t="s">
        <v>6</v>
      </c>
      <c r="F8" s="77" t="s">
        <v>88</v>
      </c>
      <c r="G8" s="78" t="s">
        <v>91</v>
      </c>
      <c r="H8" s="38" t="s">
        <v>45</v>
      </c>
      <c r="I8" s="79" t="s">
        <v>92</v>
      </c>
      <c r="J8" s="111">
        <v>43</v>
      </c>
      <c r="K8" s="80">
        <v>1.29</v>
      </c>
      <c r="L8" s="80">
        <v>1.1399999999999999</v>
      </c>
      <c r="M8" s="80">
        <v>1.04</v>
      </c>
      <c r="N8" s="80" t="s">
        <v>36</v>
      </c>
      <c r="O8" s="79" t="s">
        <v>100</v>
      </c>
      <c r="P8" s="79" t="s">
        <v>101</v>
      </c>
      <c r="Q8" s="81"/>
      <c r="R8" s="79"/>
      <c r="S8" s="79"/>
      <c r="T8" s="82"/>
      <c r="U8" s="83">
        <f t="shared" si="0"/>
        <v>0</v>
      </c>
      <c r="V8" s="84">
        <f>PRODUCT(U8,3.03)</f>
        <v>0</v>
      </c>
      <c r="W8" s="84">
        <f>PRODUCT(U8,3.03)</f>
        <v>0</v>
      </c>
      <c r="X8" s="19" t="e">
        <f xml:space="preserve"> V8/#REF!</f>
        <v>#REF!</v>
      </c>
      <c r="Y8" s="31" t="e">
        <f xml:space="preserve"> W8/#REF!</f>
        <v>#REF!</v>
      </c>
      <c r="Z8" s="19"/>
      <c r="AA8" s="68"/>
      <c r="AB8" s="71"/>
      <c r="AC8" s="69"/>
      <c r="AD8" s="70"/>
      <c r="AE8" s="31"/>
      <c r="AF8" s="70"/>
      <c r="AG8" s="31"/>
      <c r="AH8" s="21"/>
      <c r="AI8" s="5">
        <f t="shared" si="1"/>
        <v>0</v>
      </c>
    </row>
    <row r="9" spans="1:36" ht="42.75" hidden="1" customHeight="1" x14ac:dyDescent="0.35">
      <c r="A9" s="74" t="s">
        <v>107</v>
      </c>
      <c r="B9" s="75" t="s">
        <v>108</v>
      </c>
      <c r="C9" s="76" t="s">
        <v>89</v>
      </c>
      <c r="D9" s="77" t="s">
        <v>341</v>
      </c>
      <c r="E9" s="76" t="s">
        <v>6</v>
      </c>
      <c r="F9" s="77" t="s">
        <v>88</v>
      </c>
      <c r="G9" s="78" t="s">
        <v>91</v>
      </c>
      <c r="H9" s="38" t="s">
        <v>45</v>
      </c>
      <c r="I9" s="79" t="s">
        <v>92</v>
      </c>
      <c r="J9" s="111">
        <v>43</v>
      </c>
      <c r="K9" s="80">
        <v>1.29</v>
      </c>
      <c r="L9" s="80">
        <v>1.1399999999999999</v>
      </c>
      <c r="M9" s="80">
        <v>1.04</v>
      </c>
      <c r="N9" s="80" t="s">
        <v>36</v>
      </c>
      <c r="O9" s="79" t="s">
        <v>100</v>
      </c>
      <c r="P9" s="79" t="s">
        <v>101</v>
      </c>
      <c r="Q9" s="81"/>
      <c r="R9" s="79"/>
      <c r="S9" s="79"/>
      <c r="T9" s="82"/>
      <c r="U9" s="83">
        <f t="shared" si="0"/>
        <v>0</v>
      </c>
      <c r="V9" s="84">
        <f>PRODUCT(U9,6.5)</f>
        <v>0</v>
      </c>
      <c r="W9" s="84">
        <f>PRODUCT(U9,6.5)</f>
        <v>0</v>
      </c>
      <c r="X9" s="19" t="e">
        <f xml:space="preserve"> V9/#REF!</f>
        <v>#REF!</v>
      </c>
      <c r="Y9" s="31" t="e">
        <f xml:space="preserve"> W9/#REF!</f>
        <v>#REF!</v>
      </c>
      <c r="Z9" s="19"/>
      <c r="AA9" s="68"/>
      <c r="AB9" s="71"/>
      <c r="AC9" s="69"/>
      <c r="AD9" s="70"/>
      <c r="AE9" s="31"/>
      <c r="AF9" s="70"/>
      <c r="AG9" s="31"/>
      <c r="AH9" s="21"/>
      <c r="AI9" s="5">
        <f t="shared" si="1"/>
        <v>0</v>
      </c>
    </row>
    <row r="10" spans="1:36" ht="35.25" hidden="1" customHeight="1" x14ac:dyDescent="0.35">
      <c r="A10" s="74" t="s">
        <v>109</v>
      </c>
      <c r="B10" s="75" t="s">
        <v>110</v>
      </c>
      <c r="C10" s="76" t="s">
        <v>89</v>
      </c>
      <c r="D10" s="77" t="s">
        <v>341</v>
      </c>
      <c r="E10" s="76" t="s">
        <v>6</v>
      </c>
      <c r="F10" s="77" t="s">
        <v>88</v>
      </c>
      <c r="G10" s="78" t="s">
        <v>91</v>
      </c>
      <c r="H10" s="38" t="s">
        <v>45</v>
      </c>
      <c r="I10" s="79" t="s">
        <v>92</v>
      </c>
      <c r="J10" s="111">
        <v>43</v>
      </c>
      <c r="K10" s="80">
        <v>1.29</v>
      </c>
      <c r="L10" s="80">
        <v>1.1399999999999999</v>
      </c>
      <c r="M10" s="80">
        <v>1.04</v>
      </c>
      <c r="N10" s="80" t="s">
        <v>36</v>
      </c>
      <c r="O10" s="79" t="s">
        <v>111</v>
      </c>
      <c r="P10" s="79" t="s">
        <v>101</v>
      </c>
      <c r="Q10" s="81"/>
      <c r="R10" s="79"/>
      <c r="S10" s="79"/>
      <c r="T10" s="82"/>
      <c r="U10" s="83">
        <f t="shared" si="0"/>
        <v>0</v>
      </c>
      <c r="V10" s="84">
        <f>PRODUCT(U10,4.33)</f>
        <v>0</v>
      </c>
      <c r="W10" s="84">
        <f>PRODUCT(U10,4.33)</f>
        <v>0</v>
      </c>
      <c r="X10" s="19" t="e">
        <f xml:space="preserve"> V10/#REF!</f>
        <v>#REF!</v>
      </c>
      <c r="Y10" s="31" t="e">
        <f xml:space="preserve"> W10/#REF!</f>
        <v>#REF!</v>
      </c>
      <c r="Z10" s="19"/>
      <c r="AA10" s="68"/>
      <c r="AB10" s="71"/>
      <c r="AC10" s="69"/>
      <c r="AD10" s="70"/>
      <c r="AE10" s="31"/>
      <c r="AF10" s="70"/>
      <c r="AG10" s="31"/>
      <c r="AH10" s="21"/>
      <c r="AI10" s="5">
        <f t="shared" si="1"/>
        <v>0</v>
      </c>
    </row>
    <row r="11" spans="1:36" ht="59.25" hidden="1" customHeight="1" x14ac:dyDescent="0.35">
      <c r="A11" s="74" t="s">
        <v>94</v>
      </c>
      <c r="B11" s="75" t="s">
        <v>76</v>
      </c>
      <c r="C11" s="76" t="s">
        <v>67</v>
      </c>
      <c r="D11" s="77" t="s">
        <v>341</v>
      </c>
      <c r="E11" s="76" t="s">
        <v>6</v>
      </c>
      <c r="F11" s="77" t="s">
        <v>69</v>
      </c>
      <c r="G11" s="78" t="s">
        <v>72</v>
      </c>
      <c r="H11" s="77" t="s">
        <v>70</v>
      </c>
      <c r="I11" s="79" t="s">
        <v>73</v>
      </c>
      <c r="J11" s="111">
        <v>46</v>
      </c>
      <c r="K11" s="80">
        <v>1.55</v>
      </c>
      <c r="L11" s="80">
        <v>1.28</v>
      </c>
      <c r="M11" s="80">
        <v>1.08</v>
      </c>
      <c r="N11" s="80" t="s">
        <v>37</v>
      </c>
      <c r="O11" s="79" t="s">
        <v>74</v>
      </c>
      <c r="P11" s="79" t="s">
        <v>75</v>
      </c>
      <c r="Q11" s="81" t="s">
        <v>212</v>
      </c>
      <c r="R11" s="79"/>
      <c r="S11" s="137" t="s">
        <v>294</v>
      </c>
      <c r="T11" s="82">
        <v>993.12</v>
      </c>
      <c r="U11" s="83">
        <f t="shared" si="0"/>
        <v>993.12</v>
      </c>
      <c r="V11" s="134">
        <f>PRODUCT(U11,6.07)</f>
        <v>6028.2384000000002</v>
      </c>
      <c r="W11" s="134">
        <f>PRODUCT(U11,6.07)</f>
        <v>6028.2384000000002</v>
      </c>
      <c r="X11" s="148">
        <v>1</v>
      </c>
      <c r="Y11" s="149">
        <v>1</v>
      </c>
      <c r="Z11" s="19"/>
      <c r="AA11" s="68"/>
      <c r="AB11" s="147">
        <v>1</v>
      </c>
      <c r="AC11" s="69"/>
      <c r="AD11" s="147">
        <v>1</v>
      </c>
      <c r="AE11" s="31"/>
      <c r="AF11" s="70"/>
      <c r="AG11" s="31"/>
      <c r="AH11" s="21"/>
      <c r="AI11" s="5">
        <f t="shared" si="1"/>
        <v>0</v>
      </c>
    </row>
    <row r="12" spans="1:36" ht="63" hidden="1" customHeight="1" x14ac:dyDescent="0.35">
      <c r="A12" s="40" t="s">
        <v>10</v>
      </c>
      <c r="B12" s="41" t="s">
        <v>21</v>
      </c>
      <c r="C12" s="42" t="s">
        <v>16</v>
      </c>
      <c r="D12" s="43" t="s">
        <v>54</v>
      </c>
      <c r="E12" s="42" t="s">
        <v>6</v>
      </c>
      <c r="F12" s="43" t="s">
        <v>7</v>
      </c>
      <c r="G12" s="44" t="s">
        <v>27</v>
      </c>
      <c r="H12" s="45" t="s">
        <v>17</v>
      </c>
      <c r="I12" s="44" t="s">
        <v>19</v>
      </c>
      <c r="J12" s="107">
        <v>26</v>
      </c>
      <c r="K12" s="46">
        <v>1.17</v>
      </c>
      <c r="L12" s="46">
        <v>1.08</v>
      </c>
      <c r="M12" s="46">
        <v>1.01</v>
      </c>
      <c r="N12" s="46" t="s">
        <v>37</v>
      </c>
      <c r="O12" s="47" t="s">
        <v>38</v>
      </c>
      <c r="P12" s="47" t="s">
        <v>24</v>
      </c>
      <c r="Q12" s="43" t="s">
        <v>211</v>
      </c>
      <c r="R12" s="47"/>
      <c r="S12" s="42" t="s">
        <v>309</v>
      </c>
      <c r="T12" s="48">
        <v>1809.91</v>
      </c>
      <c r="U12" s="49">
        <f t="shared" si="0"/>
        <v>1809.91</v>
      </c>
      <c r="V12" s="50">
        <f>PRODUCT(U12,0.5)+PRODUCT(U12,5.5)</f>
        <v>10859.460000000001</v>
      </c>
      <c r="W12" s="50">
        <f>PRODUCT(U12,6.52)</f>
        <v>11800.6132</v>
      </c>
      <c r="X12" s="19">
        <f xml:space="preserve"> V12/V11</f>
        <v>1.8014317416510934</v>
      </c>
      <c r="Y12" s="31">
        <f xml:space="preserve"> W12/W11</f>
        <v>1.9575558259275212</v>
      </c>
      <c r="Z12" s="19">
        <f xml:space="preserve"> PRODUCT(X12,46/26)</f>
        <v>3.1871484659980882</v>
      </c>
      <c r="AA12" s="146"/>
      <c r="AB12" s="71">
        <f xml:space="preserve"> PRODUCT(Y12,46/26)</f>
        <v>3.4633679997179221</v>
      </c>
      <c r="AC12" s="69"/>
      <c r="AD12" s="71">
        <f xml:space="preserve"> PRODUCT(Y12,1.28/1.08)</f>
        <v>2.3200661640622471</v>
      </c>
      <c r="AE12" s="31"/>
      <c r="AF12" s="70"/>
      <c r="AG12" s="31"/>
      <c r="AH12" s="20"/>
      <c r="AI12" s="5">
        <f t="shared" si="1"/>
        <v>0</v>
      </c>
    </row>
    <row r="13" spans="1:36" ht="65.25" hidden="1" customHeight="1" x14ac:dyDescent="0.35">
      <c r="A13" s="40" t="s">
        <v>11</v>
      </c>
      <c r="B13" s="41" t="s">
        <v>25</v>
      </c>
      <c r="C13" s="42" t="s">
        <v>16</v>
      </c>
      <c r="D13" s="43" t="s">
        <v>54</v>
      </c>
      <c r="E13" s="42" t="s">
        <v>6</v>
      </c>
      <c r="F13" s="43" t="s">
        <v>7</v>
      </c>
      <c r="G13" s="44" t="s">
        <v>27</v>
      </c>
      <c r="H13" s="45" t="s">
        <v>17</v>
      </c>
      <c r="I13" s="44" t="s">
        <v>19</v>
      </c>
      <c r="J13" s="107">
        <v>26</v>
      </c>
      <c r="K13" s="46">
        <v>1.17</v>
      </c>
      <c r="L13" s="46">
        <v>1.08</v>
      </c>
      <c r="M13" s="46">
        <v>1.01</v>
      </c>
      <c r="N13" s="46" t="s">
        <v>37</v>
      </c>
      <c r="O13" s="47" t="s">
        <v>38</v>
      </c>
      <c r="P13" s="47" t="s">
        <v>24</v>
      </c>
      <c r="Q13" s="43" t="s">
        <v>211</v>
      </c>
      <c r="R13" s="42"/>
      <c r="S13" s="138" t="s">
        <v>295</v>
      </c>
      <c r="T13" s="48">
        <v>2231.94</v>
      </c>
      <c r="U13" s="49">
        <f t="shared" si="0"/>
        <v>2231.94</v>
      </c>
      <c r="V13" s="50">
        <f>PRODUCT(U13,0.5)+PRODUCT(U13,5.5)</f>
        <v>13391.64</v>
      </c>
      <c r="W13" s="50">
        <f>PRODUCT(U13,6.52)</f>
        <v>14552.248799999999</v>
      </c>
      <c r="X13" s="19">
        <f xml:space="preserve"> V13/V11</f>
        <v>2.2214848039188362</v>
      </c>
      <c r="Y13" s="31">
        <f xml:space="preserve"> W13/W11</f>
        <v>2.4140134869251355</v>
      </c>
      <c r="Z13" s="19">
        <f xml:space="preserve"> PRODUCT(X13,46/26)</f>
        <v>3.9303192684717869</v>
      </c>
      <c r="AA13" s="68"/>
      <c r="AB13" s="71">
        <f xml:space="preserve"> PRODUCT(Y13,46/26)</f>
        <v>4.2709469384060093</v>
      </c>
      <c r="AC13" s="69"/>
      <c r="AD13" s="70"/>
      <c r="AE13" s="31"/>
      <c r="AF13" s="70"/>
      <c r="AG13" s="31"/>
      <c r="AH13" s="21"/>
      <c r="AI13" s="5">
        <f t="shared" si="1"/>
        <v>0</v>
      </c>
    </row>
    <row r="14" spans="1:36" ht="160.5" hidden="1" customHeight="1" x14ac:dyDescent="0.35">
      <c r="A14" s="15" t="s">
        <v>310</v>
      </c>
      <c r="B14" s="39" t="s">
        <v>311</v>
      </c>
      <c r="C14" s="3" t="s">
        <v>67</v>
      </c>
      <c r="D14" s="25" t="s">
        <v>55</v>
      </c>
      <c r="E14" s="3" t="s">
        <v>6</v>
      </c>
      <c r="F14" s="25" t="s">
        <v>249</v>
      </c>
      <c r="G14" s="13" t="s">
        <v>306</v>
      </c>
      <c r="H14" s="25" t="s">
        <v>155</v>
      </c>
      <c r="I14" s="106" t="s">
        <v>250</v>
      </c>
      <c r="J14" s="116" t="s">
        <v>197</v>
      </c>
      <c r="K14" s="28" t="s">
        <v>224</v>
      </c>
      <c r="L14" s="28" t="s">
        <v>225</v>
      </c>
      <c r="M14" s="28" t="s">
        <v>226</v>
      </c>
      <c r="N14" s="72" t="s">
        <v>188</v>
      </c>
      <c r="O14" s="105" t="s">
        <v>180</v>
      </c>
      <c r="P14" s="105" t="s">
        <v>180</v>
      </c>
      <c r="Q14" s="105"/>
      <c r="R14" s="105" t="s">
        <v>260</v>
      </c>
      <c r="S14" s="140" t="s">
        <v>296</v>
      </c>
      <c r="T14" s="102" t="s">
        <v>312</v>
      </c>
      <c r="U14" s="102" t="s">
        <v>312</v>
      </c>
      <c r="V14" s="18">
        <f>PRODUCT(2231.94,6)+PRODUCT(993.12,6.07)</f>
        <v>19419.878400000001</v>
      </c>
      <c r="W14" s="18">
        <f>PRODUCT(2231.94,6.52)+PRODUCT(993.12,6.07)</f>
        <v>20580.4872</v>
      </c>
      <c r="X14" s="19">
        <f xml:space="preserve"> V14/V11</f>
        <v>3.2214848039188366</v>
      </c>
      <c r="Y14" s="31">
        <f xml:space="preserve"> W14/W11</f>
        <v>3.4140134869251355</v>
      </c>
      <c r="Z14" s="19"/>
      <c r="AA14" s="68"/>
      <c r="AB14" s="71">
        <f xml:space="preserve"> PRODUCT(Y14,46/53)</f>
        <v>2.963106045255778</v>
      </c>
      <c r="AC14" s="69" t="s">
        <v>305</v>
      </c>
      <c r="AD14" s="70"/>
      <c r="AE14" s="31"/>
      <c r="AF14" s="70"/>
      <c r="AG14" s="31"/>
      <c r="AH14" s="21"/>
      <c r="AI14" s="5" t="e">
        <f t="shared" si="1"/>
        <v>#VALUE!</v>
      </c>
    </row>
    <row r="15" spans="1:36" ht="57.75" hidden="1" customHeight="1" x14ac:dyDescent="0.35">
      <c r="A15" s="40" t="s">
        <v>8</v>
      </c>
      <c r="B15" s="41" t="s">
        <v>18</v>
      </c>
      <c r="C15" s="42" t="s">
        <v>16</v>
      </c>
      <c r="D15" s="43" t="s">
        <v>54</v>
      </c>
      <c r="E15" s="42" t="s">
        <v>6</v>
      </c>
      <c r="F15" s="43" t="s">
        <v>7</v>
      </c>
      <c r="G15" s="44" t="s">
        <v>27</v>
      </c>
      <c r="H15" s="45" t="s">
        <v>17</v>
      </c>
      <c r="I15" s="44" t="s">
        <v>19</v>
      </c>
      <c r="J15" s="107">
        <v>26</v>
      </c>
      <c r="K15" s="46">
        <v>1.17</v>
      </c>
      <c r="L15" s="46">
        <v>1.08</v>
      </c>
      <c r="M15" s="46">
        <v>1.01</v>
      </c>
      <c r="N15" s="46" t="s">
        <v>37</v>
      </c>
      <c r="O15" s="47" t="s">
        <v>38</v>
      </c>
      <c r="P15" s="47" t="s">
        <v>24</v>
      </c>
      <c r="Q15" s="43" t="s">
        <v>211</v>
      </c>
      <c r="R15" s="47"/>
      <c r="S15" s="42" t="s">
        <v>309</v>
      </c>
      <c r="T15" s="48">
        <v>2772.02</v>
      </c>
      <c r="U15" s="49">
        <f t="shared" ref="U15:U21" si="2">T15-AI15</f>
        <v>2772.02</v>
      </c>
      <c r="V15" s="50">
        <f>PRODUCT(U15,0.5)+PRODUCT(U15,5.5)</f>
        <v>16632.12</v>
      </c>
      <c r="W15" s="50">
        <f>PRODUCT(U15,6.52)</f>
        <v>18073.570399999997</v>
      </c>
      <c r="X15" s="19">
        <f xml:space="preserve"> V15/V11</f>
        <v>2.7590348782490084</v>
      </c>
      <c r="Y15" s="31">
        <f xml:space="preserve"> W15/W11</f>
        <v>2.9981512343639225</v>
      </c>
      <c r="Z15" s="129"/>
      <c r="AA15" s="130"/>
      <c r="AB15" s="71">
        <f t="shared" ref="AB15:AB16" si="3" xml:space="preserve"> PRODUCT(Y15,46/26)</f>
        <v>5.3044214146438629</v>
      </c>
      <c r="AC15" s="131"/>
      <c r="AD15" s="132"/>
      <c r="AE15" s="133"/>
      <c r="AF15" s="132"/>
      <c r="AG15" s="133"/>
      <c r="AH15" s="20"/>
      <c r="AI15" s="5"/>
    </row>
    <row r="16" spans="1:36" ht="57" hidden="1" customHeight="1" x14ac:dyDescent="0.35">
      <c r="A16" s="40" t="s">
        <v>9</v>
      </c>
      <c r="B16" s="41" t="s">
        <v>20</v>
      </c>
      <c r="C16" s="42" t="s">
        <v>16</v>
      </c>
      <c r="D16" s="43" t="s">
        <v>54</v>
      </c>
      <c r="E16" s="42" t="s">
        <v>6</v>
      </c>
      <c r="F16" s="43" t="s">
        <v>7</v>
      </c>
      <c r="G16" s="44" t="s">
        <v>27</v>
      </c>
      <c r="H16" s="45" t="s">
        <v>17</v>
      </c>
      <c r="I16" s="44" t="s">
        <v>19</v>
      </c>
      <c r="J16" s="107">
        <v>26</v>
      </c>
      <c r="K16" s="46">
        <v>1.17</v>
      </c>
      <c r="L16" s="46">
        <v>1.08</v>
      </c>
      <c r="M16" s="46">
        <v>1.01</v>
      </c>
      <c r="N16" s="46" t="s">
        <v>37</v>
      </c>
      <c r="O16" s="47" t="s">
        <v>38</v>
      </c>
      <c r="P16" s="47" t="s">
        <v>24</v>
      </c>
      <c r="Q16" s="43" t="s">
        <v>211</v>
      </c>
      <c r="R16" s="47"/>
      <c r="S16" s="42" t="s">
        <v>309</v>
      </c>
      <c r="T16" s="48">
        <v>4483.6000000000004</v>
      </c>
      <c r="U16" s="49">
        <f t="shared" si="2"/>
        <v>4483.6000000000004</v>
      </c>
      <c r="V16" s="50">
        <f>PRODUCT(U16,0.5)+PRODUCT(U16,5.5)</f>
        <v>26901.600000000002</v>
      </c>
      <c r="W16" s="50">
        <f>PRODUCT(U16,6.52)</f>
        <v>29233.072</v>
      </c>
      <c r="X16" s="19">
        <f xml:space="preserve"> V16/V11</f>
        <v>4.4625972323855008</v>
      </c>
      <c r="Y16" s="31">
        <f xml:space="preserve"> W16/W11</f>
        <v>4.849355659192244</v>
      </c>
      <c r="Z16" s="129"/>
      <c r="AA16" s="130"/>
      <c r="AB16" s="71">
        <f t="shared" si="3"/>
        <v>8.5796292431862771</v>
      </c>
      <c r="AC16" s="131"/>
      <c r="AD16" s="132"/>
      <c r="AE16" s="133"/>
      <c r="AF16" s="132"/>
      <c r="AG16" s="133"/>
      <c r="AH16" s="20"/>
      <c r="AI16" s="5"/>
    </row>
    <row r="17" spans="1:35" ht="57.75" hidden="1" customHeight="1" x14ac:dyDescent="0.35">
      <c r="A17" s="74" t="s">
        <v>96</v>
      </c>
      <c r="B17" s="75" t="s">
        <v>77</v>
      </c>
      <c r="C17" s="76" t="s">
        <v>67</v>
      </c>
      <c r="D17" s="77" t="s">
        <v>341</v>
      </c>
      <c r="E17" s="76" t="s">
        <v>6</v>
      </c>
      <c r="F17" s="77" t="s">
        <v>69</v>
      </c>
      <c r="G17" s="78" t="s">
        <v>72</v>
      </c>
      <c r="H17" s="77" t="s">
        <v>70</v>
      </c>
      <c r="I17" s="79" t="s">
        <v>73</v>
      </c>
      <c r="J17" s="111">
        <v>46</v>
      </c>
      <c r="K17" s="80">
        <v>1.55</v>
      </c>
      <c r="L17" s="80">
        <v>1.28</v>
      </c>
      <c r="M17" s="80">
        <v>1.08</v>
      </c>
      <c r="N17" s="80" t="s">
        <v>37</v>
      </c>
      <c r="O17" s="79" t="s">
        <v>74</v>
      </c>
      <c r="P17" s="79" t="s">
        <v>75</v>
      </c>
      <c r="Q17" s="81" t="s">
        <v>212</v>
      </c>
      <c r="R17" s="79"/>
      <c r="S17" s="135" t="s">
        <v>258</v>
      </c>
      <c r="T17" s="82">
        <v>6647.93</v>
      </c>
      <c r="U17" s="83">
        <f t="shared" si="2"/>
        <v>6647.93</v>
      </c>
      <c r="V17" s="84">
        <f>PRODUCT(U17,6.07)</f>
        <v>40352.935100000002</v>
      </c>
      <c r="W17" s="84">
        <f>PRODUCT(U17,6.07)</f>
        <v>40352.935100000002</v>
      </c>
      <c r="X17" s="19">
        <f xml:space="preserve"> V17/V11</f>
        <v>6.6939846141453199</v>
      </c>
      <c r="Y17" s="31">
        <f xml:space="preserve"> W17/W11</f>
        <v>6.6939846141453199</v>
      </c>
      <c r="Z17" s="19"/>
      <c r="AA17" s="68"/>
      <c r="AB17" s="71">
        <f xml:space="preserve"> PRODUCT(Y17,46/46)</f>
        <v>6.6939846141453199</v>
      </c>
      <c r="AC17" s="69"/>
      <c r="AD17" s="70"/>
      <c r="AE17" s="31"/>
      <c r="AF17" s="70"/>
      <c r="AG17" s="31"/>
      <c r="AH17" s="21"/>
      <c r="AI17" s="5"/>
    </row>
    <row r="18" spans="1:35" ht="60" hidden="1" customHeight="1" x14ac:dyDescent="0.35">
      <c r="A18" s="74" t="s">
        <v>98</v>
      </c>
      <c r="B18" s="75" t="s">
        <v>90</v>
      </c>
      <c r="C18" s="76" t="s">
        <v>67</v>
      </c>
      <c r="D18" s="77" t="s">
        <v>341</v>
      </c>
      <c r="E18" s="76" t="s">
        <v>6</v>
      </c>
      <c r="F18" s="77" t="s">
        <v>69</v>
      </c>
      <c r="G18" s="78" t="s">
        <v>72</v>
      </c>
      <c r="H18" s="77" t="s">
        <v>70</v>
      </c>
      <c r="I18" s="79" t="s">
        <v>73</v>
      </c>
      <c r="J18" s="111">
        <v>46</v>
      </c>
      <c r="K18" s="80">
        <v>1.55</v>
      </c>
      <c r="L18" s="80">
        <v>1.28</v>
      </c>
      <c r="M18" s="80">
        <v>1.08</v>
      </c>
      <c r="N18" s="80" t="s">
        <v>37</v>
      </c>
      <c r="O18" s="79" t="s">
        <v>74</v>
      </c>
      <c r="P18" s="79" t="s">
        <v>75</v>
      </c>
      <c r="Q18" s="81" t="s">
        <v>212</v>
      </c>
      <c r="R18" s="79"/>
      <c r="S18" s="135" t="s">
        <v>258</v>
      </c>
      <c r="T18" s="82">
        <v>6648.21</v>
      </c>
      <c r="U18" s="83">
        <f t="shared" si="2"/>
        <v>6648.21</v>
      </c>
      <c r="V18" s="84">
        <f>PRODUCT(U18,6.07)</f>
        <v>40354.634700000002</v>
      </c>
      <c r="W18" s="84">
        <f>PRODUCT(U18,6.07)</f>
        <v>40354.634700000002</v>
      </c>
      <c r="X18" s="19">
        <f xml:space="preserve"> V18/V11</f>
        <v>6.6942665538907686</v>
      </c>
      <c r="Y18" s="31">
        <f xml:space="preserve"> W18/W11</f>
        <v>6.6942665538907686</v>
      </c>
      <c r="Z18" s="19"/>
      <c r="AA18" s="68"/>
      <c r="AB18" s="71">
        <f xml:space="preserve"> PRODUCT(Y18,46/46)</f>
        <v>6.6942665538907686</v>
      </c>
      <c r="AC18" s="69"/>
      <c r="AD18" s="70"/>
      <c r="AE18" s="31"/>
      <c r="AF18" s="70"/>
      <c r="AG18" s="31"/>
      <c r="AH18" s="21"/>
      <c r="AI18" s="5">
        <f t="shared" ref="AI18:AI36" si="4">AH18*T18</f>
        <v>0</v>
      </c>
    </row>
    <row r="19" spans="1:35" ht="94.5" hidden="1" customHeight="1" x14ac:dyDescent="0.35">
      <c r="A19" s="74" t="s">
        <v>232</v>
      </c>
      <c r="B19" s="75" t="s">
        <v>20</v>
      </c>
      <c r="C19" s="76" t="s">
        <v>89</v>
      </c>
      <c r="D19" s="77" t="s">
        <v>341</v>
      </c>
      <c r="E19" s="76" t="s">
        <v>6</v>
      </c>
      <c r="F19" s="77" t="s">
        <v>88</v>
      </c>
      <c r="G19" s="78" t="s">
        <v>91</v>
      </c>
      <c r="H19" s="77" t="s">
        <v>233</v>
      </c>
      <c r="I19" s="79" t="s">
        <v>92</v>
      </c>
      <c r="J19" s="111">
        <v>43</v>
      </c>
      <c r="K19" s="80">
        <v>1.29</v>
      </c>
      <c r="L19" s="80">
        <v>1.1399999999999999</v>
      </c>
      <c r="M19" s="80">
        <v>1.04</v>
      </c>
      <c r="N19" s="80" t="s">
        <v>36</v>
      </c>
      <c r="O19" s="79" t="s">
        <v>100</v>
      </c>
      <c r="P19" s="79" t="s">
        <v>101</v>
      </c>
      <c r="Q19" s="81"/>
      <c r="R19" s="79"/>
      <c r="S19" s="137" t="s">
        <v>297</v>
      </c>
      <c r="T19" s="82">
        <v>7008.42</v>
      </c>
      <c r="U19" s="83">
        <f t="shared" si="2"/>
        <v>7008.42</v>
      </c>
      <c r="V19" s="84">
        <f>PRODUCT(U19,6.5)</f>
        <v>45554.73</v>
      </c>
      <c r="W19" s="84">
        <f>PRODUCT(U19,6.5)</f>
        <v>45554.73</v>
      </c>
      <c r="X19" s="19">
        <f xml:space="preserve"> V19/V11</f>
        <v>7.5568892564036618</v>
      </c>
      <c r="Y19" s="31">
        <f xml:space="preserve"> W19/W11</f>
        <v>7.5568892564036618</v>
      </c>
      <c r="Z19" s="19"/>
      <c r="AA19" s="68"/>
      <c r="AB19" s="71">
        <f xml:space="preserve"> PRODUCT(Y19,46/43)</f>
        <v>8.0841140882457765</v>
      </c>
      <c r="AC19" s="69"/>
      <c r="AD19" s="70"/>
      <c r="AE19" s="31"/>
      <c r="AF19" s="70"/>
      <c r="AG19" s="31"/>
      <c r="AH19" s="21"/>
      <c r="AI19" s="5">
        <f t="shared" si="4"/>
        <v>0</v>
      </c>
    </row>
    <row r="20" spans="1:35" ht="54.75" hidden="1" customHeight="1" x14ac:dyDescent="0.35">
      <c r="A20" s="74" t="s">
        <v>103</v>
      </c>
      <c r="B20" s="75" t="s">
        <v>104</v>
      </c>
      <c r="C20" s="76" t="s">
        <v>89</v>
      </c>
      <c r="D20" s="77" t="s">
        <v>341</v>
      </c>
      <c r="E20" s="76" t="s">
        <v>6</v>
      </c>
      <c r="F20" s="77" t="s">
        <v>88</v>
      </c>
      <c r="G20" s="78" t="s">
        <v>91</v>
      </c>
      <c r="H20" s="77" t="s">
        <v>233</v>
      </c>
      <c r="I20" s="79" t="s">
        <v>92</v>
      </c>
      <c r="J20" s="111">
        <v>43</v>
      </c>
      <c r="K20" s="80">
        <v>1.29</v>
      </c>
      <c r="L20" s="80">
        <v>1.1399999999999999</v>
      </c>
      <c r="M20" s="80">
        <v>1.04</v>
      </c>
      <c r="N20" s="80" t="s">
        <v>36</v>
      </c>
      <c r="O20" s="79" t="s">
        <v>100</v>
      </c>
      <c r="P20" s="79" t="s">
        <v>101</v>
      </c>
      <c r="Q20" s="81"/>
      <c r="R20" s="79"/>
      <c r="S20" s="135" t="s">
        <v>259</v>
      </c>
      <c r="T20" s="82">
        <v>7008.42</v>
      </c>
      <c r="U20" s="83">
        <f t="shared" si="2"/>
        <v>7008.42</v>
      </c>
      <c r="V20" s="84">
        <f>PRODUCT(U20,6.5)</f>
        <v>45554.73</v>
      </c>
      <c r="W20" s="84">
        <f>PRODUCT(U20,6.5)</f>
        <v>45554.73</v>
      </c>
      <c r="X20" s="19">
        <f xml:space="preserve"> V20/V11</f>
        <v>7.5568892564036618</v>
      </c>
      <c r="Y20" s="31">
        <f xml:space="preserve"> W20/W11</f>
        <v>7.5568892564036618</v>
      </c>
      <c r="Z20" s="19"/>
      <c r="AA20" s="68"/>
      <c r="AB20" s="71">
        <f xml:space="preserve"> PRODUCT(Y20,46/43)</f>
        <v>8.0841140882457765</v>
      </c>
      <c r="AC20" s="69"/>
      <c r="AD20" s="70"/>
      <c r="AE20" s="31"/>
      <c r="AF20" s="70"/>
      <c r="AG20" s="31"/>
      <c r="AH20" s="21"/>
      <c r="AI20" s="5">
        <f t="shared" si="4"/>
        <v>0</v>
      </c>
    </row>
    <row r="21" spans="1:35" ht="63.75" hidden="1" customHeight="1" x14ac:dyDescent="0.35">
      <c r="A21" s="74" t="s">
        <v>95</v>
      </c>
      <c r="B21" s="75" t="s">
        <v>20</v>
      </c>
      <c r="C21" s="76" t="s">
        <v>67</v>
      </c>
      <c r="D21" s="77" t="s">
        <v>341</v>
      </c>
      <c r="E21" s="76" t="s">
        <v>6</v>
      </c>
      <c r="F21" s="77" t="s">
        <v>69</v>
      </c>
      <c r="G21" s="78" t="s">
        <v>72</v>
      </c>
      <c r="H21" s="77" t="s">
        <v>70</v>
      </c>
      <c r="I21" s="79" t="s">
        <v>73</v>
      </c>
      <c r="J21" s="111">
        <v>46</v>
      </c>
      <c r="K21" s="80">
        <v>1.55</v>
      </c>
      <c r="L21" s="80">
        <v>1.28</v>
      </c>
      <c r="M21" s="80">
        <v>1.08</v>
      </c>
      <c r="N21" s="80" t="s">
        <v>37</v>
      </c>
      <c r="O21" s="79" t="s">
        <v>74</v>
      </c>
      <c r="P21" s="79" t="s">
        <v>75</v>
      </c>
      <c r="Q21" s="81" t="s">
        <v>212</v>
      </c>
      <c r="R21" s="79"/>
      <c r="S21" s="135" t="s">
        <v>258</v>
      </c>
      <c r="T21" s="82">
        <v>7820.76</v>
      </c>
      <c r="U21" s="83">
        <f t="shared" si="2"/>
        <v>7820.76</v>
      </c>
      <c r="V21" s="84">
        <f>PRODUCT(U21,6.07)</f>
        <v>47472.013200000001</v>
      </c>
      <c r="W21" s="84">
        <f>PRODUCT(U21,6.07)</f>
        <v>47472.013200000001</v>
      </c>
      <c r="X21" s="19">
        <f xml:space="preserve"> V21/V11</f>
        <v>7.874939584340261</v>
      </c>
      <c r="Y21" s="31">
        <f xml:space="preserve"> W21/W11</f>
        <v>7.874939584340261</v>
      </c>
      <c r="Z21" s="19"/>
      <c r="AA21" s="68"/>
      <c r="AB21" s="71">
        <f xml:space="preserve"> PRODUCT(Y21,46/46)</f>
        <v>7.874939584340261</v>
      </c>
      <c r="AC21" s="69"/>
      <c r="AD21" s="70"/>
      <c r="AE21" s="31"/>
      <c r="AF21" s="70"/>
      <c r="AG21" s="31"/>
      <c r="AH21" s="21"/>
      <c r="AI21" s="5">
        <f t="shared" si="4"/>
        <v>0</v>
      </c>
    </row>
    <row r="22" spans="1:35" ht="126" hidden="1" customHeight="1" x14ac:dyDescent="0.35">
      <c r="A22" s="15" t="s">
        <v>313</v>
      </c>
      <c r="B22" s="39" t="s">
        <v>314</v>
      </c>
      <c r="C22" s="3" t="s">
        <v>161</v>
      </c>
      <c r="D22" s="25" t="s">
        <v>162</v>
      </c>
      <c r="E22" s="3" t="s">
        <v>6</v>
      </c>
      <c r="F22" s="25" t="s">
        <v>276</v>
      </c>
      <c r="G22" s="13" t="s">
        <v>235</v>
      </c>
      <c r="H22" s="25" t="s">
        <v>155</v>
      </c>
      <c r="I22" s="106" t="s">
        <v>187</v>
      </c>
      <c r="J22" s="115" t="s">
        <v>304</v>
      </c>
      <c r="K22" s="28">
        <v>1.1499999999999999</v>
      </c>
      <c r="L22" s="28">
        <v>1.07</v>
      </c>
      <c r="M22" s="28">
        <v>1.01</v>
      </c>
      <c r="N22" s="73" t="s">
        <v>275</v>
      </c>
      <c r="O22" s="105" t="s">
        <v>180</v>
      </c>
      <c r="P22" s="105" t="s">
        <v>180</v>
      </c>
      <c r="Q22" s="105" t="s">
        <v>261</v>
      </c>
      <c r="R22" s="105"/>
      <c r="S22" s="140" t="s">
        <v>298</v>
      </c>
      <c r="T22" s="14" t="s">
        <v>315</v>
      </c>
      <c r="U22" s="14" t="s">
        <v>315</v>
      </c>
      <c r="V22" s="18">
        <f>PRODUCT(7008.42,6.5)+PRODUCT(2231.94,6.52)</f>
        <v>60106.978800000004</v>
      </c>
      <c r="W22" s="18">
        <f>PRODUCT(7008.42,6.5)+PRODUCT(2231.94,6.52)</f>
        <v>60106.978800000004</v>
      </c>
      <c r="X22" s="19">
        <f xml:space="preserve"> V22/V11</f>
        <v>9.9709027433287982</v>
      </c>
      <c r="Y22" s="31">
        <f xml:space="preserve"> W22/W11</f>
        <v>9.9709027433287982</v>
      </c>
      <c r="Z22" s="19"/>
      <c r="AA22" s="68"/>
      <c r="AB22" s="71">
        <f xml:space="preserve"> PRODUCT(Y22,46/53)</f>
        <v>8.6539910602476358</v>
      </c>
      <c r="AC22" s="150">
        <v>1</v>
      </c>
      <c r="AD22" s="70"/>
      <c r="AE22" s="31"/>
      <c r="AF22" s="70"/>
      <c r="AG22" s="31"/>
      <c r="AH22" s="21"/>
      <c r="AI22" s="5" t="e">
        <f t="shared" si="4"/>
        <v>#VALUE!</v>
      </c>
    </row>
    <row r="23" spans="1:35" ht="91.5" hidden="1" customHeight="1" x14ac:dyDescent="0.35">
      <c r="A23" s="40" t="s">
        <v>32</v>
      </c>
      <c r="B23" s="41" t="s">
        <v>42</v>
      </c>
      <c r="C23" s="42" t="s">
        <v>29</v>
      </c>
      <c r="D23" s="43" t="s">
        <v>54</v>
      </c>
      <c r="E23" s="42" t="s">
        <v>6</v>
      </c>
      <c r="F23" s="43" t="s">
        <v>30</v>
      </c>
      <c r="G23" s="53" t="s">
        <v>33</v>
      </c>
      <c r="H23" s="45" t="s">
        <v>17</v>
      </c>
      <c r="I23" s="53" t="s">
        <v>227</v>
      </c>
      <c r="J23" s="108">
        <v>46</v>
      </c>
      <c r="K23" s="51">
        <v>1.43</v>
      </c>
      <c r="L23" s="51">
        <v>1.17</v>
      </c>
      <c r="M23" s="51">
        <v>1.02</v>
      </c>
      <c r="N23" s="46" t="s">
        <v>37</v>
      </c>
      <c r="O23" s="47" t="s">
        <v>41</v>
      </c>
      <c r="P23" s="47" t="s">
        <v>40</v>
      </c>
      <c r="Q23" s="43" t="s">
        <v>211</v>
      </c>
      <c r="R23" s="47"/>
      <c r="S23" s="41" t="s">
        <v>299</v>
      </c>
      <c r="T23" s="48">
        <v>14635.94</v>
      </c>
      <c r="U23" s="49">
        <f>T23-AI23</f>
        <v>14635.94</v>
      </c>
      <c r="V23" s="50">
        <f>PRODUCT(U23,11.2)</f>
        <v>163922.52799999999</v>
      </c>
      <c r="W23" s="50">
        <f>PRODUCT(U23,12.13)</f>
        <v>177533.95220000003</v>
      </c>
      <c r="X23" s="19">
        <f xml:space="preserve"> V23/V11</f>
        <v>27.192442820443198</v>
      </c>
      <c r="Y23" s="31">
        <f xml:space="preserve"> W23/W11</f>
        <v>29.450386733212149</v>
      </c>
      <c r="Z23" s="19"/>
      <c r="AA23" s="68"/>
      <c r="AB23" s="71">
        <f xml:space="preserve"> PRODUCT(Y23,46/46)</f>
        <v>29.450386733212149</v>
      </c>
      <c r="AC23" s="69"/>
      <c r="AD23" s="70"/>
      <c r="AE23" s="31"/>
      <c r="AF23" s="70"/>
      <c r="AG23" s="31"/>
      <c r="AH23" s="20"/>
      <c r="AI23" s="5">
        <f t="shared" si="4"/>
        <v>0</v>
      </c>
    </row>
    <row r="24" spans="1:35" ht="79.5" hidden="1" customHeight="1" x14ac:dyDescent="0.35">
      <c r="A24" s="15" t="s">
        <v>253</v>
      </c>
      <c r="B24" s="39" t="s">
        <v>245</v>
      </c>
      <c r="C24" s="3" t="s">
        <v>159</v>
      </c>
      <c r="D24" s="25" t="s">
        <v>55</v>
      </c>
      <c r="E24" s="3" t="s">
        <v>6</v>
      </c>
      <c r="F24" s="25" t="s">
        <v>34</v>
      </c>
      <c r="G24" s="13" t="s">
        <v>234</v>
      </c>
      <c r="H24" s="25" t="s">
        <v>155</v>
      </c>
      <c r="I24" s="13" t="s">
        <v>35</v>
      </c>
      <c r="J24" s="115" t="s">
        <v>193</v>
      </c>
      <c r="K24" s="28" t="s">
        <v>221</v>
      </c>
      <c r="L24" s="28" t="s">
        <v>222</v>
      </c>
      <c r="M24" s="28" t="s">
        <v>223</v>
      </c>
      <c r="N24" s="72" t="s">
        <v>163</v>
      </c>
      <c r="O24" s="105" t="s">
        <v>180</v>
      </c>
      <c r="P24" s="105" t="s">
        <v>180</v>
      </c>
      <c r="Q24" s="105" t="s">
        <v>210</v>
      </c>
      <c r="R24" s="105"/>
      <c r="S24" s="139" t="s">
        <v>300</v>
      </c>
      <c r="T24" s="14" t="s">
        <v>246</v>
      </c>
      <c r="U24" s="14" t="s">
        <v>246</v>
      </c>
      <c r="V24" s="18">
        <f>PRODUCT(14635.94,10.3)+PRODUCT(7008.42,6)</f>
        <v>192800.70200000005</v>
      </c>
      <c r="W24" s="18">
        <f>PRODUCT(14635.94,12.13)+PRODUCT(7008.42,6.5)</f>
        <v>223088.68220000004</v>
      </c>
      <c r="X24" s="19">
        <f xml:space="preserve"> V24/V11</f>
        <v>31.982925890920313</v>
      </c>
      <c r="Y24" s="31">
        <f xml:space="preserve"> W24/W11</f>
        <v>37.007275989615813</v>
      </c>
      <c r="Z24" s="19"/>
      <c r="AA24" s="68"/>
      <c r="AB24" s="71">
        <f xml:space="preserve"> PRODUCT(Y24,46/68)</f>
        <v>25.034333757681289</v>
      </c>
      <c r="AC24" s="69"/>
      <c r="AD24" s="70"/>
      <c r="AE24" s="31"/>
      <c r="AF24" s="70"/>
      <c r="AG24" s="31"/>
      <c r="AH24" s="21"/>
      <c r="AI24" s="5" t="e">
        <f t="shared" si="4"/>
        <v>#VALUE!</v>
      </c>
    </row>
    <row r="25" spans="1:35" ht="92.25" hidden="1" customHeight="1" thickTop="1" x14ac:dyDescent="0.35">
      <c r="A25" s="85" t="s">
        <v>129</v>
      </c>
      <c r="B25" s="86" t="s">
        <v>60</v>
      </c>
      <c r="C25" s="87" t="s">
        <v>123</v>
      </c>
      <c r="D25" s="88" t="s">
        <v>112</v>
      </c>
      <c r="E25" s="87" t="s">
        <v>125</v>
      </c>
      <c r="F25" s="88" t="s">
        <v>124</v>
      </c>
      <c r="G25" s="89" t="s">
        <v>127</v>
      </c>
      <c r="H25" s="90" t="s">
        <v>122</v>
      </c>
      <c r="I25" s="91" t="s">
        <v>128</v>
      </c>
      <c r="J25" s="112">
        <v>36</v>
      </c>
      <c r="K25" s="92"/>
      <c r="L25" s="92"/>
      <c r="M25" s="92"/>
      <c r="N25" s="92" t="s">
        <v>126</v>
      </c>
      <c r="O25" s="93" t="s">
        <v>131</v>
      </c>
      <c r="P25" s="93" t="s">
        <v>132</v>
      </c>
      <c r="Q25" s="88"/>
      <c r="R25" s="93"/>
      <c r="S25" s="142" t="s">
        <v>301</v>
      </c>
      <c r="T25" s="94">
        <v>61986.86</v>
      </c>
      <c r="U25" s="95">
        <f>T25-AI25</f>
        <v>61986.86</v>
      </c>
      <c r="V25" s="96">
        <f>PRODUCT(U25,4.35)</f>
        <v>269642.84099999996</v>
      </c>
      <c r="W25" s="96">
        <f>PRODUCT(U25,4.35)</f>
        <v>269642.84099999996</v>
      </c>
      <c r="X25" s="19">
        <f xml:space="preserve"> V25/V11</f>
        <v>44.729956433043519</v>
      </c>
      <c r="Y25" s="31">
        <f xml:space="preserve"> W25/W11</f>
        <v>44.729956433043519</v>
      </c>
      <c r="Z25" s="19"/>
      <c r="AA25" s="68"/>
      <c r="AB25" s="71">
        <f xml:space="preserve"> PRODUCT(Y25,46/36)</f>
        <v>57.15494433111116</v>
      </c>
      <c r="AC25" s="69"/>
      <c r="AD25" s="70"/>
      <c r="AE25" s="31"/>
      <c r="AF25" s="70"/>
      <c r="AG25" s="31"/>
      <c r="AH25" s="21"/>
      <c r="AI25" s="5">
        <f t="shared" si="4"/>
        <v>0</v>
      </c>
    </row>
    <row r="26" spans="1:35" ht="102" hidden="1" customHeight="1" x14ac:dyDescent="0.35">
      <c r="A26" s="104" t="s">
        <v>316</v>
      </c>
      <c r="B26" s="99" t="s">
        <v>317</v>
      </c>
      <c r="C26" s="100" t="s">
        <v>167</v>
      </c>
      <c r="D26" s="66" t="s">
        <v>200</v>
      </c>
      <c r="E26" s="100" t="s">
        <v>198</v>
      </c>
      <c r="F26" s="66" t="s">
        <v>168</v>
      </c>
      <c r="G26" s="34" t="s">
        <v>170</v>
      </c>
      <c r="H26" s="29" t="s">
        <v>122</v>
      </c>
      <c r="I26" s="35" t="s">
        <v>171</v>
      </c>
      <c r="J26" s="115" t="s">
        <v>343</v>
      </c>
      <c r="K26" s="28"/>
      <c r="L26" s="28"/>
      <c r="M26" s="28"/>
      <c r="N26" s="73" t="s">
        <v>172</v>
      </c>
      <c r="O26" s="105" t="s">
        <v>180</v>
      </c>
      <c r="P26" s="105" t="s">
        <v>180</v>
      </c>
      <c r="Q26" s="105"/>
      <c r="R26" s="105"/>
      <c r="S26" s="143" t="s">
        <v>272</v>
      </c>
      <c r="T26" s="102" t="s">
        <v>318</v>
      </c>
      <c r="U26" s="102" t="s">
        <v>318</v>
      </c>
      <c r="V26" s="18">
        <f>PRODUCT(61986.86,4.35)+PRODUCT(2231.94,6.52)</f>
        <v>284195.08979999996</v>
      </c>
      <c r="W26" s="18">
        <f>PRODUCT(61986.86,4.35)+PRODUCT(2231.94,6.52)</f>
        <v>284195.08979999996</v>
      </c>
      <c r="X26" s="19">
        <f xml:space="preserve"> V26/V11</f>
        <v>47.143969919968654</v>
      </c>
      <c r="Y26" s="31">
        <f xml:space="preserve"> W26/W11</f>
        <v>47.143969919968654</v>
      </c>
      <c r="Z26" s="19"/>
      <c r="AA26" s="68"/>
      <c r="AB26" s="71">
        <f xml:space="preserve"> PRODUCT(Y26,46/41)</f>
        <v>52.893234544355082</v>
      </c>
      <c r="AC26" s="69">
        <f xml:space="preserve"> PRODUCT(W26/W22,27/15)</f>
        <v>8.5106783247605176</v>
      </c>
      <c r="AD26" s="70"/>
      <c r="AE26" s="31"/>
      <c r="AF26" s="70"/>
      <c r="AG26" s="31"/>
      <c r="AH26" s="21"/>
      <c r="AI26" s="5" t="e">
        <f t="shared" si="4"/>
        <v>#VALUE!</v>
      </c>
    </row>
    <row r="27" spans="1:35" ht="88.5" hidden="1" customHeight="1" x14ac:dyDescent="0.35">
      <c r="A27" s="40" t="s">
        <v>93</v>
      </c>
      <c r="B27" s="41" t="s">
        <v>28</v>
      </c>
      <c r="C27" s="42" t="s">
        <v>44</v>
      </c>
      <c r="D27" s="43" t="s">
        <v>54</v>
      </c>
      <c r="E27" s="42" t="s">
        <v>6</v>
      </c>
      <c r="F27" s="43" t="s">
        <v>43</v>
      </c>
      <c r="G27" s="53" t="s">
        <v>46</v>
      </c>
      <c r="H27" s="38" t="s">
        <v>45</v>
      </c>
      <c r="I27" s="44" t="s">
        <v>47</v>
      </c>
      <c r="J27" s="107" t="s">
        <v>203</v>
      </c>
      <c r="K27" s="46">
        <v>1.33</v>
      </c>
      <c r="L27" s="46">
        <v>1.1499999999999999</v>
      </c>
      <c r="M27" s="46">
        <v>1.02</v>
      </c>
      <c r="N27" s="46" t="s">
        <v>36</v>
      </c>
      <c r="O27" s="47" t="s">
        <v>48</v>
      </c>
      <c r="P27" s="47" t="s">
        <v>49</v>
      </c>
      <c r="Q27" s="43"/>
      <c r="R27" s="47"/>
      <c r="S27" s="136" t="s">
        <v>45</v>
      </c>
      <c r="T27" s="48">
        <v>63952.9</v>
      </c>
      <c r="U27" s="49">
        <f>T27-AI27</f>
        <v>63952.9</v>
      </c>
      <c r="V27" s="50">
        <f>PRODUCT(U27,6.07)</f>
        <v>388194.103</v>
      </c>
      <c r="W27" s="50">
        <f>PRODUCT(U27,6.07)</f>
        <v>388194.103</v>
      </c>
      <c r="X27" s="19">
        <f xml:space="preserve"> V27/V11</f>
        <v>64.39594409537618</v>
      </c>
      <c r="Y27" s="31">
        <f xml:space="preserve"> W27/W11</f>
        <v>64.39594409537618</v>
      </c>
      <c r="Z27" s="19"/>
      <c r="AA27" s="68"/>
      <c r="AB27" s="71">
        <f xml:space="preserve"> PRODUCT(Y27,46/18)</f>
        <v>164.56741268818357</v>
      </c>
      <c r="AC27" s="69"/>
      <c r="AD27" s="70"/>
      <c r="AE27" s="31"/>
      <c r="AF27" s="70"/>
      <c r="AG27" s="31"/>
      <c r="AH27" s="21"/>
      <c r="AI27" s="5">
        <f t="shared" si="4"/>
        <v>0</v>
      </c>
    </row>
    <row r="28" spans="1:35" ht="88.5" hidden="1" customHeight="1" x14ac:dyDescent="0.35">
      <c r="A28" s="15" t="s">
        <v>252</v>
      </c>
      <c r="B28" s="39" t="s">
        <v>247</v>
      </c>
      <c r="C28" s="3" t="s">
        <v>160</v>
      </c>
      <c r="D28" s="25" t="s">
        <v>55</v>
      </c>
      <c r="E28" s="3" t="s">
        <v>6</v>
      </c>
      <c r="F28" s="25" t="s">
        <v>81</v>
      </c>
      <c r="G28" s="13" t="s">
        <v>306</v>
      </c>
      <c r="H28" s="38" t="s">
        <v>164</v>
      </c>
      <c r="I28" s="106" t="s">
        <v>181</v>
      </c>
      <c r="J28" s="116" t="s">
        <v>194</v>
      </c>
      <c r="K28" s="28"/>
      <c r="L28" s="28"/>
      <c r="M28" s="28"/>
      <c r="N28" s="72" t="s">
        <v>82</v>
      </c>
      <c r="O28" s="105" t="s">
        <v>180</v>
      </c>
      <c r="P28" s="105" t="s">
        <v>180</v>
      </c>
      <c r="Q28" s="105" t="s">
        <v>210</v>
      </c>
      <c r="R28" s="105"/>
      <c r="S28" s="136" t="s">
        <v>257</v>
      </c>
      <c r="T28" s="102" t="s">
        <v>248</v>
      </c>
      <c r="U28" s="102" t="s">
        <v>248</v>
      </c>
      <c r="V28" s="18">
        <f>PRODUCT(63952.9,6.07)+PRODUCT(993.12,6.07)</f>
        <v>394222.34139999998</v>
      </c>
      <c r="W28" s="18">
        <f>PRODUCT(63952.9,6.07)+PRODUCT(993.12,6.07)</f>
        <v>394222.34139999998</v>
      </c>
      <c r="X28" s="19">
        <f xml:space="preserve"> V28/V11</f>
        <v>65.39594409537618</v>
      </c>
      <c r="Y28" s="31">
        <f xml:space="preserve"> W28/W11</f>
        <v>65.39594409537618</v>
      </c>
      <c r="Z28" s="19"/>
      <c r="AA28" s="68"/>
      <c r="AB28" s="71">
        <f xml:space="preserve"> PRODUCT(Y28,46/53)</f>
        <v>56.75874393183593</v>
      </c>
      <c r="AC28" s="69">
        <f xml:space="preserve"> PRODUCT(W28/W14,22/26)</f>
        <v>16.208204751119041</v>
      </c>
      <c r="AD28" s="70"/>
      <c r="AE28" s="31"/>
      <c r="AF28" s="70"/>
      <c r="AG28" s="31"/>
      <c r="AH28" s="21"/>
      <c r="AI28" s="5" t="e">
        <f t="shared" si="4"/>
        <v>#VALUE!</v>
      </c>
    </row>
    <row r="29" spans="1:35" ht="126" hidden="1" customHeight="1" x14ac:dyDescent="0.35">
      <c r="A29" s="54" t="s">
        <v>238</v>
      </c>
      <c r="B29" s="55" t="s">
        <v>60</v>
      </c>
      <c r="C29" s="56" t="s">
        <v>50</v>
      </c>
      <c r="D29" s="57" t="s">
        <v>56</v>
      </c>
      <c r="E29" s="56" t="s">
        <v>6</v>
      </c>
      <c r="F29" s="57" t="s">
        <v>51</v>
      </c>
      <c r="G29" s="58" t="s">
        <v>236</v>
      </c>
      <c r="H29" s="58" t="s">
        <v>154</v>
      </c>
      <c r="I29" s="59" t="s">
        <v>57</v>
      </c>
      <c r="J29" s="110">
        <v>37</v>
      </c>
      <c r="K29" s="60">
        <v>1.42</v>
      </c>
      <c r="L29" s="60">
        <v>1.19</v>
      </c>
      <c r="M29" s="60">
        <v>1.03</v>
      </c>
      <c r="N29" s="60" t="s">
        <v>36</v>
      </c>
      <c r="O29" s="59" t="s">
        <v>58</v>
      </c>
      <c r="P29" s="67" t="s">
        <v>59</v>
      </c>
      <c r="Q29" s="57"/>
      <c r="R29" s="67"/>
      <c r="S29" s="144" t="s">
        <v>302</v>
      </c>
      <c r="T29" s="61" t="s">
        <v>239</v>
      </c>
      <c r="U29" s="61" t="s">
        <v>271</v>
      </c>
      <c r="V29" s="119">
        <f>PRODUCT(18897.33,1)+PRODUCT(18897.33,1)+PRODUCT(18897.33,1)+PRODUCT(37274.54,5)+PRODUCT(18897.33,10)</f>
        <v>432037.99</v>
      </c>
      <c r="W29" s="119">
        <f>PRODUCT(37274.54,6.5)+PRODUCT(18897.33,13)</f>
        <v>487949.80000000005</v>
      </c>
      <c r="X29" s="19">
        <f xml:space="preserve"> V29/V11</f>
        <v>71.669028550695671</v>
      </c>
      <c r="Y29" s="31">
        <f xml:space="preserve"> W29/W11</f>
        <v>80.944011769673878</v>
      </c>
      <c r="Z29" s="19"/>
      <c r="AA29" s="68"/>
      <c r="AB29" s="71">
        <f xml:space="preserve"> PRODUCT(Y29,46/37)</f>
        <v>100.6330957136486</v>
      </c>
      <c r="AC29" s="69"/>
      <c r="AD29" s="70"/>
      <c r="AE29" s="31"/>
      <c r="AF29" s="70"/>
      <c r="AG29" s="31"/>
      <c r="AH29" s="21"/>
      <c r="AI29" s="5" t="e">
        <f t="shared" si="4"/>
        <v>#VALUE!</v>
      </c>
    </row>
    <row r="30" spans="1:35" ht="135.75" hidden="1" customHeight="1" x14ac:dyDescent="0.35">
      <c r="A30" s="15" t="s">
        <v>319</v>
      </c>
      <c r="B30" s="39" t="s">
        <v>317</v>
      </c>
      <c r="C30" s="3" t="s">
        <v>85</v>
      </c>
      <c r="D30" s="25" t="s">
        <v>84</v>
      </c>
      <c r="E30" s="3" t="s">
        <v>6</v>
      </c>
      <c r="F30" s="25" t="s">
        <v>83</v>
      </c>
      <c r="G30" s="13" t="s">
        <v>237</v>
      </c>
      <c r="H30" s="13" t="s">
        <v>87</v>
      </c>
      <c r="I30" s="35" t="s">
        <v>182</v>
      </c>
      <c r="J30" s="109" t="s">
        <v>189</v>
      </c>
      <c r="K30" s="28">
        <v>1.32</v>
      </c>
      <c r="L30" s="28">
        <v>1.17</v>
      </c>
      <c r="M30" s="28">
        <v>1.05</v>
      </c>
      <c r="N30" s="73" t="s">
        <v>86</v>
      </c>
      <c r="O30" s="105" t="s">
        <v>180</v>
      </c>
      <c r="P30" s="105" t="s">
        <v>180</v>
      </c>
      <c r="Q30" s="105"/>
      <c r="R30" s="105"/>
      <c r="S30" s="100" t="s">
        <v>273</v>
      </c>
      <c r="T30" s="102" t="s">
        <v>320</v>
      </c>
      <c r="U30" s="102" t="s">
        <v>321</v>
      </c>
      <c r="V30" s="18">
        <f>PRODUCT(18897.33,1)+PRODUCT(18897.33,1)+PRODUCT(18897.33,1)+PRODUCT(37274.54,5)+PRODUCT(18897.33,10)+PRODUCT(2231.94,6.52)</f>
        <v>446590.23879999999</v>
      </c>
      <c r="W30" s="18">
        <f>PRODUCT(37274.54,6.5)+PRODUCT(18897.33,13)+PRODUCT(2231.94,6.52)</f>
        <v>502502.04880000005</v>
      </c>
      <c r="X30" s="19">
        <f xml:space="preserve"> V30/V11</f>
        <v>74.0830420376208</v>
      </c>
      <c r="Y30" s="31">
        <f xml:space="preserve"> W30/W11</f>
        <v>83.358025256599021</v>
      </c>
      <c r="Z30" s="19"/>
      <c r="AA30" s="68"/>
      <c r="AB30" s="71"/>
      <c r="AC30" s="69">
        <f xml:space="preserve"> PRODUCT(W30/W22,27/23)</f>
        <v>9.8140635453277802</v>
      </c>
      <c r="AD30" s="70"/>
      <c r="AE30" s="31"/>
      <c r="AF30" s="70"/>
      <c r="AG30" s="31"/>
      <c r="AH30" s="21"/>
      <c r="AI30" s="5" t="e">
        <f t="shared" si="4"/>
        <v>#VALUE!</v>
      </c>
    </row>
    <row r="31" spans="1:35" ht="132" hidden="1" customHeight="1" x14ac:dyDescent="0.35">
      <c r="A31" s="15" t="s">
        <v>319</v>
      </c>
      <c r="B31" s="39" t="s">
        <v>317</v>
      </c>
      <c r="C31" s="3" t="s">
        <v>85</v>
      </c>
      <c r="D31" s="25" t="s">
        <v>84</v>
      </c>
      <c r="E31" s="3" t="s">
        <v>6</v>
      </c>
      <c r="F31" s="25" t="s">
        <v>337</v>
      </c>
      <c r="G31" s="13" t="s">
        <v>237</v>
      </c>
      <c r="H31" s="13" t="s">
        <v>335</v>
      </c>
      <c r="I31" s="35" t="s">
        <v>182</v>
      </c>
      <c r="J31" s="151" t="s">
        <v>338</v>
      </c>
      <c r="K31" s="28"/>
      <c r="L31" s="28"/>
      <c r="M31" s="28"/>
      <c r="N31" s="73"/>
      <c r="O31" s="105" t="s">
        <v>180</v>
      </c>
      <c r="P31" s="105" t="s">
        <v>180</v>
      </c>
      <c r="Q31" s="105" t="s">
        <v>346</v>
      </c>
      <c r="R31" s="105"/>
      <c r="S31" s="143" t="s">
        <v>345</v>
      </c>
      <c r="T31" s="102" t="s">
        <v>320</v>
      </c>
      <c r="U31" s="102" t="s">
        <v>321</v>
      </c>
      <c r="V31" s="18">
        <f>PRODUCT(18897.33,1)+PRODUCT(18897.33,1)+PRODUCT(18897.33,1)+PRODUCT(37274.54,5)+PRODUCT(18897.33,10)+PRODUCT(2231.94,6.52)</f>
        <v>446590.23879999999</v>
      </c>
      <c r="W31" s="18">
        <f>PRODUCT(37274.54,6.5)+PRODUCT(18897.33,13)+PRODUCT(2231.94,6.52)</f>
        <v>502502.04880000005</v>
      </c>
      <c r="X31" s="19">
        <f xml:space="preserve"> V31/V11</f>
        <v>74.0830420376208</v>
      </c>
      <c r="Y31" s="31">
        <f xml:space="preserve"> W31/W11</f>
        <v>83.358025256599021</v>
      </c>
      <c r="Z31" s="19"/>
      <c r="AA31" s="68"/>
      <c r="AB31" s="71"/>
      <c r="AC31" s="69"/>
      <c r="AD31" s="70"/>
      <c r="AE31" s="31"/>
      <c r="AF31" s="70"/>
      <c r="AG31" s="31"/>
      <c r="AH31" s="21"/>
      <c r="AI31" s="5" t="e">
        <f t="shared" ref="AI31" si="5">AH31*T31</f>
        <v>#VALUE!</v>
      </c>
    </row>
    <row r="32" spans="1:35" ht="135.75" hidden="1" customHeight="1" x14ac:dyDescent="0.35">
      <c r="A32" s="104" t="s">
        <v>322</v>
      </c>
      <c r="B32" s="99" t="s">
        <v>323</v>
      </c>
      <c r="C32" s="100" t="s">
        <v>255</v>
      </c>
      <c r="D32" s="66" t="s">
        <v>147</v>
      </c>
      <c r="E32" s="100" t="s">
        <v>6</v>
      </c>
      <c r="F32" s="66" t="s">
        <v>186</v>
      </c>
      <c r="G32" s="34" t="s">
        <v>158</v>
      </c>
      <c r="H32" s="35" t="s">
        <v>145</v>
      </c>
      <c r="I32" s="103" t="s">
        <v>183</v>
      </c>
      <c r="J32" s="113" t="s">
        <v>202</v>
      </c>
      <c r="K32" s="33"/>
      <c r="L32" s="33"/>
      <c r="M32" s="33"/>
      <c r="N32" s="73" t="s">
        <v>149</v>
      </c>
      <c r="O32" s="101" t="s">
        <v>176</v>
      </c>
      <c r="P32" s="101" t="s">
        <v>178</v>
      </c>
      <c r="Q32" s="105" t="s">
        <v>210</v>
      </c>
      <c r="R32" s="101"/>
      <c r="S32" s="100" t="s">
        <v>274</v>
      </c>
      <c r="T32" s="17" t="s">
        <v>324</v>
      </c>
      <c r="U32" s="17" t="s">
        <v>324</v>
      </c>
      <c r="V32" s="18">
        <f>PRODUCT(92798.38,6.067)+PRODUCT(2231.94,6.52)</f>
        <v>577560.02026000002</v>
      </c>
      <c r="W32" s="18">
        <f>PRODUCT(92798.38,6.067)+PRODUCT(2231.94,6.52)</f>
        <v>577560.02026000002</v>
      </c>
      <c r="X32" s="19">
        <f xml:space="preserve"> V32/V11</f>
        <v>95.809087487316361</v>
      </c>
      <c r="Y32" s="31">
        <f xml:space="preserve"> W32/W11</f>
        <v>95.809087487316361</v>
      </c>
      <c r="Z32" s="19"/>
      <c r="AA32" s="68"/>
      <c r="AB32" s="71"/>
      <c r="AC32" s="69"/>
      <c r="AD32" s="70"/>
      <c r="AE32" s="31"/>
      <c r="AF32" s="70"/>
      <c r="AG32" s="31"/>
      <c r="AH32" s="21"/>
      <c r="AI32" s="5" t="e">
        <f t="shared" si="4"/>
        <v>#VALUE!</v>
      </c>
    </row>
    <row r="33" spans="1:35" ht="147.75" hidden="1" customHeight="1" x14ac:dyDescent="0.35">
      <c r="A33" s="104" t="s">
        <v>325</v>
      </c>
      <c r="B33" s="99" t="s">
        <v>326</v>
      </c>
      <c r="C33" s="100" t="s">
        <v>256</v>
      </c>
      <c r="D33" s="66" t="s">
        <v>148</v>
      </c>
      <c r="E33" s="100" t="s">
        <v>6</v>
      </c>
      <c r="F33" s="66" t="s">
        <v>185</v>
      </c>
      <c r="G33" s="34" t="s">
        <v>158</v>
      </c>
      <c r="H33" s="35" t="s">
        <v>146</v>
      </c>
      <c r="I33" s="103" t="s">
        <v>184</v>
      </c>
      <c r="J33" s="113" t="s">
        <v>202</v>
      </c>
      <c r="K33" s="33"/>
      <c r="L33" s="33"/>
      <c r="M33" s="33"/>
      <c r="N33" s="73" t="s">
        <v>150</v>
      </c>
      <c r="O33" s="101" t="s">
        <v>177</v>
      </c>
      <c r="P33" s="101" t="s">
        <v>179</v>
      </c>
      <c r="Q33" s="105" t="s">
        <v>210</v>
      </c>
      <c r="R33" s="101"/>
      <c r="S33" s="100" t="s">
        <v>344</v>
      </c>
      <c r="T33" s="17" t="s">
        <v>327</v>
      </c>
      <c r="U33" s="17" t="s">
        <v>327</v>
      </c>
      <c r="V33" s="18">
        <f>PRODUCT(92798.38,6.067)+PRODUCT(2231.94,6.52)+PRODUCT(993.12,6.07)</f>
        <v>583588.25866000005</v>
      </c>
      <c r="W33" s="18">
        <f>PRODUCT(92798.38,6.067)+PRODUCT(2231.94,6.52)+PRODUCT(993.12,6.07)</f>
        <v>583588.25866000005</v>
      </c>
      <c r="X33" s="19">
        <f xml:space="preserve"> V33/V11</f>
        <v>96.809087487316361</v>
      </c>
      <c r="Y33" s="31">
        <f xml:space="preserve"> W33/W11</f>
        <v>96.809087487316361</v>
      </c>
      <c r="Z33" s="19"/>
      <c r="AA33" s="68"/>
      <c r="AB33" s="71"/>
      <c r="AC33" s="69"/>
      <c r="AD33" s="70"/>
      <c r="AE33" s="31"/>
      <c r="AF33" s="70"/>
      <c r="AG33" s="31"/>
      <c r="AH33" s="21"/>
      <c r="AI33" s="5" t="e">
        <f t="shared" si="4"/>
        <v>#VALUE!</v>
      </c>
    </row>
    <row r="34" spans="1:35" ht="34.5" customHeight="1" thickTop="1" x14ac:dyDescent="0.35">
      <c r="A34" s="158" t="s">
        <v>355</v>
      </c>
      <c r="B34" s="159" t="s">
        <v>42</v>
      </c>
      <c r="C34" s="87" t="s">
        <v>114</v>
      </c>
      <c r="D34" s="88" t="s">
        <v>112</v>
      </c>
      <c r="E34" s="38" t="s">
        <v>130</v>
      </c>
      <c r="F34" s="38" t="s">
        <v>113</v>
      </c>
      <c r="G34" s="89" t="s">
        <v>115</v>
      </c>
      <c r="H34" s="90" t="s">
        <v>119</v>
      </c>
      <c r="I34" s="160" t="s">
        <v>116</v>
      </c>
      <c r="J34" s="161" t="s">
        <v>365</v>
      </c>
      <c r="K34" s="92"/>
      <c r="L34" s="92">
        <v>1.19</v>
      </c>
      <c r="M34" s="92">
        <v>1.04</v>
      </c>
      <c r="N34" s="153" t="s">
        <v>357</v>
      </c>
      <c r="O34" s="162" t="s">
        <v>120</v>
      </c>
      <c r="P34" s="162" t="s">
        <v>174</v>
      </c>
      <c r="Q34" s="88" t="s">
        <v>213</v>
      </c>
      <c r="R34" s="93"/>
      <c r="S34" s="136" t="s">
        <v>307</v>
      </c>
      <c r="T34" s="163">
        <v>772.99</v>
      </c>
      <c r="U34" s="164">
        <f>T34-AI34</f>
        <v>772.99</v>
      </c>
      <c r="V34" s="165">
        <f>PRODUCT(U34,297)</f>
        <v>229578.03</v>
      </c>
      <c r="W34" s="165">
        <f>PRODUCT(U34,490)</f>
        <v>378765.1</v>
      </c>
      <c r="X34" s="19">
        <f xml:space="preserve"> V34/V34</f>
        <v>1</v>
      </c>
      <c r="Y34" s="31">
        <f xml:space="preserve"> W34/W34</f>
        <v>1</v>
      </c>
      <c r="Z34" s="19"/>
      <c r="AA34" s="68"/>
      <c r="AB34" s="71">
        <f xml:space="preserve"> PRODUCT(Y34,57/57)</f>
        <v>1</v>
      </c>
      <c r="AC34" s="69"/>
      <c r="AD34" s="70"/>
      <c r="AE34" s="31"/>
      <c r="AF34" s="70"/>
      <c r="AG34" s="31"/>
      <c r="AH34" s="21"/>
      <c r="AI34" s="5">
        <f t="shared" si="4"/>
        <v>0</v>
      </c>
    </row>
    <row r="35" spans="1:35" ht="126" hidden="1" customHeight="1" x14ac:dyDescent="0.35">
      <c r="A35" s="98" t="s">
        <v>283</v>
      </c>
      <c r="B35" s="99" t="s">
        <v>251</v>
      </c>
      <c r="C35" s="100" t="s">
        <v>151</v>
      </c>
      <c r="D35" s="66" t="s">
        <v>215</v>
      </c>
      <c r="E35" s="66" t="s">
        <v>152</v>
      </c>
      <c r="F35" s="66" t="s">
        <v>281</v>
      </c>
      <c r="G35" s="34" t="s">
        <v>156</v>
      </c>
      <c r="H35" s="29" t="s">
        <v>153</v>
      </c>
      <c r="I35" s="29" t="s">
        <v>157</v>
      </c>
      <c r="J35" s="113" t="s">
        <v>214</v>
      </c>
      <c r="K35" s="33"/>
      <c r="L35" s="33"/>
      <c r="M35" s="33"/>
      <c r="N35" s="73" t="s">
        <v>288</v>
      </c>
      <c r="O35" s="24" t="s">
        <v>173</v>
      </c>
      <c r="P35" s="24" t="s">
        <v>175</v>
      </c>
      <c r="Q35" s="29"/>
      <c r="R35" s="24"/>
      <c r="S35" s="99" t="s">
        <v>292</v>
      </c>
      <c r="T35" s="102" t="s">
        <v>254</v>
      </c>
      <c r="U35" s="102" t="s">
        <v>254</v>
      </c>
      <c r="V35" s="18">
        <f>PRODUCT(993.12,6.07)+PRODUCT(1338.34,489)</f>
        <v>660476.49840000004</v>
      </c>
      <c r="W35" s="18">
        <f>PRODUCT(993.12,6.07)+PRODUCT(1338.34,489)</f>
        <v>660476.49840000004</v>
      </c>
      <c r="X35" s="19">
        <f xml:space="preserve"> V35/V11</f>
        <v>109.56376549407867</v>
      </c>
      <c r="Y35" s="31">
        <f xml:space="preserve"> W35/W11</f>
        <v>109.56376549407867</v>
      </c>
      <c r="Z35" s="19"/>
      <c r="AA35" s="68"/>
      <c r="AB35" s="71"/>
      <c r="AC35" s="69"/>
      <c r="AD35" s="70"/>
      <c r="AE35" s="31"/>
      <c r="AF35" s="70"/>
      <c r="AG35" s="31"/>
      <c r="AH35" s="21"/>
      <c r="AI35" s="5" t="e">
        <f t="shared" si="4"/>
        <v>#VALUE!</v>
      </c>
    </row>
    <row r="36" spans="1:35" ht="116.25" hidden="1" customHeight="1" x14ac:dyDescent="0.35">
      <c r="A36" s="15" t="s">
        <v>328</v>
      </c>
      <c r="B36" s="39" t="s">
        <v>329</v>
      </c>
      <c r="C36" s="100" t="s">
        <v>165</v>
      </c>
      <c r="D36" s="66" t="s">
        <v>199</v>
      </c>
      <c r="E36" s="66" t="s">
        <v>152</v>
      </c>
      <c r="F36" s="66" t="s">
        <v>282</v>
      </c>
      <c r="G36" s="34" t="s">
        <v>169</v>
      </c>
      <c r="H36" s="29" t="s">
        <v>153</v>
      </c>
      <c r="I36" s="35" t="s">
        <v>166</v>
      </c>
      <c r="J36" s="113" t="s">
        <v>201</v>
      </c>
      <c r="K36" s="28"/>
      <c r="L36" s="28"/>
      <c r="M36" s="28"/>
      <c r="N36" s="73" t="s">
        <v>289</v>
      </c>
      <c r="O36" s="105" t="s">
        <v>180</v>
      </c>
      <c r="P36" s="105" t="s">
        <v>180</v>
      </c>
      <c r="Q36" s="105"/>
      <c r="R36" s="105"/>
      <c r="S36" s="99" t="s">
        <v>293</v>
      </c>
      <c r="T36" s="102" t="s">
        <v>330</v>
      </c>
      <c r="U36" s="102" t="s">
        <v>330</v>
      </c>
      <c r="V36" s="18">
        <f>PRODUCT(2231.94,6)+PRODUCT(1338.34,489)</f>
        <v>667839.9</v>
      </c>
      <c r="W36" s="18">
        <f>PRODUCT(2231.94,6.52)+PRODUCT(1338.34,489)</f>
        <v>669000.50879999995</v>
      </c>
      <c r="X36" s="19">
        <f xml:space="preserve"> V36/V11</f>
        <v>110.78525029799751</v>
      </c>
      <c r="Y36" s="31">
        <f xml:space="preserve"> W36/W11</f>
        <v>110.97777898100379</v>
      </c>
      <c r="Z36" s="19"/>
      <c r="AA36" s="68"/>
      <c r="AB36" s="71">
        <f xml:space="preserve"> PRODUCT(Y36,46/41)</f>
        <v>124.51165446649208</v>
      </c>
      <c r="AC36" s="69"/>
      <c r="AD36" s="70"/>
      <c r="AE36" s="31"/>
      <c r="AF36" s="70"/>
      <c r="AG36" s="31"/>
      <c r="AH36" s="21"/>
      <c r="AI36" s="5" t="e">
        <f t="shared" si="4"/>
        <v>#VALUE!</v>
      </c>
    </row>
    <row r="37" spans="1:35" ht="6" hidden="1" customHeight="1" x14ac:dyDescent="0.35">
      <c r="A37" s="98" t="s">
        <v>331</v>
      </c>
      <c r="B37" s="39" t="s">
        <v>332</v>
      </c>
      <c r="C37" s="100" t="s">
        <v>284</v>
      </c>
      <c r="D37" s="66" t="s">
        <v>285</v>
      </c>
      <c r="E37" s="66" t="s">
        <v>152</v>
      </c>
      <c r="F37" s="66" t="s">
        <v>286</v>
      </c>
      <c r="G37" s="34" t="s">
        <v>287</v>
      </c>
      <c r="H37" s="29" t="s">
        <v>153</v>
      </c>
      <c r="I37" s="35"/>
      <c r="J37" s="113"/>
      <c r="K37" s="28"/>
      <c r="L37" s="28"/>
      <c r="M37" s="28"/>
      <c r="N37" s="73" t="s">
        <v>290</v>
      </c>
      <c r="O37" s="105"/>
      <c r="P37" s="105" t="s">
        <v>180</v>
      </c>
      <c r="Q37" s="105"/>
      <c r="R37" s="105"/>
      <c r="S37" s="99" t="s">
        <v>291</v>
      </c>
      <c r="T37" s="102" t="s">
        <v>333</v>
      </c>
      <c r="U37" s="102" t="s">
        <v>333</v>
      </c>
      <c r="V37" s="18">
        <f>PRODUCT(2231.94,6)+PRODUCT(993.12,6.07)+PRODUCT(1338.34,489)</f>
        <v>673868.13840000005</v>
      </c>
      <c r="W37" s="18">
        <f>PRODUCT(2231.94,6.52)+PRODUCT(993.12,6.07)+PRODUCT(1338.34,489)</f>
        <v>675028.74719999998</v>
      </c>
      <c r="X37" s="19">
        <f xml:space="preserve"> V37/V11</f>
        <v>111.78525029799751</v>
      </c>
      <c r="Y37" s="31">
        <f xml:space="preserve"> W37/W11</f>
        <v>111.97777898100379</v>
      </c>
      <c r="Z37" s="19"/>
      <c r="AA37" s="68"/>
      <c r="AB37" s="71"/>
      <c r="AC37" s="69"/>
      <c r="AD37" s="70"/>
      <c r="AE37" s="31"/>
      <c r="AF37" s="70"/>
      <c r="AG37" s="31"/>
      <c r="AH37" s="21"/>
      <c r="AI37" s="5"/>
    </row>
    <row r="38" spans="1:35" ht="35" customHeight="1" x14ac:dyDescent="0.35">
      <c r="A38" s="158" t="s">
        <v>356</v>
      </c>
      <c r="B38" s="159" t="s">
        <v>28</v>
      </c>
      <c r="C38" s="87" t="s">
        <v>114</v>
      </c>
      <c r="D38" s="88" t="s">
        <v>112</v>
      </c>
      <c r="E38" s="38" t="s">
        <v>130</v>
      </c>
      <c r="F38" s="38" t="s">
        <v>113</v>
      </c>
      <c r="G38" s="89" t="s">
        <v>115</v>
      </c>
      <c r="H38" s="90" t="s">
        <v>119</v>
      </c>
      <c r="I38" s="160" t="s">
        <v>116</v>
      </c>
      <c r="J38" s="161" t="s">
        <v>190</v>
      </c>
      <c r="K38" s="92"/>
      <c r="L38" s="92">
        <v>1.19</v>
      </c>
      <c r="M38" s="92">
        <v>1.04</v>
      </c>
      <c r="N38" s="153" t="s">
        <v>357</v>
      </c>
      <c r="O38" s="162" t="s">
        <v>120</v>
      </c>
      <c r="P38" s="162" t="s">
        <v>174</v>
      </c>
      <c r="Q38" s="88" t="s">
        <v>213</v>
      </c>
      <c r="R38" s="87" t="s">
        <v>277</v>
      </c>
      <c r="S38" s="159" t="s">
        <v>362</v>
      </c>
      <c r="T38" s="163">
        <v>1546.2</v>
      </c>
      <c r="U38" s="164">
        <f>T38-AI38</f>
        <v>1546.2</v>
      </c>
      <c r="V38" s="165">
        <f>PRODUCT(U38,298)</f>
        <v>460767.60000000003</v>
      </c>
      <c r="W38" s="165">
        <f>PRODUCT(U38,490)</f>
        <v>757638</v>
      </c>
      <c r="X38" s="19">
        <f xml:space="preserve"> V38/V34</f>
        <v>2.0070195741291101</v>
      </c>
      <c r="Y38" s="31">
        <f xml:space="preserve"> W38/W34</f>
        <v>2.000284609115254</v>
      </c>
      <c r="Z38" s="19"/>
      <c r="AA38" s="68"/>
      <c r="AB38" s="71">
        <f xml:space="preserve"> PRODUCT(Y38,57/57)</f>
        <v>2.000284609115254</v>
      </c>
      <c r="AC38" s="69"/>
      <c r="AD38" s="70"/>
      <c r="AE38" s="31"/>
      <c r="AF38" s="70"/>
      <c r="AG38" s="31"/>
      <c r="AH38" s="21"/>
      <c r="AI38" s="5">
        <f t="shared" ref="AI38:AI43" si="6">AH38*T38</f>
        <v>0</v>
      </c>
    </row>
    <row r="39" spans="1:35" ht="25" hidden="1" customHeight="1" x14ac:dyDescent="0.35">
      <c r="A39" s="74" t="s">
        <v>97</v>
      </c>
      <c r="B39" s="75" t="s">
        <v>77</v>
      </c>
      <c r="C39" s="76" t="s">
        <v>67</v>
      </c>
      <c r="D39" s="77" t="s">
        <v>68</v>
      </c>
      <c r="E39" s="76" t="s">
        <v>80</v>
      </c>
      <c r="F39" s="77" t="s">
        <v>69</v>
      </c>
      <c r="G39" s="78" t="s">
        <v>78</v>
      </c>
      <c r="H39" s="77" t="s">
        <v>70</v>
      </c>
      <c r="I39" s="79" t="s">
        <v>79</v>
      </c>
      <c r="J39" s="111">
        <v>46</v>
      </c>
      <c r="K39" s="80">
        <v>1.55</v>
      </c>
      <c r="L39" s="80">
        <v>1.28</v>
      </c>
      <c r="M39" s="80">
        <v>1.08</v>
      </c>
      <c r="N39" s="80" t="s">
        <v>37</v>
      </c>
      <c r="O39" s="79" t="s">
        <v>74</v>
      </c>
      <c r="P39" s="79" t="s">
        <v>75</v>
      </c>
      <c r="Q39" s="81" t="s">
        <v>212</v>
      </c>
      <c r="R39" s="79"/>
      <c r="S39" s="135" t="s">
        <v>278</v>
      </c>
      <c r="T39" s="82">
        <v>1445.64</v>
      </c>
      <c r="U39" s="83">
        <f>T39-AI39</f>
        <v>1445.64</v>
      </c>
      <c r="V39" s="84">
        <f>PRODUCT(U39,546)</f>
        <v>789319.44000000006</v>
      </c>
      <c r="W39" s="84">
        <f>PRODUCT(U39,546)</f>
        <v>789319.44000000006</v>
      </c>
      <c r="X39" s="19">
        <f xml:space="preserve"> V39/V11</f>
        <v>130.93699811208529</v>
      </c>
      <c r="Y39" s="31">
        <f xml:space="preserve"> W39/W11</f>
        <v>130.93699811208529</v>
      </c>
      <c r="Z39" s="19"/>
      <c r="AA39" s="68"/>
      <c r="AB39" s="71">
        <f xml:space="preserve"> PRODUCT(Y39,46/46)</f>
        <v>130.93699811208529</v>
      </c>
      <c r="AC39" s="69"/>
      <c r="AD39" s="70"/>
      <c r="AE39" s="31"/>
      <c r="AF39" s="70"/>
      <c r="AG39" s="31"/>
      <c r="AH39" s="21"/>
      <c r="AI39" s="5">
        <f t="shared" si="6"/>
        <v>0</v>
      </c>
    </row>
    <row r="40" spans="1:35" ht="50" customHeight="1" x14ac:dyDescent="0.35">
      <c r="A40" s="154" t="s">
        <v>369</v>
      </c>
      <c r="B40" s="75" t="s">
        <v>136</v>
      </c>
      <c r="C40" s="87" t="s">
        <v>134</v>
      </c>
      <c r="D40" s="88" t="s">
        <v>112</v>
      </c>
      <c r="E40" s="77" t="s">
        <v>135</v>
      </c>
      <c r="F40" s="77" t="s">
        <v>133</v>
      </c>
      <c r="G40" s="89" t="s">
        <v>138</v>
      </c>
      <c r="H40" s="90" t="s">
        <v>137</v>
      </c>
      <c r="I40" s="79" t="s">
        <v>139</v>
      </c>
      <c r="J40" s="111" t="s">
        <v>191</v>
      </c>
      <c r="K40" s="92"/>
      <c r="L40" s="92"/>
      <c r="M40" s="92"/>
      <c r="N40" s="156" t="s">
        <v>364</v>
      </c>
      <c r="O40" s="155" t="s">
        <v>142</v>
      </c>
      <c r="P40" s="155" t="s">
        <v>143</v>
      </c>
      <c r="Q40" s="88"/>
      <c r="R40" s="93"/>
      <c r="S40" s="75" t="s">
        <v>363</v>
      </c>
      <c r="T40" s="83" t="s">
        <v>371</v>
      </c>
      <c r="U40" s="83" t="s">
        <v>371</v>
      </c>
      <c r="V40" s="166">
        <f>PRODUCT(65274.78,12)</f>
        <v>783297.36</v>
      </c>
      <c r="W40" s="166">
        <f>PRODUCT(65274.78,17)</f>
        <v>1109671.26</v>
      </c>
      <c r="X40" s="19">
        <f xml:space="preserve"> V40/V34</f>
        <v>3.4119003460392094</v>
      </c>
      <c r="Y40" s="31">
        <f xml:space="preserve"> W40/W34</f>
        <v>2.9297083073387702</v>
      </c>
      <c r="Z40" s="19"/>
      <c r="AA40" s="68"/>
      <c r="AB40" s="71">
        <f xml:space="preserve"> PRODUCT(Y40,57/40)</f>
        <v>4.1748343379577477</v>
      </c>
      <c r="AC40" s="69"/>
      <c r="AD40" s="70"/>
      <c r="AE40" s="31"/>
      <c r="AF40" s="70"/>
      <c r="AG40" s="31"/>
      <c r="AH40" s="21"/>
      <c r="AI40" s="5" t="e">
        <f t="shared" si="6"/>
        <v>#VALUE!</v>
      </c>
    </row>
    <row r="41" spans="1:35" ht="44.5" customHeight="1" x14ac:dyDescent="0.35">
      <c r="A41" s="154" t="s">
        <v>370</v>
      </c>
      <c r="B41" s="75" t="s">
        <v>144</v>
      </c>
      <c r="C41" s="87" t="s">
        <v>134</v>
      </c>
      <c r="D41" s="88" t="s">
        <v>112</v>
      </c>
      <c r="E41" s="77" t="s">
        <v>135</v>
      </c>
      <c r="F41" s="77" t="s">
        <v>133</v>
      </c>
      <c r="G41" s="89" t="s">
        <v>138</v>
      </c>
      <c r="H41" s="90" t="s">
        <v>137</v>
      </c>
      <c r="I41" s="79" t="s">
        <v>139</v>
      </c>
      <c r="J41" s="111" t="s">
        <v>192</v>
      </c>
      <c r="K41" s="92"/>
      <c r="L41" s="92"/>
      <c r="M41" s="92"/>
      <c r="N41" s="156" t="s">
        <v>364</v>
      </c>
      <c r="O41" s="155" t="s">
        <v>142</v>
      </c>
      <c r="P41" s="155" t="s">
        <v>143</v>
      </c>
      <c r="Q41" s="88"/>
      <c r="R41" s="93"/>
      <c r="S41" s="75" t="s">
        <v>361</v>
      </c>
      <c r="T41" s="83" t="s">
        <v>366</v>
      </c>
      <c r="U41" s="83" t="s">
        <v>366</v>
      </c>
      <c r="V41" s="166">
        <f>PRODUCT(32580.08,12)</f>
        <v>390960.96</v>
      </c>
      <c r="W41" s="166">
        <f>PRODUCT(32580.08,17)</f>
        <v>553861.36</v>
      </c>
      <c r="X41" s="19">
        <f xml:space="preserve"> V41/V34</f>
        <v>1.7029545902105703</v>
      </c>
      <c r="Y41" s="31">
        <f xml:space="preserve"> W41/W34</f>
        <v>1.4622819261859132</v>
      </c>
      <c r="Z41" s="19"/>
      <c r="AA41" s="68"/>
      <c r="AB41" s="71">
        <f xml:space="preserve"> PRODUCT(Y41,57/40)</f>
        <v>2.0837517448149265</v>
      </c>
      <c r="AC41" s="69"/>
      <c r="AD41" s="70"/>
      <c r="AE41" s="31"/>
      <c r="AF41" s="70"/>
      <c r="AG41" s="31"/>
      <c r="AH41" s="21"/>
      <c r="AI41" s="5" t="e">
        <f t="shared" si="6"/>
        <v>#VALUE!</v>
      </c>
    </row>
    <row r="42" spans="1:35" ht="45" customHeight="1" x14ac:dyDescent="0.35">
      <c r="A42" s="120" t="s">
        <v>358</v>
      </c>
      <c r="B42" s="86" t="s">
        <v>136</v>
      </c>
      <c r="C42" s="87" t="s">
        <v>134</v>
      </c>
      <c r="D42" s="88" t="s">
        <v>112</v>
      </c>
      <c r="E42" s="88" t="s">
        <v>135</v>
      </c>
      <c r="F42" s="88" t="s">
        <v>133</v>
      </c>
      <c r="G42" s="89" t="s">
        <v>138</v>
      </c>
      <c r="H42" s="90" t="s">
        <v>137</v>
      </c>
      <c r="I42" s="91" t="s">
        <v>139</v>
      </c>
      <c r="J42" s="112" t="s">
        <v>191</v>
      </c>
      <c r="K42" s="92"/>
      <c r="L42" s="92"/>
      <c r="M42" s="92"/>
      <c r="N42" s="157" t="s">
        <v>364</v>
      </c>
      <c r="O42" s="93" t="s">
        <v>142</v>
      </c>
      <c r="P42" s="93" t="s">
        <v>143</v>
      </c>
      <c r="Q42" s="88"/>
      <c r="R42" s="93"/>
      <c r="S42" s="87" t="s">
        <v>280</v>
      </c>
      <c r="T42" s="95" t="s">
        <v>371</v>
      </c>
      <c r="U42" s="95" t="s">
        <v>371</v>
      </c>
      <c r="V42" s="167">
        <f>PRODUCT(65274.78,61)</f>
        <v>3981761.58</v>
      </c>
      <c r="W42" s="167">
        <f>PRODUCT(65274.78,61)</f>
        <v>3981761.58</v>
      </c>
      <c r="X42" s="19">
        <f xml:space="preserve"> V42/V34</f>
        <v>17.343826759032648</v>
      </c>
      <c r="Y42" s="31">
        <f xml:space="preserve"> W42/W34</f>
        <v>10.512482749862647</v>
      </c>
      <c r="Z42" s="19"/>
      <c r="AA42" s="68"/>
      <c r="AB42" s="71">
        <f xml:space="preserve"> PRODUCT(Y42,57/40)</f>
        <v>14.980287918554273</v>
      </c>
      <c r="AC42" s="69"/>
      <c r="AD42" s="70"/>
      <c r="AE42" s="31"/>
      <c r="AF42" s="70"/>
      <c r="AG42" s="31"/>
      <c r="AH42" s="21"/>
      <c r="AI42" s="5" t="e">
        <f t="shared" si="6"/>
        <v>#VALUE!</v>
      </c>
    </row>
    <row r="43" spans="1:35" ht="46.5" customHeight="1" x14ac:dyDescent="0.35">
      <c r="A43" s="120" t="s">
        <v>359</v>
      </c>
      <c r="B43" s="86" t="s">
        <v>144</v>
      </c>
      <c r="C43" s="87" t="s">
        <v>134</v>
      </c>
      <c r="D43" s="88" t="s">
        <v>112</v>
      </c>
      <c r="E43" s="88" t="s">
        <v>135</v>
      </c>
      <c r="F43" s="88" t="s">
        <v>133</v>
      </c>
      <c r="G43" s="89" t="s">
        <v>138</v>
      </c>
      <c r="H43" s="90" t="s">
        <v>137</v>
      </c>
      <c r="I43" s="91" t="s">
        <v>139</v>
      </c>
      <c r="J43" s="112" t="s">
        <v>192</v>
      </c>
      <c r="K43" s="92"/>
      <c r="L43" s="92"/>
      <c r="M43" s="92"/>
      <c r="N43" s="157" t="s">
        <v>364</v>
      </c>
      <c r="O43" s="93" t="s">
        <v>142</v>
      </c>
      <c r="P43" s="93" t="s">
        <v>143</v>
      </c>
      <c r="Q43" s="88"/>
      <c r="R43" s="93"/>
      <c r="S43" s="87" t="s">
        <v>279</v>
      </c>
      <c r="T43" s="95" t="s">
        <v>366</v>
      </c>
      <c r="U43" s="95" t="s">
        <v>366</v>
      </c>
      <c r="V43" s="167">
        <f>PRODUCT(32580.08,61)</f>
        <v>1987384.8800000001</v>
      </c>
      <c r="W43" s="167">
        <f>PRODUCT(32580.08,61)</f>
        <v>1987384.8800000001</v>
      </c>
      <c r="X43" s="19">
        <f xml:space="preserve"> V43/V34</f>
        <v>8.6566858335703998</v>
      </c>
      <c r="Y43" s="31">
        <f xml:space="preserve"> W43/W34</f>
        <v>5.2470116174906298</v>
      </c>
      <c r="Z43" s="19"/>
      <c r="AA43" s="68"/>
      <c r="AB43" s="71">
        <f xml:space="preserve"> PRODUCT(Y43,57/40)</f>
        <v>7.4769915549241475</v>
      </c>
      <c r="AC43" s="69"/>
      <c r="AD43" s="70"/>
      <c r="AE43" s="31"/>
      <c r="AF43" s="70"/>
      <c r="AG43" s="31"/>
      <c r="AH43" s="21"/>
      <c r="AI43" s="5" t="e">
        <f t="shared" si="6"/>
        <v>#VALUE!</v>
      </c>
    </row>
    <row r="44" spans="1:35" ht="6" customHeight="1" x14ac:dyDescent="0.35">
      <c r="A44" s="2"/>
      <c r="B44" s="2"/>
      <c r="C44" s="2"/>
      <c r="D44" s="2"/>
      <c r="E44" s="2"/>
      <c r="J44" s="114"/>
      <c r="T44" s="7"/>
      <c r="U44" s="7"/>
      <c r="V44" s="7"/>
      <c r="W44" s="7"/>
      <c r="X44" s="7"/>
      <c r="Y44" s="7"/>
      <c r="Z44" s="7"/>
      <c r="AA44" s="7"/>
      <c r="AB44" s="7"/>
      <c r="AC44" s="7"/>
      <c r="AD44" s="7"/>
      <c r="AE44" s="7"/>
      <c r="AF44" s="7"/>
      <c r="AG44" s="7"/>
      <c r="AI44" s="6"/>
    </row>
    <row r="45" spans="1:35" ht="12" customHeight="1" x14ac:dyDescent="0.35">
      <c r="A45" s="12" t="s">
        <v>4</v>
      </c>
      <c r="J45" s="114"/>
    </row>
    <row r="46" spans="1:35" ht="2.5" customHeight="1" x14ac:dyDescent="0.35">
      <c r="A46" s="12"/>
      <c r="J46" s="114"/>
    </row>
    <row r="47" spans="1:35" ht="12" hidden="1" customHeight="1" x14ac:dyDescent="0.35">
      <c r="A47" s="12"/>
      <c r="J47" s="114"/>
    </row>
    <row r="48" spans="1:35" ht="11.25" customHeight="1" x14ac:dyDescent="0.35">
      <c r="A48" s="16" t="s">
        <v>22</v>
      </c>
      <c r="J48" s="114"/>
    </row>
    <row r="49" spans="1:10" ht="14.25" customHeight="1" x14ac:dyDescent="0.35">
      <c r="A49" s="141" t="s">
        <v>262</v>
      </c>
      <c r="J49" s="114"/>
    </row>
    <row r="50" spans="1:10" ht="11.25" customHeight="1" x14ac:dyDescent="0.35">
      <c r="A50" s="12" t="s">
        <v>23</v>
      </c>
      <c r="J50" s="114"/>
    </row>
    <row r="51" spans="1:10" ht="12" customHeight="1" x14ac:dyDescent="0.35">
      <c r="A51" s="64" t="s">
        <v>216</v>
      </c>
      <c r="B51" s="65"/>
      <c r="C51" s="65"/>
      <c r="D51" s="65"/>
      <c r="E51" s="65"/>
      <c r="F51" s="65"/>
      <c r="G51" s="65"/>
      <c r="H51" s="65"/>
      <c r="J51" s="114"/>
    </row>
    <row r="52" spans="1:10" ht="11.25" customHeight="1" x14ac:dyDescent="0.35">
      <c r="A52" s="12" t="s">
        <v>220</v>
      </c>
      <c r="B52" s="65"/>
      <c r="C52" s="65"/>
      <c r="D52" s="65"/>
      <c r="E52" s="65"/>
      <c r="F52" s="65"/>
      <c r="G52" s="65"/>
      <c r="J52" s="114"/>
    </row>
    <row r="53" spans="1:10" ht="11.25" customHeight="1" x14ac:dyDescent="0.35">
      <c r="A53" s="64" t="s">
        <v>334</v>
      </c>
      <c r="B53" s="65"/>
      <c r="C53" s="65"/>
      <c r="D53" s="65"/>
      <c r="E53" s="65"/>
      <c r="F53" s="65"/>
      <c r="G53" s="65"/>
      <c r="H53" s="65"/>
      <c r="I53" s="65"/>
      <c r="J53" s="114"/>
    </row>
    <row r="54" spans="1:10" ht="11.25" customHeight="1" x14ac:dyDescent="0.35">
      <c r="A54" s="64" t="s">
        <v>230</v>
      </c>
      <c r="B54" s="65"/>
      <c r="C54" s="65"/>
      <c r="D54" s="65"/>
      <c r="E54" s="65"/>
      <c r="F54" s="65"/>
      <c r="G54" s="65"/>
      <c r="H54" s="65"/>
      <c r="J54" s="114"/>
    </row>
    <row r="55" spans="1:10" ht="11.25" customHeight="1" x14ac:dyDescent="0.35">
      <c r="A55" s="12" t="s">
        <v>231</v>
      </c>
      <c r="J55" s="114"/>
    </row>
    <row r="56" spans="1:10" ht="11.25" customHeight="1" x14ac:dyDescent="0.35">
      <c r="A56" s="12" t="s">
        <v>117</v>
      </c>
      <c r="J56" s="114"/>
    </row>
    <row r="57" spans="1:10" ht="11.25" customHeight="1" x14ac:dyDescent="0.35">
      <c r="A57" s="12" t="s">
        <v>118</v>
      </c>
      <c r="J57" s="114"/>
    </row>
    <row r="58" spans="1:10" ht="11.25" customHeight="1" x14ac:dyDescent="0.35">
      <c r="A58" s="12" t="s">
        <v>140</v>
      </c>
      <c r="J58" s="114"/>
    </row>
    <row r="59" spans="1:10" ht="10.5" customHeight="1" x14ac:dyDescent="0.35">
      <c r="A59" s="12" t="s">
        <v>141</v>
      </c>
      <c r="J59" s="114"/>
    </row>
    <row r="60" spans="1:10" ht="11.25" customHeight="1" x14ac:dyDescent="0.35">
      <c r="A60" s="12" t="s">
        <v>244</v>
      </c>
      <c r="J60" s="114"/>
    </row>
    <row r="61" spans="1:10" ht="11.25" customHeight="1" x14ac:dyDescent="0.35">
      <c r="A61" s="64" t="s">
        <v>196</v>
      </c>
      <c r="B61" s="65"/>
      <c r="C61" s="65"/>
      <c r="D61" s="65"/>
      <c r="E61" s="65"/>
      <c r="F61" s="65"/>
      <c r="G61" s="65"/>
      <c r="H61" s="65"/>
      <c r="J61" s="114"/>
    </row>
    <row r="62" spans="1:10" ht="11.25" customHeight="1" x14ac:dyDescent="0.35">
      <c r="A62" s="12" t="s">
        <v>195</v>
      </c>
      <c r="J62" s="114"/>
    </row>
    <row r="63" spans="1:10" ht="11.25" customHeight="1" x14ac:dyDescent="0.35">
      <c r="A63" s="12" t="s">
        <v>342</v>
      </c>
      <c r="J63" s="114"/>
    </row>
    <row r="64" spans="1:10" ht="11.25" customHeight="1" x14ac:dyDescent="0.35">
      <c r="A64" s="12" t="s">
        <v>205</v>
      </c>
      <c r="J64" s="114"/>
    </row>
    <row r="65" spans="1:10" ht="11.25" customHeight="1" x14ac:dyDescent="0.35">
      <c r="A65" s="12" t="s">
        <v>206</v>
      </c>
      <c r="J65" s="114"/>
    </row>
    <row r="66" spans="1:10" ht="11.25" customHeight="1" x14ac:dyDescent="0.35">
      <c r="A66" s="12" t="s">
        <v>207</v>
      </c>
      <c r="J66" s="114"/>
    </row>
    <row r="67" spans="1:10" ht="11.25" customHeight="1" x14ac:dyDescent="0.35">
      <c r="A67" s="12" t="s">
        <v>228</v>
      </c>
      <c r="J67" s="114"/>
    </row>
    <row r="68" spans="1:10" ht="11.25" customHeight="1" x14ac:dyDescent="0.35">
      <c r="A68" s="12" t="s">
        <v>229</v>
      </c>
      <c r="J68" s="114"/>
    </row>
    <row r="69" spans="1:10" ht="11.25" customHeight="1" x14ac:dyDescent="0.35">
      <c r="A69" s="12" t="s">
        <v>242</v>
      </c>
      <c r="J69" s="114"/>
    </row>
    <row r="70" spans="1:10" ht="11.25" customHeight="1" x14ac:dyDescent="0.35">
      <c r="A70" s="12" t="s">
        <v>243</v>
      </c>
      <c r="J70" s="114"/>
    </row>
    <row r="71" spans="1:10" ht="14.25" customHeight="1" x14ac:dyDescent="0.35">
      <c r="A71" s="141" t="s">
        <v>265</v>
      </c>
      <c r="J71" s="114"/>
    </row>
    <row r="72" spans="1:10" ht="10.5" customHeight="1" x14ac:dyDescent="0.35">
      <c r="A72" s="141" t="s">
        <v>267</v>
      </c>
      <c r="J72" s="114"/>
    </row>
    <row r="73" spans="1:10" ht="13.5" customHeight="1" x14ac:dyDescent="0.35">
      <c r="A73" s="141" t="s">
        <v>266</v>
      </c>
      <c r="J73" s="114"/>
    </row>
    <row r="74" spans="1:10" ht="13.5" customHeight="1" x14ac:dyDescent="0.35">
      <c r="A74" s="141" t="s">
        <v>268</v>
      </c>
      <c r="J74" s="114"/>
    </row>
    <row r="75" spans="1:10" ht="11.25" customHeight="1" x14ac:dyDescent="0.35">
      <c r="A75" s="141" t="s">
        <v>269</v>
      </c>
      <c r="J75" s="114"/>
    </row>
    <row r="76" spans="1:10" ht="12.75" customHeight="1" x14ac:dyDescent="0.35">
      <c r="A76" s="141" t="s">
        <v>270</v>
      </c>
      <c r="J76" s="114"/>
    </row>
    <row r="77" spans="1:10" ht="12.75" customHeight="1" x14ac:dyDescent="0.35">
      <c r="A77" s="12" t="s">
        <v>360</v>
      </c>
      <c r="J77" s="114"/>
    </row>
    <row r="78" spans="1:10" ht="12.75" customHeight="1" x14ac:dyDescent="0.35">
      <c r="A78" s="12" t="s">
        <v>308</v>
      </c>
      <c r="J78" s="114"/>
    </row>
    <row r="79" spans="1:10" ht="12.75" customHeight="1" x14ac:dyDescent="0.35">
      <c r="A79" s="12" t="s">
        <v>339</v>
      </c>
      <c r="J79" s="114"/>
    </row>
    <row r="80" spans="1:10" ht="11.25" customHeight="1" x14ac:dyDescent="0.35">
      <c r="A80" s="152" t="s">
        <v>340</v>
      </c>
      <c r="J80" s="114"/>
    </row>
    <row r="81" spans="1:10" ht="12.75" customHeight="1" x14ac:dyDescent="0.35">
      <c r="A81" s="12" t="s">
        <v>347</v>
      </c>
      <c r="J81" s="114"/>
    </row>
    <row r="82" spans="1:10" ht="12" customHeight="1" x14ac:dyDescent="0.35">
      <c r="J82" s="114"/>
    </row>
    <row r="83" spans="1:10" x14ac:dyDescent="0.35">
      <c r="J83" s="114"/>
    </row>
    <row r="84" spans="1:10" x14ac:dyDescent="0.35">
      <c r="J84" s="114"/>
    </row>
    <row r="85" spans="1:10" x14ac:dyDescent="0.35">
      <c r="J85" s="114"/>
    </row>
    <row r="86" spans="1:10" ht="21.75" customHeight="1" x14ac:dyDescent="0.35">
      <c r="J86" s="114"/>
    </row>
    <row r="87" spans="1:10" x14ac:dyDescent="0.35">
      <c r="J87" s="114"/>
    </row>
    <row r="88" spans="1:10" x14ac:dyDescent="0.35">
      <c r="J88" s="114"/>
    </row>
    <row r="89" spans="1:10" x14ac:dyDescent="0.35">
      <c r="J89" s="114"/>
    </row>
    <row r="90" spans="1:10" x14ac:dyDescent="0.35">
      <c r="J90" s="114"/>
    </row>
    <row r="91" spans="1:10" x14ac:dyDescent="0.35">
      <c r="J91" s="114"/>
    </row>
    <row r="92" spans="1:10" x14ac:dyDescent="0.35">
      <c r="J92" s="114"/>
    </row>
    <row r="93" spans="1:10" x14ac:dyDescent="0.35">
      <c r="J93" s="114"/>
    </row>
    <row r="94" spans="1:10" x14ac:dyDescent="0.35">
      <c r="J94" s="114"/>
    </row>
    <row r="95" spans="1:10" x14ac:dyDescent="0.35">
      <c r="J95" s="114"/>
    </row>
    <row r="96" spans="1:10" x14ac:dyDescent="0.35">
      <c r="J96" s="114"/>
    </row>
    <row r="97" spans="1:10" x14ac:dyDescent="0.35">
      <c r="J97" s="114"/>
    </row>
    <row r="98" spans="1:10" ht="2.25" customHeight="1" x14ac:dyDescent="0.35">
      <c r="J98" s="114"/>
    </row>
    <row r="99" spans="1:10" x14ac:dyDescent="0.35">
      <c r="J99" s="114"/>
    </row>
    <row r="100" spans="1:10" ht="11.25" customHeight="1" x14ac:dyDescent="0.35">
      <c r="J100" s="114"/>
    </row>
    <row r="101" spans="1:10" ht="9.75" customHeight="1" x14ac:dyDescent="0.35">
      <c r="A101" s="8"/>
      <c r="B101" s="8"/>
      <c r="C101" s="8"/>
      <c r="D101" s="8"/>
      <c r="E101" s="8"/>
      <c r="F101" s="1"/>
      <c r="J101" s="114"/>
    </row>
    <row r="102" spans="1:10" x14ac:dyDescent="0.35">
      <c r="J102" s="114"/>
    </row>
    <row r="103" spans="1:10" x14ac:dyDescent="0.35">
      <c r="J103" s="114"/>
    </row>
    <row r="104" spans="1:10" x14ac:dyDescent="0.35">
      <c r="J104" s="114"/>
    </row>
    <row r="105" spans="1:10" x14ac:dyDescent="0.35">
      <c r="J105" s="114"/>
    </row>
    <row r="106" spans="1:10" x14ac:dyDescent="0.35">
      <c r="J106" s="114"/>
    </row>
    <row r="107" spans="1:10" x14ac:dyDescent="0.35">
      <c r="J107" s="114"/>
    </row>
    <row r="108" spans="1:10" x14ac:dyDescent="0.35">
      <c r="J108" s="114"/>
    </row>
    <row r="109" spans="1:10" x14ac:dyDescent="0.35">
      <c r="J109" s="114"/>
    </row>
    <row r="110" spans="1:10" x14ac:dyDescent="0.35">
      <c r="J110" s="114"/>
    </row>
    <row r="111" spans="1:10" x14ac:dyDescent="0.35">
      <c r="J111" s="114"/>
    </row>
    <row r="112" spans="1:10" x14ac:dyDescent="0.35">
      <c r="J112" s="114"/>
    </row>
    <row r="113" spans="1:10" x14ac:dyDescent="0.35">
      <c r="J113" s="114"/>
    </row>
    <row r="114" spans="1:10" x14ac:dyDescent="0.35">
      <c r="J114" s="114"/>
    </row>
    <row r="115" spans="1:10" x14ac:dyDescent="0.35">
      <c r="J115" s="114"/>
    </row>
    <row r="116" spans="1:10" x14ac:dyDescent="0.35">
      <c r="J116" s="114"/>
    </row>
    <row r="117" spans="1:10" x14ac:dyDescent="0.35">
      <c r="J117" s="114"/>
    </row>
    <row r="118" spans="1:10" x14ac:dyDescent="0.35">
      <c r="J118" s="114"/>
    </row>
    <row r="119" spans="1:10" x14ac:dyDescent="0.35">
      <c r="J119" s="114"/>
    </row>
    <row r="120" spans="1:10" x14ac:dyDescent="0.35">
      <c r="J120" s="114"/>
    </row>
    <row r="121" spans="1:10" x14ac:dyDescent="0.35">
      <c r="A121" s="117" t="s">
        <v>241</v>
      </c>
      <c r="I121" s="117" t="s">
        <v>240</v>
      </c>
      <c r="J121" s="114"/>
    </row>
    <row r="122" spans="1:10" x14ac:dyDescent="0.35">
      <c r="J122" s="114"/>
    </row>
    <row r="141" spans="9:9" x14ac:dyDescent="0.35">
      <c r="I141" s="117" t="s">
        <v>264</v>
      </c>
    </row>
    <row r="156" spans="1:1" ht="11.25" customHeight="1" x14ac:dyDescent="0.35"/>
    <row r="157" spans="1:1" x14ac:dyDescent="0.35">
      <c r="A157" s="117" t="s">
        <v>263</v>
      </c>
    </row>
  </sheetData>
  <autoFilter ref="A2:AH43" xr:uid="{00000000-0009-0000-0000-000000000000}">
    <filterColumn colId="3">
      <customFilters>
        <customFilter val="*prostacy*"/>
      </customFilters>
    </filterColumn>
    <filterColumn colId="7">
      <customFilters>
        <customFilter val="*IV*"/>
      </customFilters>
    </filterColumn>
    <sortState ref="A3:AJ43">
      <sortCondition ref="W2"/>
    </sortState>
  </autoFilter>
  <pageMargins left="0.70866141732283472" right="0.70866141732283472" top="0.78740157480314965" bottom="0.78740157480314965" header="0.31496062992125984" footer="0.31496062992125984"/>
  <pageSetup paperSize="9" scale="4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vt:i4>
      </vt:variant>
    </vt:vector>
  </HeadingPairs>
  <TitlesOfParts>
    <vt:vector size="1" baseType="lpstr">
      <vt:lpstr>List1</vt:lpstr>
    </vt:vector>
  </TitlesOfParts>
  <Company>FNOL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Uživatel systému Windows</dc:creator>
  <cp:lastModifiedBy>Uživatel systému Windows</cp:lastModifiedBy>
  <cp:lastPrinted>2020-08-25T16:49:17Z</cp:lastPrinted>
  <dcterms:created xsi:type="dcterms:W3CDTF">2020-06-23T07:31:22Z</dcterms:created>
  <dcterms:modified xsi:type="dcterms:W3CDTF">2023-06-13T12:04:21Z</dcterms:modified>
</cp:coreProperties>
</file>