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P:\PS\FarmakoekonomickeAnalyzy\Psoriáza\"/>
    </mc:Choice>
  </mc:AlternateContent>
  <xr:revisionPtr revIDLastSave="0" documentId="13_ncr:1_{D0A5975A-FF4E-4B86-8A0D-535546790674}" xr6:coauthVersionLast="36" xr6:coauthVersionMax="36" xr10:uidLastSave="{00000000-0000-0000-0000-000000000000}"/>
  <bookViews>
    <workbookView xWindow="0" yWindow="0" windowWidth="19200" windowHeight="6440" tabRatio="895" xr2:uid="{00000000-000D-0000-FFFF-FFFF00000000}"/>
  </bookViews>
  <sheets>
    <sheet name="počty pacientů" sheetId="11" r:id="rId1"/>
    <sheet name="srovnání účinností" sheetId="17" r:id="rId2"/>
    <sheet name="ceny léčiv" sheetId="15" r:id="rId3"/>
    <sheet name="CEA (po indukci)" sheetId="18" r:id="rId4"/>
    <sheet name="účinnost (po indukci)" sheetId="22" r:id="rId5"/>
    <sheet name="CEA (udrž.terap.)" sheetId="19" r:id="rId6"/>
    <sheet name="účinnost (udrž.terap.)" sheetId="23" r:id="rId7"/>
    <sheet name="efficient frontier" sheetId="21" r:id="rId8"/>
    <sheet name="1.linie - eff.frontier (ind.)" sheetId="25" r:id="rId9"/>
    <sheet name="ICER 1.lin.(po indukci)" sheetId="26" r:id="rId10"/>
    <sheet name="1.linie - eff.frontier (udr.)" sheetId="29" r:id="rId11"/>
    <sheet name="ICER 1.lin.(udrž.terap.)" sheetId="27" r:id="rId12"/>
    <sheet name="Obrázky" sheetId="28" r:id="rId13"/>
  </sheets>
  <definedNames>
    <definedName name="_xlnm._FilterDatabase" localSheetId="2" hidden="1">'ceny léčiv'!$A$2:$AG$276</definedName>
    <definedName name="_xlnm._FilterDatabase" localSheetId="0" hidden="1">'počty pacientů'!$D$23:$I$23</definedName>
    <definedName name="_xlnm._FilterDatabase" localSheetId="1" hidden="1">'srovnání účinností'!$A$2:$M$253</definedName>
    <definedName name="_xlnm.Print_Titles" localSheetId="2">'ceny léčiv'!$1:$2</definedName>
    <definedName name="_xlnm.Print_Titles" localSheetId="1">'srovnání účinností'!$1:$2</definedName>
  </definedNames>
  <calcPr calcId="191029"/>
  <pivotCaches>
    <pivotCache cacheId="0" r:id="rId14"/>
  </pivotCaches>
</workbook>
</file>

<file path=xl/calcChain.xml><?xml version="1.0" encoding="utf-8"?>
<calcChain xmlns="http://schemas.openxmlformats.org/spreadsheetml/2006/main">
  <c r="P12" i="17" l="1"/>
  <c r="P11" i="17"/>
  <c r="B7" i="25" l="1"/>
  <c r="D20" i="26"/>
  <c r="D22" i="26"/>
  <c r="D21" i="26"/>
  <c r="AI27" i="15"/>
  <c r="AI26" i="15"/>
  <c r="R26" i="15" l="1"/>
  <c r="W26" i="15" s="1"/>
  <c r="C14" i="29" s="1"/>
  <c r="R27" i="15"/>
  <c r="W27" i="15" s="1"/>
  <c r="C15" i="29" s="1"/>
  <c r="AI25" i="15"/>
  <c r="R25" i="15" l="1"/>
  <c r="U25" i="15" s="1"/>
  <c r="C7" i="25" s="1"/>
  <c r="C20" i="26" s="1"/>
  <c r="D19" i="26"/>
  <c r="D18" i="26"/>
  <c r="D17" i="26"/>
  <c r="B6" i="25" s="1"/>
  <c r="D16" i="26"/>
  <c r="D15" i="26"/>
  <c r="D14" i="26"/>
  <c r="B5" i="25" s="1"/>
  <c r="D13" i="26"/>
  <c r="D12" i="26"/>
  <c r="D11" i="26"/>
  <c r="B4" i="25" s="1"/>
  <c r="D10" i="26"/>
  <c r="D9" i="26"/>
  <c r="D8" i="26"/>
  <c r="B3" i="25" s="1"/>
  <c r="D7" i="26"/>
  <c r="D6" i="26"/>
  <c r="D5" i="26"/>
  <c r="B2" i="25" s="1"/>
  <c r="E20" i="26" l="1"/>
  <c r="E22" i="26"/>
  <c r="E21" i="26"/>
  <c r="E41" i="11"/>
  <c r="J39" i="11" s="1"/>
  <c r="I40" i="11"/>
  <c r="I39" i="11"/>
  <c r="I38" i="11"/>
  <c r="J40" i="11" l="1"/>
  <c r="J38" i="11"/>
  <c r="D25" i="21"/>
  <c r="B25" i="21" s="1"/>
  <c r="D18" i="21"/>
  <c r="B18" i="21" s="1"/>
  <c r="D9" i="21"/>
  <c r="B9" i="21" s="1"/>
  <c r="D2" i="21"/>
  <c r="B2" i="21" s="1"/>
  <c r="F19" i="17" l="1"/>
  <c r="D30" i="21" s="1"/>
  <c r="B30" i="21" s="1"/>
  <c r="F13" i="17"/>
  <c r="D26" i="21" s="1"/>
  <c r="B26" i="21" s="1"/>
  <c r="F20" i="17"/>
  <c r="D31" i="21" s="1"/>
  <c r="B31" i="21" s="1"/>
  <c r="E20" i="17"/>
  <c r="D15" i="21" s="1"/>
  <c r="B15" i="21" s="1"/>
  <c r="E19" i="17"/>
  <c r="D14" i="21" s="1"/>
  <c r="B14" i="21" s="1"/>
  <c r="I35" i="11"/>
  <c r="F18" i="17" l="1"/>
  <c r="E18" i="17"/>
  <c r="V23" i="15"/>
  <c r="V22" i="15"/>
  <c r="V13" i="15"/>
  <c r="D13" i="21" l="1"/>
  <c r="B13" i="21" s="1"/>
  <c r="D29" i="21"/>
  <c r="B29" i="21" s="1"/>
  <c r="AI24" i="15"/>
  <c r="R24" i="15" s="1"/>
  <c r="W24" i="15" s="1"/>
  <c r="AI23" i="15"/>
  <c r="R23" i="15" s="1"/>
  <c r="U23" i="15" l="1"/>
  <c r="H19" i="17" s="1"/>
  <c r="W23" i="15"/>
  <c r="U24" i="15"/>
  <c r="H20" i="17" s="1"/>
  <c r="C15" i="21" l="1"/>
  <c r="D23" i="22"/>
  <c r="D23" i="18"/>
  <c r="C14" i="21"/>
  <c r="D2" i="22"/>
  <c r="D2" i="18"/>
  <c r="F40" i="11"/>
  <c r="G40" i="11" s="1"/>
  <c r="G20" i="17"/>
  <c r="N20" i="17" s="1"/>
  <c r="F39" i="11"/>
  <c r="G39" i="11" s="1"/>
  <c r="G19" i="17"/>
  <c r="N19" i="17" s="1"/>
  <c r="AI31" i="15"/>
  <c r="R31" i="15" s="1"/>
  <c r="AI30" i="15"/>
  <c r="R30" i="15" s="1"/>
  <c r="AI29" i="15"/>
  <c r="R29" i="15" s="1"/>
  <c r="U29" i="15" s="1"/>
  <c r="C5" i="25" s="1"/>
  <c r="C14" i="26" s="1"/>
  <c r="AI28" i="15"/>
  <c r="W30" i="15" l="1"/>
  <c r="C31" i="21"/>
  <c r="D23" i="19"/>
  <c r="D23" i="23"/>
  <c r="F2" i="22"/>
  <c r="F3" i="22"/>
  <c r="F4" i="22"/>
  <c r="F23" i="22"/>
  <c r="F24" i="22"/>
  <c r="F25" i="22"/>
  <c r="C30" i="21"/>
  <c r="D2" i="19"/>
  <c r="D2" i="23"/>
  <c r="E16" i="26"/>
  <c r="E14" i="26"/>
  <c r="E15" i="26"/>
  <c r="U31" i="15"/>
  <c r="C6" i="25" s="1"/>
  <c r="C17" i="26" s="1"/>
  <c r="W31" i="15"/>
  <c r="R28" i="15"/>
  <c r="W28" i="15" s="1"/>
  <c r="AI22" i="15"/>
  <c r="R22" i="15" s="1"/>
  <c r="S22" i="15"/>
  <c r="B11" i="27" l="1"/>
  <c r="C9" i="29"/>
  <c r="C8" i="29"/>
  <c r="B17" i="27"/>
  <c r="D17" i="27" s="1"/>
  <c r="C13" i="29"/>
  <c r="C12" i="29"/>
  <c r="B14" i="27"/>
  <c r="D16" i="27" s="1"/>
  <c r="C10" i="29"/>
  <c r="C11" i="29"/>
  <c r="D15" i="27"/>
  <c r="D14" i="27"/>
  <c r="W22" i="15"/>
  <c r="U22" i="15"/>
  <c r="H17" i="17" s="1"/>
  <c r="F4" i="23"/>
  <c r="F3" i="23"/>
  <c r="F2" i="23"/>
  <c r="F25" i="23"/>
  <c r="F24" i="23"/>
  <c r="F23" i="23"/>
  <c r="F23" i="19"/>
  <c r="F24" i="19"/>
  <c r="F25" i="19"/>
  <c r="F4" i="19"/>
  <c r="F3" i="19"/>
  <c r="F2" i="19"/>
  <c r="E19" i="26"/>
  <c r="E17" i="26"/>
  <c r="E18" i="26"/>
  <c r="D12" i="27"/>
  <c r="D11" i="27"/>
  <c r="D13" i="27"/>
  <c r="U28" i="15"/>
  <c r="C4" i="25" s="1"/>
  <c r="C11" i="26" s="1"/>
  <c r="T22" i="15"/>
  <c r="D18" i="27" l="1"/>
  <c r="D19" i="27"/>
  <c r="F37" i="11"/>
  <c r="G17" i="17"/>
  <c r="N17" i="17" s="1"/>
  <c r="E12" i="26"/>
  <c r="E13" i="26"/>
  <c r="E11" i="26"/>
  <c r="F17" i="17"/>
  <c r="F16" i="17"/>
  <c r="D22" i="21" s="1"/>
  <c r="B22" i="21" s="1"/>
  <c r="F14" i="17"/>
  <c r="D33" i="21" s="1"/>
  <c r="B33" i="21" s="1"/>
  <c r="F12" i="17"/>
  <c r="D32" i="21" s="1"/>
  <c r="B32" i="21" s="1"/>
  <c r="F11" i="17"/>
  <c r="D28" i="21" s="1"/>
  <c r="B28" i="21" s="1"/>
  <c r="F9" i="17"/>
  <c r="D27" i="21" s="1"/>
  <c r="B27" i="21" s="1"/>
  <c r="F8" i="17"/>
  <c r="D24" i="21" s="1"/>
  <c r="B24" i="21" s="1"/>
  <c r="F7" i="17"/>
  <c r="D20" i="21" s="1"/>
  <c r="B20" i="21" s="1"/>
  <c r="F6" i="17"/>
  <c r="D23" i="21" s="1"/>
  <c r="B23" i="21" s="1"/>
  <c r="F5" i="17"/>
  <c r="D21" i="21" s="1"/>
  <c r="B21" i="21" s="1"/>
  <c r="F4" i="17"/>
  <c r="D19" i="21" s="1"/>
  <c r="B19" i="21" s="1"/>
  <c r="E17" i="17"/>
  <c r="E16" i="17"/>
  <c r="D6" i="21" s="1"/>
  <c r="B6" i="21" s="1"/>
  <c r="E14" i="17"/>
  <c r="D17" i="21" s="1"/>
  <c r="B17" i="21" s="1"/>
  <c r="E13" i="17"/>
  <c r="D10" i="21" s="1"/>
  <c r="B10" i="21" s="1"/>
  <c r="E12" i="17"/>
  <c r="D16" i="21" s="1"/>
  <c r="B16" i="21" s="1"/>
  <c r="E11" i="17"/>
  <c r="D12" i="21" s="1"/>
  <c r="B12" i="21" s="1"/>
  <c r="E9" i="17"/>
  <c r="D11" i="21" s="1"/>
  <c r="B11" i="21" s="1"/>
  <c r="E8" i="17"/>
  <c r="D8" i="21" s="1"/>
  <c r="B8" i="21" s="1"/>
  <c r="E7" i="17"/>
  <c r="D4" i="21" s="1"/>
  <c r="B4" i="21" s="1"/>
  <c r="E6" i="17"/>
  <c r="D7" i="21" s="1"/>
  <c r="B7" i="21" s="1"/>
  <c r="E5" i="17"/>
  <c r="D5" i="21" s="1"/>
  <c r="B5" i="21" s="1"/>
  <c r="E4" i="17"/>
  <c r="D3" i="21" s="1"/>
  <c r="B3" i="21" s="1"/>
  <c r="I37" i="11" l="1"/>
  <c r="J37" i="11" l="1"/>
  <c r="J33" i="11"/>
  <c r="J29" i="11"/>
  <c r="J25" i="11"/>
  <c r="J36" i="11"/>
  <c r="J32" i="11"/>
  <c r="J28" i="11"/>
  <c r="J24" i="11"/>
  <c r="J35" i="11"/>
  <c r="J31" i="11"/>
  <c r="J27" i="11"/>
  <c r="J34" i="11"/>
  <c r="J30" i="11"/>
  <c r="J26" i="11"/>
  <c r="O3" i="15"/>
  <c r="N3" i="15"/>
  <c r="M3" i="15"/>
  <c r="L3" i="15"/>
  <c r="K3" i="15"/>
  <c r="I36" i="11"/>
  <c r="I34" i="11"/>
  <c r="I33" i="11"/>
  <c r="I32" i="11"/>
  <c r="I31" i="11"/>
  <c r="I30" i="11"/>
  <c r="I29" i="11"/>
  <c r="I28" i="11"/>
  <c r="I27" i="11"/>
  <c r="I26" i="11"/>
  <c r="I25" i="11"/>
  <c r="I24" i="11"/>
  <c r="R16" i="15"/>
  <c r="U16" i="15" s="1"/>
  <c r="V12" i="15"/>
  <c r="V11" i="15"/>
  <c r="J41" i="11" l="1"/>
  <c r="G37" i="11"/>
  <c r="AI21" i="15"/>
  <c r="R21" i="15" s="1"/>
  <c r="AI11" i="15"/>
  <c r="R11" i="15" s="1"/>
  <c r="U11" i="15" s="1"/>
  <c r="U21" i="15" l="1"/>
  <c r="W21" i="15"/>
  <c r="W11" i="15"/>
  <c r="AI4" i="15"/>
  <c r="R4" i="15" s="1"/>
  <c r="W4" i="15" l="1"/>
  <c r="U4" i="15"/>
  <c r="G16" i="17"/>
  <c r="V21" i="15"/>
  <c r="H16" i="17"/>
  <c r="T21" i="15"/>
  <c r="S21" i="15"/>
  <c r="D14" i="22" l="1"/>
  <c r="F16" i="22" s="1"/>
  <c r="P7" i="17"/>
  <c r="N16" i="17"/>
  <c r="D14" i="19"/>
  <c r="D14" i="23"/>
  <c r="D14" i="18"/>
  <c r="F16" i="18" s="1"/>
  <c r="C6" i="21"/>
  <c r="C22" i="21"/>
  <c r="F34" i="11"/>
  <c r="G34" i="11" s="1"/>
  <c r="W16" i="15"/>
  <c r="G14" i="17" s="1"/>
  <c r="V16" i="15"/>
  <c r="H14" i="17"/>
  <c r="D38" i="22" s="1"/>
  <c r="T16" i="15"/>
  <c r="S16" i="15"/>
  <c r="S3" i="15"/>
  <c r="T3" i="15"/>
  <c r="U3" i="15"/>
  <c r="H12" i="17" s="1"/>
  <c r="D35" i="22" s="1"/>
  <c r="V3" i="15"/>
  <c r="W3" i="15"/>
  <c r="F27" i="11" s="1"/>
  <c r="G27" i="11" s="1"/>
  <c r="S4" i="15"/>
  <c r="V4" i="15"/>
  <c r="H6" i="17"/>
  <c r="S5" i="15"/>
  <c r="V5" i="15"/>
  <c r="AI5" i="15"/>
  <c r="R5" i="15" s="1"/>
  <c r="U5" i="15" s="1"/>
  <c r="S6" i="15"/>
  <c r="V6" i="15"/>
  <c r="AI6" i="15"/>
  <c r="R6" i="15" s="1"/>
  <c r="U6" i="15" s="1"/>
  <c r="S7" i="15"/>
  <c r="T7" i="15"/>
  <c r="AI7" i="15"/>
  <c r="R7" i="15" s="1"/>
  <c r="S8" i="15"/>
  <c r="T8" i="15"/>
  <c r="V8" i="15"/>
  <c r="AI8" i="15"/>
  <c r="R8" i="15" s="1"/>
  <c r="S9" i="15"/>
  <c r="V9" i="15"/>
  <c r="AI9" i="15"/>
  <c r="R9" i="15" s="1"/>
  <c r="W9" i="15" s="1"/>
  <c r="S10" i="15"/>
  <c r="V10" i="15"/>
  <c r="AI10" i="15"/>
  <c r="R10" i="15" s="1"/>
  <c r="AI12" i="15"/>
  <c r="R12" i="15" s="1"/>
  <c r="S13" i="15"/>
  <c r="AI13" i="15"/>
  <c r="R13" i="15" s="1"/>
  <c r="S14" i="15"/>
  <c r="V14" i="15"/>
  <c r="AI14" i="15"/>
  <c r="R14" i="15" s="1"/>
  <c r="W14" i="15" s="1"/>
  <c r="S15" i="15"/>
  <c r="V15" i="15"/>
  <c r="AI15" i="15"/>
  <c r="R15" i="15" s="1"/>
  <c r="S17" i="15"/>
  <c r="V17" i="15"/>
  <c r="AI17" i="15"/>
  <c r="R17" i="15" s="1"/>
  <c r="T17" i="15" s="1"/>
  <c r="S18" i="15"/>
  <c r="V18" i="15"/>
  <c r="AI18" i="15"/>
  <c r="R18" i="15" s="1"/>
  <c r="T18" i="15" s="1"/>
  <c r="S19" i="15"/>
  <c r="V19" i="15"/>
  <c r="AI19" i="15"/>
  <c r="R19" i="15" s="1"/>
  <c r="W19" i="15" s="1"/>
  <c r="S20" i="15"/>
  <c r="V20" i="15"/>
  <c r="AI20" i="15"/>
  <c r="R20" i="15" s="1"/>
  <c r="W20" i="15" s="1"/>
  <c r="C5" i="29" l="1"/>
  <c r="C4" i="29"/>
  <c r="F15" i="22"/>
  <c r="F14" i="22"/>
  <c r="D17" i="22"/>
  <c r="F17" i="22" s="1"/>
  <c r="P9" i="17"/>
  <c r="N14" i="17"/>
  <c r="V7" i="15"/>
  <c r="U7" i="15"/>
  <c r="H8" i="17" s="1"/>
  <c r="D20" i="18" s="1"/>
  <c r="F20" i="18" s="1"/>
  <c r="U10" i="15"/>
  <c r="H4" i="17" s="1"/>
  <c r="W10" i="15"/>
  <c r="F31" i="11" s="1"/>
  <c r="G31" i="11" s="1"/>
  <c r="U14" i="15"/>
  <c r="H18" i="17" s="1"/>
  <c r="U13" i="15"/>
  <c r="H7" i="17" s="1"/>
  <c r="D8" i="22" s="1"/>
  <c r="W13" i="15"/>
  <c r="G7" i="17" s="1"/>
  <c r="T13" i="15"/>
  <c r="D38" i="23"/>
  <c r="D38" i="19"/>
  <c r="T10" i="15"/>
  <c r="F14" i="19"/>
  <c r="F15" i="19"/>
  <c r="F16" i="19"/>
  <c r="F25" i="11"/>
  <c r="G25" i="11" s="1"/>
  <c r="F38" i="11"/>
  <c r="G38" i="11" s="1"/>
  <c r="G18" i="17"/>
  <c r="W8" i="15"/>
  <c r="U8" i="15"/>
  <c r="F35" i="22"/>
  <c r="F36" i="22"/>
  <c r="F37" i="22"/>
  <c r="W15" i="15"/>
  <c r="G13" i="17" s="1"/>
  <c r="U15" i="15"/>
  <c r="H13" i="17" s="1"/>
  <c r="D26" i="22" s="1"/>
  <c r="F38" i="22"/>
  <c r="F39" i="22"/>
  <c r="F40" i="22"/>
  <c r="F16" i="23"/>
  <c r="F15" i="23"/>
  <c r="F14" i="23"/>
  <c r="U19" i="15"/>
  <c r="F14" i="18"/>
  <c r="F15" i="18"/>
  <c r="D35" i="18"/>
  <c r="F37" i="18" s="1"/>
  <c r="C16" i="21"/>
  <c r="D38" i="18"/>
  <c r="F40" i="18" s="1"/>
  <c r="C17" i="21"/>
  <c r="U9" i="15"/>
  <c r="D17" i="18"/>
  <c r="F19" i="18" s="1"/>
  <c r="C7" i="21"/>
  <c r="C33" i="21"/>
  <c r="U18" i="15"/>
  <c r="W18" i="15"/>
  <c r="W17" i="15"/>
  <c r="T19" i="15"/>
  <c r="T9" i="15"/>
  <c r="T14" i="15"/>
  <c r="W12" i="15"/>
  <c r="U12" i="15"/>
  <c r="T20" i="15"/>
  <c r="T15" i="15"/>
  <c r="H11" i="17"/>
  <c r="D32" i="22" s="1"/>
  <c r="F28" i="11"/>
  <c r="G28" i="11" s="1"/>
  <c r="G3" i="17"/>
  <c r="G12" i="17"/>
  <c r="N12" i="17" s="1"/>
  <c r="G11" i="17"/>
  <c r="W6" i="15"/>
  <c r="H5" i="17"/>
  <c r="T6" i="15"/>
  <c r="W5" i="15"/>
  <c r="H9" i="17"/>
  <c r="D29" i="22" s="1"/>
  <c r="T5" i="15"/>
  <c r="T4" i="15"/>
  <c r="G15" i="17" l="1"/>
  <c r="C6" i="29"/>
  <c r="C7" i="29"/>
  <c r="N18" i="17"/>
  <c r="F18" i="22"/>
  <c r="N7" i="17"/>
  <c r="F36" i="11"/>
  <c r="G36" i="11" s="1"/>
  <c r="F19" i="22"/>
  <c r="N11" i="17"/>
  <c r="F32" i="11"/>
  <c r="G32" i="11" s="1"/>
  <c r="C8" i="21"/>
  <c r="C26" i="21"/>
  <c r="N13" i="17"/>
  <c r="D11" i="22"/>
  <c r="F11" i="22" s="1"/>
  <c r="P5" i="17"/>
  <c r="D20" i="22"/>
  <c r="F21" i="22" s="1"/>
  <c r="W7" i="15"/>
  <c r="G8" i="17"/>
  <c r="P6" i="17" s="1"/>
  <c r="F29" i="11"/>
  <c r="G29" i="11" s="1"/>
  <c r="B8" i="27"/>
  <c r="D8" i="27" s="1"/>
  <c r="C4" i="21"/>
  <c r="K7" i="17"/>
  <c r="D8" i="19"/>
  <c r="D8" i="23"/>
  <c r="F40" i="19"/>
  <c r="F39" i="19"/>
  <c r="F38" i="19"/>
  <c r="D35" i="19"/>
  <c r="D35" i="23"/>
  <c r="I20" i="17"/>
  <c r="H40" i="11" s="1"/>
  <c r="K19" i="17"/>
  <c r="K20" i="17"/>
  <c r="I19" i="17"/>
  <c r="H39" i="11" s="1"/>
  <c r="K17" i="17"/>
  <c r="F8" i="22"/>
  <c r="F10" i="22"/>
  <c r="F9" i="22"/>
  <c r="F35" i="11"/>
  <c r="G35" i="11" s="1"/>
  <c r="C29" i="21"/>
  <c r="K18" i="17"/>
  <c r="D5" i="23"/>
  <c r="D5" i="19"/>
  <c r="I18" i="17"/>
  <c r="H38" i="11" s="1"/>
  <c r="F40" i="23"/>
  <c r="F38" i="23"/>
  <c r="F39" i="23"/>
  <c r="F26" i="22"/>
  <c r="F27" i="22"/>
  <c r="F28" i="22"/>
  <c r="H3" i="17"/>
  <c r="J18" i="17" s="1"/>
  <c r="C2" i="25"/>
  <c r="C5" i="26" s="1"/>
  <c r="F29" i="22"/>
  <c r="F31" i="22"/>
  <c r="F30" i="22"/>
  <c r="C28" i="21"/>
  <c r="D32" i="19"/>
  <c r="D32" i="23"/>
  <c r="F32" i="22"/>
  <c r="F34" i="22"/>
  <c r="F33" i="22"/>
  <c r="K13" i="17"/>
  <c r="D26" i="23"/>
  <c r="D26" i="19"/>
  <c r="C3" i="25"/>
  <c r="C8" i="26" s="1"/>
  <c r="H15" i="17"/>
  <c r="N15" i="17" s="1"/>
  <c r="K14" i="17"/>
  <c r="C13" i="21"/>
  <c r="D5" i="18"/>
  <c r="F6" i="18" s="1"/>
  <c r="D5" i="22"/>
  <c r="F39" i="18"/>
  <c r="H10" i="17"/>
  <c r="F33" i="11"/>
  <c r="G33" i="11" s="1"/>
  <c r="B5" i="27"/>
  <c r="G4" i="17"/>
  <c r="F38" i="18"/>
  <c r="D8" i="18"/>
  <c r="F9" i="18" s="1"/>
  <c r="F35" i="18"/>
  <c r="F36" i="18"/>
  <c r="F18" i="18"/>
  <c r="F21" i="18"/>
  <c r="F22" i="18"/>
  <c r="F17" i="18"/>
  <c r="C18" i="21"/>
  <c r="K3" i="17"/>
  <c r="I17" i="17"/>
  <c r="H37" i="11" s="1"/>
  <c r="I16" i="17"/>
  <c r="H34" i="11" s="1"/>
  <c r="K16" i="17"/>
  <c r="C3" i="21"/>
  <c r="I13" i="17"/>
  <c r="H32" i="11" s="1"/>
  <c r="C5" i="21"/>
  <c r="F23" i="18"/>
  <c r="I14" i="17"/>
  <c r="I11" i="17"/>
  <c r="H28" i="11" s="1"/>
  <c r="C12" i="21"/>
  <c r="D26" i="18"/>
  <c r="F28" i="18" s="1"/>
  <c r="C10" i="21"/>
  <c r="C11" i="21"/>
  <c r="C20" i="21"/>
  <c r="I7" i="17"/>
  <c r="H36" i="11" s="1"/>
  <c r="C32" i="21"/>
  <c r="I12" i="17"/>
  <c r="H27" i="11" s="1"/>
  <c r="K12" i="17"/>
  <c r="G10" i="17"/>
  <c r="D29" i="18"/>
  <c r="F4" i="18"/>
  <c r="F3" i="18"/>
  <c r="F2" i="18"/>
  <c r="D11" i="18"/>
  <c r="D32" i="18"/>
  <c r="I15" i="17"/>
  <c r="H35" i="11" s="1"/>
  <c r="G6" i="17"/>
  <c r="N6" i="17" s="1"/>
  <c r="F26" i="11"/>
  <c r="G26" i="11" s="1"/>
  <c r="F30" i="11"/>
  <c r="G30" i="11" s="1"/>
  <c r="G5" i="17"/>
  <c r="N5" i="17" s="1"/>
  <c r="F24" i="11"/>
  <c r="G24" i="11" s="1"/>
  <c r="G9" i="17"/>
  <c r="N9" i="17" s="1"/>
  <c r="C17" i="11"/>
  <c r="F13" i="22" l="1"/>
  <c r="I8" i="17"/>
  <c r="H29" i="11" s="1"/>
  <c r="F12" i="22"/>
  <c r="K8" i="17"/>
  <c r="J10" i="17"/>
  <c r="N3" i="17"/>
  <c r="C2" i="21"/>
  <c r="J6" i="17"/>
  <c r="L9" i="17"/>
  <c r="L18" i="17"/>
  <c r="D10" i="27"/>
  <c r="N8" i="17"/>
  <c r="P10" i="17"/>
  <c r="P8" i="17"/>
  <c r="N10" i="17"/>
  <c r="K4" i="17"/>
  <c r="N4" i="17"/>
  <c r="F22" i="22"/>
  <c r="F20" i="22"/>
  <c r="D9" i="27"/>
  <c r="C9" i="21"/>
  <c r="J16" i="17"/>
  <c r="C24" i="21"/>
  <c r="D20" i="19"/>
  <c r="D20" i="23"/>
  <c r="J17" i="17"/>
  <c r="L7" i="17"/>
  <c r="J8" i="17"/>
  <c r="L16" i="17"/>
  <c r="J15" i="17"/>
  <c r="J11" i="17"/>
  <c r="L5" i="17"/>
  <c r="J4" i="17"/>
  <c r="J7" i="17"/>
  <c r="J14" i="17"/>
  <c r="L8" i="17"/>
  <c r="L6" i="17"/>
  <c r="L4" i="17"/>
  <c r="J9" i="17"/>
  <c r="J5" i="17"/>
  <c r="L12" i="17"/>
  <c r="J12" i="17"/>
  <c r="J13" i="17"/>
  <c r="L3" i="17"/>
  <c r="D29" i="19"/>
  <c r="D29" i="23"/>
  <c r="G41" i="11"/>
  <c r="K40" i="11" s="1"/>
  <c r="F28" i="19"/>
  <c r="F27" i="19"/>
  <c r="F26" i="19"/>
  <c r="F5" i="19"/>
  <c r="F7" i="19"/>
  <c r="F6" i="19"/>
  <c r="F37" i="23"/>
  <c r="F36" i="23"/>
  <c r="F35" i="23"/>
  <c r="F10" i="23"/>
  <c r="F9" i="23"/>
  <c r="F8" i="23"/>
  <c r="D17" i="19"/>
  <c r="D17" i="23"/>
  <c r="F28" i="23"/>
  <c r="F27" i="23"/>
  <c r="F26" i="23"/>
  <c r="J20" i="17"/>
  <c r="J19" i="17"/>
  <c r="L20" i="17"/>
  <c r="L17" i="17"/>
  <c r="F7" i="23"/>
  <c r="F6" i="23"/>
  <c r="F5" i="23"/>
  <c r="F36" i="19"/>
  <c r="F35" i="19"/>
  <c r="F37" i="19"/>
  <c r="F8" i="19"/>
  <c r="F9" i="19"/>
  <c r="F10" i="19"/>
  <c r="E10" i="26"/>
  <c r="E8" i="26"/>
  <c r="E9" i="26"/>
  <c r="F32" i="19"/>
  <c r="F33" i="19"/>
  <c r="F34" i="19"/>
  <c r="D11" i="19"/>
  <c r="D11" i="23"/>
  <c r="F5" i="22"/>
  <c r="F7" i="22"/>
  <c r="F6" i="22"/>
  <c r="F34" i="23"/>
  <c r="F33" i="23"/>
  <c r="F32" i="23"/>
  <c r="I4" i="17"/>
  <c r="H31" i="11" s="1"/>
  <c r="D5" i="27"/>
  <c r="D6" i="27"/>
  <c r="D7" i="27"/>
  <c r="E7" i="26"/>
  <c r="E5" i="26"/>
  <c r="E6" i="26"/>
  <c r="C19" i="21"/>
  <c r="F8" i="18"/>
  <c r="F10" i="18"/>
  <c r="F24" i="18"/>
  <c r="F7" i="18"/>
  <c r="F27" i="18"/>
  <c r="F26" i="18"/>
  <c r="F25" i="18"/>
  <c r="F5" i="18"/>
  <c r="C27" i="21"/>
  <c r="I9" i="17"/>
  <c r="H24" i="11" s="1"/>
  <c r="K9" i="17"/>
  <c r="C25" i="21"/>
  <c r="I10" i="17"/>
  <c r="H33" i="11" s="1"/>
  <c r="C23" i="21"/>
  <c r="I6" i="17"/>
  <c r="H26" i="11" s="1"/>
  <c r="K6" i="17"/>
  <c r="C21" i="21"/>
  <c r="I5" i="17"/>
  <c r="H30" i="11" s="1"/>
  <c r="K5" i="17"/>
  <c r="F13" i="18"/>
  <c r="F12" i="18"/>
  <c r="F11" i="18"/>
  <c r="F31" i="18"/>
  <c r="F30" i="18"/>
  <c r="F29" i="18"/>
  <c r="F33" i="18"/>
  <c r="F32" i="18"/>
  <c r="F34" i="18"/>
  <c r="F21" i="23" l="1"/>
  <c r="F20" i="23"/>
  <c r="F22" i="23"/>
  <c r="F22" i="19"/>
  <c r="F21" i="19"/>
  <c r="F20" i="19"/>
  <c r="K38" i="11"/>
  <c r="K39" i="11"/>
  <c r="F12" i="19"/>
  <c r="F13" i="19"/>
  <c r="F11" i="19"/>
  <c r="F18" i="19"/>
  <c r="F17" i="19"/>
  <c r="F19" i="19"/>
  <c r="F31" i="23"/>
  <c r="F30" i="23"/>
  <c r="F29" i="23"/>
  <c r="F13" i="23"/>
  <c r="F12" i="23"/>
  <c r="F11" i="23"/>
  <c r="F19" i="23"/>
  <c r="F18" i="23"/>
  <c r="F17" i="23"/>
  <c r="F29" i="19"/>
  <c r="F31" i="19"/>
  <c r="F30" i="19"/>
  <c r="K37" i="11"/>
  <c r="K34" i="11"/>
  <c r="K25" i="11"/>
  <c r="K27" i="11"/>
  <c r="K31" i="11"/>
  <c r="K36" i="11"/>
  <c r="K35" i="11"/>
  <c r="K28" i="11"/>
  <c r="K32" i="11"/>
  <c r="K29" i="11"/>
  <c r="K26" i="11"/>
  <c r="K33" i="11"/>
  <c r="K24" i="11"/>
  <c r="K30" i="11"/>
  <c r="K4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Uživatel systému Windows</author>
  </authors>
  <commentList>
    <comment ref="Q25" authorId="0" shapeId="0" xr:uid="{16040D9C-BFD1-44CF-9BD6-301788F53B7F}">
      <text>
        <r>
          <rPr>
            <sz val="9"/>
            <color indexed="81"/>
            <rFont val="Tahoma"/>
            <charset val="1"/>
          </rPr>
          <t xml:space="preserve">Cena dle nabídky Phoenix
</t>
        </r>
      </text>
    </comment>
    <comment ref="Q26" authorId="0" shapeId="0" xr:uid="{74E2EA5C-D6F5-4EF9-BD26-5713EE94F2DF}">
      <text>
        <r>
          <rPr>
            <sz val="9"/>
            <color indexed="81"/>
            <rFont val="Tahoma"/>
            <charset val="1"/>
          </rPr>
          <t xml:space="preserve">Cena dle nabídky Phoenix
</t>
        </r>
      </text>
    </comment>
    <comment ref="Q27" authorId="0" shapeId="0" xr:uid="{F8B7FDBD-2A12-4DDF-BCE9-F40D25A058B9}">
      <text>
        <r>
          <rPr>
            <sz val="9"/>
            <color indexed="81"/>
            <rFont val="Tahoma"/>
            <charset val="1"/>
          </rPr>
          <t xml:space="preserve">Cena dle nabídky Phoenix
</t>
        </r>
      </text>
    </comment>
  </commentList>
</comments>
</file>

<file path=xl/sharedStrings.xml><?xml version="1.0" encoding="utf-8"?>
<sst xmlns="http://schemas.openxmlformats.org/spreadsheetml/2006/main" count="1093" uniqueCount="532">
  <si>
    <t>ENBREL</t>
  </si>
  <si>
    <t>HUMIRA</t>
  </si>
  <si>
    <t>1.</t>
  </si>
  <si>
    <t>2.</t>
  </si>
  <si>
    <t>3.</t>
  </si>
  <si>
    <t>4.</t>
  </si>
  <si>
    <t>5.</t>
  </si>
  <si>
    <t>6.</t>
  </si>
  <si>
    <t>7.</t>
  </si>
  <si>
    <t>8.</t>
  </si>
  <si>
    <t>9.</t>
  </si>
  <si>
    <t>10.</t>
  </si>
  <si>
    <t>11.</t>
  </si>
  <si>
    <t>12.</t>
  </si>
  <si>
    <t>STELARA</t>
  </si>
  <si>
    <t>COSENTYX</t>
  </si>
  <si>
    <t>INFLECTRA</t>
  </si>
  <si>
    <t>infliximab</t>
  </si>
  <si>
    <t>adalimumab</t>
  </si>
  <si>
    <t>etanercept</t>
  </si>
  <si>
    <t>HUMIRA (HIDRADENITIS SU)</t>
  </si>
  <si>
    <t>OTEZLA</t>
  </si>
  <si>
    <t xml:space="preserve">TALTZ </t>
  </si>
  <si>
    <t xml:space="preserve">název </t>
  </si>
  <si>
    <t>KYNTHEUM</t>
  </si>
  <si>
    <t>TREMFYA</t>
  </si>
  <si>
    <t>CIMZIA</t>
  </si>
  <si>
    <t>HYRIMOZ</t>
  </si>
  <si>
    <t>13.</t>
  </si>
  <si>
    <t>SKYRIZI</t>
  </si>
  <si>
    <t>14.</t>
  </si>
  <si>
    <t xml:space="preserve">součet </t>
  </si>
  <si>
    <t>14 dní</t>
  </si>
  <si>
    <r>
      <t xml:space="preserve">Doporučená </t>
    </r>
    <r>
      <rPr>
        <u/>
        <sz val="8"/>
        <rFont val="Arial"/>
        <family val="2"/>
        <charset val="238"/>
      </rPr>
      <t>úvodní dávka</t>
    </r>
    <r>
      <rPr>
        <sz val="8"/>
        <rFont val="Arial"/>
        <family val="2"/>
        <charset val="238"/>
      </rPr>
      <t xml:space="preserve"> adalimumabu pro dospělé pacienty je </t>
    </r>
    <r>
      <rPr>
        <u/>
        <sz val="8"/>
        <rFont val="Arial"/>
        <family val="2"/>
        <charset val="238"/>
      </rPr>
      <t xml:space="preserve">80 mg </t>
    </r>
    <r>
      <rPr>
        <sz val="8"/>
        <rFont val="Arial"/>
        <family val="2"/>
        <charset val="238"/>
      </rPr>
      <t xml:space="preserve">podaných subkutánně, po níž následuje </t>
    </r>
    <r>
      <rPr>
        <i/>
        <u/>
        <sz val="8"/>
        <rFont val="Arial"/>
        <family val="2"/>
        <charset val="238"/>
      </rPr>
      <t>dávka 40 mg</t>
    </r>
    <r>
      <rPr>
        <sz val="8"/>
        <rFont val="Arial"/>
        <family val="2"/>
        <charset val="238"/>
      </rPr>
      <t xml:space="preserve"> subkutánně </t>
    </r>
    <r>
      <rPr>
        <i/>
        <u/>
        <sz val="8"/>
        <rFont val="Arial"/>
        <family val="2"/>
        <charset val="238"/>
      </rPr>
      <t>každý druhý týden</t>
    </r>
    <r>
      <rPr>
        <sz val="8"/>
        <rFont val="Arial"/>
        <family val="2"/>
        <charset val="238"/>
      </rPr>
      <t xml:space="preserve">, počínaje prvním týdnem po úvodní dávce. Pokračování v léčbě po dobu delší než 16 týdnů je nutno pečlivě zvážit u těch pacientů, u kterých nedošlo k během této doby k odpovědi.                                                                                                         </t>
    </r>
    <r>
      <rPr>
        <b/>
        <u/>
        <sz val="8"/>
        <rFont val="Arial"/>
        <family val="2"/>
        <charset val="238"/>
      </rPr>
      <t>Pacienti s nedostatečnou odpovědí na léčbu adalimumabem 40 mg jednou za dva týdny mohou mít kdykoli po 16. týdnu léčby přínos ze zvýšení dávkování na</t>
    </r>
    <r>
      <rPr>
        <sz val="8"/>
        <rFont val="Arial"/>
        <family val="2"/>
        <charset val="238"/>
      </rPr>
      <t xml:space="preserve"> </t>
    </r>
    <r>
      <rPr>
        <b/>
        <u/>
        <sz val="8"/>
        <rFont val="Arial"/>
        <family val="2"/>
        <charset val="238"/>
      </rPr>
      <t>40 mg jednou týdně</t>
    </r>
    <r>
      <rPr>
        <sz val="8"/>
        <rFont val="Arial"/>
        <family val="2"/>
        <charset val="238"/>
      </rPr>
      <t xml:space="preserve"> nebo 80 mg jednou za dva týdny. Přínos a rizika pokračování léčby 40 mg jednou týdně nebo 80 mg jednou za dva týdny by měly být pečlivě zváženy u pacientů, u kterých nedošlo po zvýšení dávkování k adekvátní odpovědi. </t>
    </r>
    <r>
      <rPr>
        <b/>
        <u/>
        <sz val="8"/>
        <rFont val="Arial"/>
        <family val="2"/>
        <charset val="238"/>
      </rPr>
      <t>V případě dosažení adekvátní odpovědi při dávkování 40 mg</t>
    </r>
    <r>
      <rPr>
        <sz val="8"/>
        <rFont val="Arial"/>
        <family val="2"/>
        <charset val="238"/>
      </rPr>
      <t xml:space="preserve"> </t>
    </r>
    <r>
      <rPr>
        <b/>
        <u/>
        <sz val="8"/>
        <rFont val="Arial"/>
        <family val="2"/>
        <charset val="238"/>
      </rPr>
      <t>jednou týdně</t>
    </r>
    <r>
      <rPr>
        <sz val="8"/>
        <rFont val="Arial"/>
        <family val="2"/>
        <charset val="238"/>
      </rPr>
      <t xml:space="preserve"> nebo 80 mg jednou za dva týdny </t>
    </r>
    <r>
      <rPr>
        <b/>
        <u/>
        <sz val="8"/>
        <rFont val="Arial"/>
        <family val="2"/>
        <charset val="238"/>
      </rPr>
      <t>může být dávkování následně sníženo na 40 mg každý druhý týden</t>
    </r>
    <r>
      <rPr>
        <sz val="8"/>
        <rFont val="Arial"/>
        <family val="2"/>
        <charset val="238"/>
      </rPr>
      <t>.</t>
    </r>
  </si>
  <si>
    <t xml:space="preserve">přejít na levněší biosimilar Hyrimoz </t>
  </si>
  <si>
    <r>
      <t xml:space="preserve">Léčba závažné chronické ložiskové </t>
    </r>
    <r>
      <rPr>
        <u/>
        <sz val="8"/>
        <rFont val="Arial"/>
        <family val="2"/>
        <charset val="238"/>
      </rPr>
      <t>psoriázy u dětí a dospívajících od 4 let</t>
    </r>
    <r>
      <rPr>
        <sz val="8"/>
        <rFont val="Arial"/>
        <family val="2"/>
        <charset val="238"/>
      </rPr>
      <t>, postihující více než 10% tělesného povrchu (BSA) nebo PASI více než 10, u kterých reakce na lokální terapii a fototerapii nebyla dostatečná nebo nejsou pro tuto léčbu vhodnými kandidáty. Léčba se ukončí, pokud pacienti nevykáží po 16 týdnech od zahájení terapie zlepšení v parametru PASI nebo BSA alespoň o 50%. Přípravky dodávané jako předplněná injekční stříkačka nebo předplněné pero mohou být použity pouze tehdy, je-li aplikován jejich celý objem.  POZOR! platí jen pro sílu 40mg.</t>
    </r>
  </si>
  <si>
    <t>Léčba aktivní a progresivní psoriatické artritidy u dospělých v případech, kdy po předchozím podání chorobu modifikujících antirevmatických léků nebylo dosaženo adekvátní terapeutické odpovědi.   POZOR! Platí jen pro sílu 40mg</t>
  </si>
  <si>
    <t>* kde nelze použít dva z následujících způsobů konvenční systémové léčby: acitretin, methotrexát, cyklosporin nebo fototerapii (PUVA či NBUVB) z důvodů nedostatečné účinnosti, intolerance či kontraindikace, nebo                                         * mají současně aktivní psoriatickou artropatii, kde nelze použít methotrexát z důvodů nedostatečné účinnosti, intolerance či kontraindikace.</t>
  </si>
  <si>
    <t>inhibitor TNF-alfa</t>
  </si>
  <si>
    <t>ano</t>
  </si>
  <si>
    <t>AMGEVITA 40mg inj. 2x0,8ml</t>
  </si>
  <si>
    <t>Nastavená cena z VZ</t>
  </si>
  <si>
    <t xml:space="preserve">1. volba u pacientů bez PsA či s PsA </t>
  </si>
  <si>
    <t>1. volba u pacientů bez PsA či s PsA při nemožnosti použít infliximab (oproti němu má pomalejší nástup účinku) - viz sloupce výhody/nevýhody</t>
  </si>
  <si>
    <t>1. volba u pacientů bez PsA či s PsA při nemožnosti použít etanercept (oproti němu má méně dostupných dat) - viz sloupce výhody/nevýhody</t>
  </si>
  <si>
    <t>ano (originál)</t>
  </si>
  <si>
    <t>HULIO 40mg inj. 2x0,8ml</t>
  </si>
  <si>
    <t>2. volba u pacientů bez PsA či s PsA při nemožnosti použít infliximab (oproti němu má pomalejší nástup účinku) - viz sloupce výhody/nevýhody</t>
  </si>
  <si>
    <t>2. volba u pacientů bez PsA či s PsA při nemožnosti použít etanercept (oproti němu má méně dostupných dat) - viz sloupce výhody/nevýhody</t>
  </si>
  <si>
    <t>Léčba aktivní a progresivní psoriatické artritidy u dospělých v případech, kdy po předchozím podání chorobu modifikujících antirevmatických léků (DMARD) nebylo dosaženo adekvátní terapeutické odpovědi. Přípravek se podává v kombinaci s methotrexátem, ale lze jej podávat i v monoterapii při nesnášenlivosti methotrexátu nebo v případech, kdy pokračování v léčbě methotrexátem není možné.</t>
  </si>
  <si>
    <t>* kde nelze použít dva z následujících způsobů konvenční systémové léčby: acitretin, methotrexát, cyklosporin, apremilast nebo fototerapii (PUVA či NBUVB) z důvodů nedostatečné účinnosti, intolerance či kontraindikace  nebo                                 * mají současně aktivní psoriatickou artropatii, kde nelze použít methotrexát z důvodů nedostatečné účinnosti, intolerance či kontraindikace.</t>
  </si>
  <si>
    <t>certolizumab pegol</t>
  </si>
  <si>
    <t>CIMZIA 200mg inj.  2x1ml</t>
  </si>
  <si>
    <t>8 - 9,5 dne</t>
  </si>
  <si>
    <r>
      <t>Podává se</t>
    </r>
    <r>
      <rPr>
        <u/>
        <sz val="8"/>
        <rFont val="Arial"/>
        <family val="2"/>
        <charset val="238"/>
      </rPr>
      <t xml:space="preserve"> 5 mg/kg ve formě intravenózní infuze a následně další infuze 5 mg/kg ve 2. a 6. týdnu po první infuzi</t>
    </r>
    <r>
      <rPr>
        <sz val="8"/>
        <rFont val="Arial"/>
        <family val="2"/>
        <charset val="238"/>
      </rPr>
      <t xml:space="preserve">, a pak </t>
    </r>
    <r>
      <rPr>
        <i/>
        <u/>
        <sz val="8"/>
        <rFont val="Arial"/>
        <family val="2"/>
        <charset val="238"/>
      </rPr>
      <t>každý 8. týden</t>
    </r>
    <r>
      <rPr>
        <sz val="8"/>
        <rFont val="Arial"/>
        <family val="2"/>
        <charset val="238"/>
      </rPr>
      <t xml:space="preserve">. Jestliže pacient nereaguje na léčbu do 14 týdnů (tj. po 4 dávkách), neměla by se další léčba infliximabem podávat.                                                   </t>
    </r>
    <r>
      <rPr>
        <i/>
        <sz val="8"/>
        <rFont val="Arial"/>
        <family val="2"/>
        <charset val="238"/>
      </rPr>
      <t>Opětovné podání u psoriázy:</t>
    </r>
    <r>
      <rPr>
        <sz val="8"/>
        <rFont val="Arial"/>
        <family val="2"/>
        <charset val="238"/>
      </rPr>
      <t xml:space="preserve"> Omezené zkušenosti s opětovnou léčbou psoriázy jednotlivou dávkou infliximabu po 20 týdnech svědčí pro snížení účinnosti a vyšší incidenci mírných až středně závažných poinfuzních reakcí v porovnání s úvodní indukční terapií. Omezené zkušenosti z opětovné léčby reindukčním režimem po vzplanutí onemocnění svědčí oproti udržovací léčbě podávané v 8-týdenních intervalech pro vyšší incidenci reakcí na infuzi, včetně závažných.</t>
    </r>
  </si>
  <si>
    <t>Léčba aktivní a progresivní psoriatické artritidy u dospělých v případech, kdy po předchozím podání chorobu modifikujících antirevmatických léků nebylo dosaženo adekvátní terapeutické odpovědi. Přípravek se podává v kombinaci s methotrexátem, ale lze jej podávat i v monoterapii při nesnášenlivosti methotrexátu nebo v případech, kdy pokračování v léčbě methotrexátem není možné.</t>
  </si>
  <si>
    <t>3 dny</t>
  </si>
  <si>
    <r>
      <t xml:space="preserve">Doporučená dávka je 25 mg etanerceptu podaná 2x týdně nebo </t>
    </r>
    <r>
      <rPr>
        <u/>
        <sz val="8"/>
        <rFont val="Arial"/>
        <family val="2"/>
        <charset val="238"/>
      </rPr>
      <t>50 mg podaná jednou týdně</t>
    </r>
    <r>
      <rPr>
        <sz val="8"/>
        <rFont val="Arial"/>
        <family val="2"/>
        <charset val="238"/>
      </rPr>
      <t xml:space="preserve">. </t>
    </r>
    <r>
      <rPr>
        <b/>
        <u/>
        <sz val="8"/>
        <rFont val="Arial"/>
        <family val="2"/>
        <charset val="238"/>
      </rPr>
      <t>Alternativně může být podáváno 50 mg 2x týdně až 12 týdnů a dále, je-li to nezbytné</t>
    </r>
    <r>
      <rPr>
        <sz val="8"/>
        <rFont val="Arial"/>
        <family val="2"/>
        <charset val="238"/>
      </rPr>
      <t xml:space="preserve">, dávka 25 mg 2x týdně nebo </t>
    </r>
    <r>
      <rPr>
        <b/>
        <u/>
        <sz val="8"/>
        <rFont val="Arial"/>
        <family val="2"/>
        <charset val="238"/>
      </rPr>
      <t>50 mg</t>
    </r>
    <r>
      <rPr>
        <sz val="8"/>
        <rFont val="Arial"/>
        <family val="2"/>
        <charset val="238"/>
      </rPr>
      <t xml:space="preserve"> </t>
    </r>
    <r>
      <rPr>
        <b/>
        <u/>
        <sz val="8"/>
        <rFont val="Arial"/>
        <family val="2"/>
        <charset val="238"/>
      </rPr>
      <t>jednou týdně</t>
    </r>
    <r>
      <rPr>
        <sz val="8"/>
        <rFont val="Arial"/>
        <family val="2"/>
        <charset val="238"/>
      </rPr>
      <t>. Léčení etanerceptem má pokračovat až do dosažení remise, až po dobu 24 týdnů. U některých dospělých pacientů může být vhodné pokračování v terapii po 24 týdnech. U pacientů, kteří nevykazují odpověď po 12 týdnech, má být léčení ukončeno.                                                   Je-li indikována opakovaná léčba, má se dodržet výše uvedená délka léčení. Dávka má být 25 mg 2x týdně nebo 50 mg jednou týdně.</t>
    </r>
  </si>
  <si>
    <r>
      <t xml:space="preserve">* Léčba těžké ložiskové </t>
    </r>
    <r>
      <rPr>
        <u/>
        <sz val="8"/>
        <rFont val="Arial"/>
        <family val="2"/>
        <charset val="238"/>
      </rPr>
      <t>psoriázy u dětí a dospívajících ve věku od 6 let</t>
    </r>
    <r>
      <rPr>
        <sz val="8"/>
        <rFont val="Arial"/>
        <family val="2"/>
        <charset val="238"/>
      </rPr>
      <t xml:space="preserve">, postihující více než 10% tělesného povrchu (BSA) nebo PASI více než 10, kteří neodpovídají dostatečně na léčbu nebo netolerují jinou celkovou terapii nebo fototerapii. Léčba se ukončí, pokud pacienti nevykáží po 3 měsících od zahájení terapie zlepšení v parametru PASI nebo BSA alespoň o 50%.                                              *Léčba </t>
    </r>
    <r>
      <rPr>
        <u/>
        <sz val="8"/>
        <rFont val="Arial"/>
        <family val="2"/>
        <charset val="238"/>
      </rPr>
      <t>psoriatické artritidy u dospívajících ve věku od 12 let</t>
    </r>
    <r>
      <rPr>
        <sz val="8"/>
        <rFont val="Arial"/>
        <family val="2"/>
        <charset val="238"/>
      </rPr>
      <t>, u nichž nebylo dosaženo adekvátní odpovědi po předchozím podání chorobu modifikujících antirevmatických léků, nebo u nichž chorobu modifikující antirevmatické léky nebyly tolerovány.</t>
    </r>
  </si>
  <si>
    <t>Léčba aktivní a progresivní psoriatické artritidy u dospělých v případech, kdy po předchozím podání chorobu modifikujících antirevmatických léků nebylo dosaženo adekvátní terapeutické odpovědi.</t>
  </si>
  <si>
    <t>BENEPALI 50mg inj. 4x1ml</t>
  </si>
  <si>
    <t>1. volba u pacientů bez PsA či s PsA  (preferováno pro rychlý nástup účinku)</t>
  </si>
  <si>
    <t>jen hodiny (6-9 hod)</t>
  </si>
  <si>
    <r>
      <t xml:space="preserve">Doporučená dávka přípravku apremilast je </t>
    </r>
    <r>
      <rPr>
        <u/>
        <sz val="8"/>
        <rFont val="Arial"/>
        <family val="2"/>
        <charset val="238"/>
      </rPr>
      <t>30 mg dvakrát denně</t>
    </r>
    <r>
      <rPr>
        <sz val="8"/>
        <rFont val="Arial"/>
        <family val="2"/>
        <charset val="238"/>
      </rPr>
      <t xml:space="preserve"> perorálně, ráno a večer, v intervalu přibližně 12 hod, bez omezení příjmu potravin. Je nutné dodržovat </t>
    </r>
    <r>
      <rPr>
        <i/>
        <u/>
        <sz val="8"/>
        <rFont val="Arial"/>
        <family val="2"/>
        <charset val="238"/>
      </rPr>
      <t>plán úvodní titrace uvedený v Tabulce 1 dle SPC</t>
    </r>
    <r>
      <rPr>
        <sz val="8"/>
        <rFont val="Arial"/>
        <family val="2"/>
        <charset val="238"/>
      </rPr>
      <t>. Po úvodní titraci není nutná žádná další titrace.    V průběhu pivotních studií bylo největší zlepšení zaznamenáno během prvních 24 týdnů léčby. U pacienta, který po 24 týdnech léčby nevykazuje žádné známky léčebného přínosu, je třeba léčbu přehodnotit. Odpověď pacienta na léčbu musí být pravidelně hodnocena. Klinické zkušenosti delší než 52 týdnů nejsou k dispozici .</t>
    </r>
  </si>
  <si>
    <t>1. volba u pacientů bez PsA s KI na biologika nebo před nasazením biologik u pacientů, u nichž nelze použít dva ze způsobů konvenční syst.léčby (viz sloupec E) POZOR ! apremilast má nižší účinnost než biologika</t>
  </si>
  <si>
    <t>nejsou pro něj dostupná data</t>
  </si>
  <si>
    <t>inhibitor PDE4</t>
  </si>
  <si>
    <t>18 dní</t>
  </si>
  <si>
    <t>* klinicky významné aktivní infekce</t>
  </si>
  <si>
    <r>
      <t xml:space="preserve">Doporučená dávka přípravku Tremfya je </t>
    </r>
    <r>
      <rPr>
        <u/>
        <sz val="8"/>
        <rFont val="Arial"/>
        <family val="2"/>
        <charset val="238"/>
      </rPr>
      <t>100 mg subkutánní injekcí v nultém a 4. týdnu</t>
    </r>
    <r>
      <rPr>
        <sz val="8"/>
        <rFont val="Arial"/>
        <family val="2"/>
        <charset val="238"/>
      </rPr>
      <t xml:space="preserve">, následuje </t>
    </r>
    <r>
      <rPr>
        <i/>
        <u/>
        <sz val="8"/>
        <rFont val="Arial"/>
        <family val="2"/>
        <charset val="238"/>
      </rPr>
      <t>udržovací dávka každých 8 týdnů</t>
    </r>
    <r>
      <rPr>
        <sz val="8"/>
        <rFont val="Arial"/>
        <family val="2"/>
        <charset val="238"/>
      </rPr>
      <t>.  U pacientů, kteří po 16 týdnech léčby nevykáží žádnou odpověď, je nutno zvážit ukončení léčby.</t>
    </r>
  </si>
  <si>
    <t>* nedosažení hodnoty PASI 50 po úvodních 4 měsících léčby nebo                                            * poklesu účinnosti zavedené léčby guselkumabem pod PASI 50 nebo při účinnosti v intervalu PASI 50-75, je-li současně hodnota DLQI &gt;= 5.</t>
  </si>
  <si>
    <t xml:space="preserve">* nedošlo k dosažení hodnoty PASI 50 po 3 resp. 4 měsících (podle druhu přípravku) předchozí biologické léčby;                                      * došlo k poklesu účinnosti zavedené biologické léčby pod PASI 50 nebo při účinnosti v intervalu PASI 50-75, je-li současně hodnota DLQI &gt;= 5;                                       * je KI jiná biologická léčba, nebo je předchozí biologická léčba ukončena z důvodu NÚ. </t>
  </si>
  <si>
    <t>kde nelze použít dva z následujících způsobů konvenční systémové léčby: acitretin, methotrexát, cyklosporin, apremilast nebo fototerapii (PUVA či NBUVB) z důvodů nedostatečné účinnosti, intolerance či kontraindikace</t>
  </si>
  <si>
    <t>inhibitor IL-23</t>
  </si>
  <si>
    <t>guselkumab</t>
  </si>
  <si>
    <t>TREMFYA 100mg inj. 1x1ml</t>
  </si>
  <si>
    <t>11 dní</t>
  </si>
  <si>
    <r>
      <t xml:space="preserve">Doporučená dávka je </t>
    </r>
    <r>
      <rPr>
        <u/>
        <sz val="8"/>
        <rFont val="Arial"/>
        <family val="2"/>
        <charset val="238"/>
      </rPr>
      <t xml:space="preserve">210 mg </t>
    </r>
    <r>
      <rPr>
        <sz val="8"/>
        <rFont val="Arial"/>
        <family val="2"/>
        <charset val="238"/>
      </rPr>
      <t xml:space="preserve">ve formě subkutánní injekce </t>
    </r>
    <r>
      <rPr>
        <u/>
        <sz val="8"/>
        <rFont val="Arial"/>
        <family val="2"/>
        <charset val="238"/>
      </rPr>
      <t>v týdnech 0, 1 a 2</t>
    </r>
    <r>
      <rPr>
        <sz val="8"/>
        <rFont val="Arial"/>
        <family val="2"/>
        <charset val="238"/>
      </rPr>
      <t xml:space="preserve">, </t>
    </r>
    <r>
      <rPr>
        <i/>
        <u/>
        <sz val="8"/>
        <rFont val="Arial"/>
        <family val="2"/>
        <charset val="238"/>
      </rPr>
      <t>následovaná dávkou 210 mg každé 2 týdny</t>
    </r>
    <r>
      <rPr>
        <sz val="8"/>
        <rFont val="Arial"/>
        <family val="2"/>
        <charset val="238"/>
      </rPr>
      <t>.    U pacientů bez zjevné odpovědi po 12 až 16 týdnech léčby se má zvážit vysazení léčby. Někteří pacienti s počáteční částečnou odpovědí se mohou zlepšit v dalším průběhu léčby i po 16 týdnu.</t>
    </r>
  </si>
  <si>
    <t>2. volba u pacientů bez PsA</t>
  </si>
  <si>
    <t>* nedosažení hodnoty PASI 50 po úvodních 4 měsících léčby nebo                                            * poklesu účinnosti zavedené léčby brodalumabem pod PASI 50 nebo při účinnosti v intervalu PASI 50-75, je-li současně hodnota DLQI &gt;= 5.</t>
  </si>
  <si>
    <t>inhibitor IL-17A, IL-17F a IL-25</t>
  </si>
  <si>
    <t>brodalumab</t>
  </si>
  <si>
    <t>KYNTHEUM 210mg inj. 2x1,5ml</t>
  </si>
  <si>
    <t>27 dní</t>
  </si>
  <si>
    <r>
      <t xml:space="preserve">Doporučená dávka je </t>
    </r>
    <r>
      <rPr>
        <u/>
        <sz val="8"/>
        <rFont val="Arial"/>
        <family val="2"/>
        <charset val="238"/>
      </rPr>
      <t>300 mg sekukinumabu</t>
    </r>
    <r>
      <rPr>
        <sz val="8"/>
        <rFont val="Arial"/>
        <family val="2"/>
        <charset val="238"/>
      </rPr>
      <t xml:space="preserve"> ve formě subkutánní injekce </t>
    </r>
    <r>
      <rPr>
        <u/>
        <sz val="8"/>
        <rFont val="Arial"/>
        <family val="2"/>
        <charset val="238"/>
      </rPr>
      <t>s iniciálním podáním v týdnech 0, 1, 2, 3 a 4</t>
    </r>
    <r>
      <rPr>
        <sz val="8"/>
        <rFont val="Arial"/>
        <family val="2"/>
        <charset val="238"/>
      </rPr>
      <t xml:space="preserve">, </t>
    </r>
    <r>
      <rPr>
        <i/>
        <u/>
        <sz val="8"/>
        <rFont val="Arial"/>
        <family val="2"/>
        <charset val="238"/>
      </rPr>
      <t>následovaná měsíční udržovací dávkou</t>
    </r>
    <r>
      <rPr>
        <sz val="8"/>
        <rFont val="Arial"/>
        <family val="2"/>
        <charset val="238"/>
      </rPr>
      <t>. Každá dávka 300 mg je podána ve dvou dílčích subkutánních injekcích po 150 mg.</t>
    </r>
  </si>
  <si>
    <t>Secukinumab samotný nebo v kombinaci s methotrexátem je hrazen u dospělých pacientů s aktivní a progresivní psoriatickou artritidou v případech, kdy po předchozím podání chorobu modifikujících antirevmatických léků nebylo dosaženo adekvátní terapeutické odpovědi.</t>
  </si>
  <si>
    <t>* nedosažení hodnoty PASI 50 po úvodních 4 měsících léčby nebo                                            * poklesu účinnosti zavedené léčby secukinumabem pod PASI 50 nebo při účinnosti v intervalu PASI 50-75, je-li současně hodnota DLQI &gt;= 5.</t>
  </si>
  <si>
    <t xml:space="preserve">* nedošlo k dosažení hodnoty PASI 50 po 3 resp. 4 měsících (podle druhu přípravku) předchozí biologické léčby;                                            * došlo k poklesu účinnosti zavedené biologické léčby pod PASI 50 nebo při účinnosti v intervalu PASI 50-75, je-li současně hodnota DLQI &gt;= 5;                                       * je KI jiná biologická léčba, nebo je předchozí biologická léčba ukončena z důvodu NÚ. </t>
  </si>
  <si>
    <t>* kde nelze použít dva z následujících způsobů konvenční systémové léčby: acitretin, methotrexát, cyklosporin nebo fototerapii (PUVA či NBUVB) z důvodů nedostatečné účinnosti, intolerance či kontraindikace, nebo                                     * mají současně aktivní psoriatickou artropatii, kde nelze použít methotrexát z důvodů nedostatečné účinnosti, intolerance či kontraindikace.</t>
  </si>
  <si>
    <t>inhibitor IL-17A</t>
  </si>
  <si>
    <t>secukinumab</t>
  </si>
  <si>
    <t>COSENTYX 150mg inj. 2x1ml</t>
  </si>
  <si>
    <t>13 dní</t>
  </si>
  <si>
    <r>
      <t xml:space="preserve">Doporučená dávka je </t>
    </r>
    <r>
      <rPr>
        <u/>
        <sz val="8"/>
        <rFont val="Arial"/>
        <family val="2"/>
        <charset val="238"/>
      </rPr>
      <t>160 mg</t>
    </r>
    <r>
      <rPr>
        <sz val="8"/>
        <rFont val="Arial"/>
        <family val="2"/>
        <charset val="238"/>
      </rPr>
      <t xml:space="preserve"> ve formě subkutánních injekcí (dvě injekce po 80 mg) </t>
    </r>
    <r>
      <rPr>
        <u/>
        <sz val="8"/>
        <rFont val="Arial"/>
        <family val="2"/>
        <charset val="238"/>
      </rPr>
      <t>v týdnu 0 následovaná dávkou po 80 mg</t>
    </r>
    <r>
      <rPr>
        <sz val="8"/>
        <rFont val="Arial"/>
        <family val="2"/>
        <charset val="238"/>
      </rPr>
      <t xml:space="preserve"> (jedna injekce) </t>
    </r>
    <r>
      <rPr>
        <u/>
        <sz val="8"/>
        <rFont val="Arial"/>
        <family val="2"/>
        <charset val="238"/>
      </rPr>
      <t>v týdnech 2, 4, 6, 8, 10 a 12</t>
    </r>
    <r>
      <rPr>
        <sz val="8"/>
        <rFont val="Arial"/>
        <family val="2"/>
        <charset val="238"/>
      </rPr>
      <t xml:space="preserve">. </t>
    </r>
    <r>
      <rPr>
        <i/>
        <u/>
        <sz val="8"/>
        <rFont val="Arial"/>
        <family val="2"/>
        <charset val="238"/>
      </rPr>
      <t xml:space="preserve">Poté probíhá udržovací terapie v dávce 80 mg </t>
    </r>
    <r>
      <rPr>
        <sz val="8"/>
        <rFont val="Arial"/>
        <family val="2"/>
        <charset val="238"/>
      </rPr>
      <t xml:space="preserve">(jedna injekce) </t>
    </r>
    <r>
      <rPr>
        <i/>
        <u/>
        <sz val="8"/>
        <rFont val="Arial"/>
        <family val="2"/>
        <charset val="238"/>
      </rPr>
      <t>každé 4 týdny</t>
    </r>
    <r>
      <rPr>
        <sz val="8"/>
        <rFont val="Arial"/>
        <family val="2"/>
        <charset val="238"/>
      </rPr>
      <t>.</t>
    </r>
  </si>
  <si>
    <t>* nedosažení hodnoty PASI 50 po úvodních 4 měsících léčby nebo                                            * poklesu účinnosti zavedené léčby ixekizumabem pod PASI 50 nebo při účinnosti v intervalu PASI 50-75, je-li současně hodnota DLQI &gt;= 5.</t>
  </si>
  <si>
    <t>kde nelze použít dva z následujících způsobů konvenční systémové léčby: acitretin, methotrexát, cyklosporin nebo fototerapii (PUVA či NBUVB) z důvodů nedostatečné účinnosti, intolerance či kontraindikace</t>
  </si>
  <si>
    <t>ixekizumab</t>
  </si>
  <si>
    <t>TALTZ 80mg inj. 2x1ml</t>
  </si>
  <si>
    <t>balení za 1Kč!?</t>
  </si>
  <si>
    <t>21 dní</t>
  </si>
  <si>
    <r>
      <t xml:space="preserve">Doporučené dávkování přípravku Stelara je </t>
    </r>
    <r>
      <rPr>
        <u/>
        <sz val="8"/>
        <rFont val="Arial"/>
        <family val="2"/>
        <charset val="238"/>
      </rPr>
      <t>45 mg aplikovaných subkutánně jako počáteční dávka, následovaných dávkou 45 mg za 4 týdny</t>
    </r>
    <r>
      <rPr>
        <sz val="8"/>
        <rFont val="Arial"/>
        <family val="2"/>
        <charset val="238"/>
      </rPr>
      <t xml:space="preserve"> a </t>
    </r>
    <r>
      <rPr>
        <i/>
        <u/>
        <sz val="8"/>
        <rFont val="Arial"/>
        <family val="2"/>
        <charset val="238"/>
      </rPr>
      <t>dále pak každých 12 týdnů</t>
    </r>
    <r>
      <rPr>
        <sz val="8"/>
        <rFont val="Arial"/>
        <family val="2"/>
        <charset val="238"/>
      </rPr>
      <t xml:space="preserve">. U pacientů, u kterých se neobjeví odpověď na léčbu do 28. týdne, je nutno zvážit ukončení léčby.          </t>
    </r>
    <r>
      <rPr>
        <i/>
        <sz val="8"/>
        <rFont val="Arial"/>
        <family val="2"/>
        <charset val="238"/>
      </rPr>
      <t xml:space="preserve">                                                            Pacienti s tělesnou hmotností &gt; 100 kg</t>
    </r>
    <r>
      <rPr>
        <sz val="8"/>
        <rFont val="Arial"/>
        <family val="2"/>
        <charset val="238"/>
      </rPr>
      <t>: U pacientů s tělesnou hmotností &gt; 100 kg je počáteční dávka 90 mg subkutánně, následovaná dávkou 90 mg o 4 týdny později a dále pak v intervalu 12 týdnů (</t>
    </r>
    <r>
      <rPr>
        <b/>
        <sz val="8"/>
        <rFont val="Arial"/>
        <family val="2"/>
        <charset val="238"/>
      </rPr>
      <t>CAVE! v ČR je hrazena jen dávka 45 mg !!</t>
    </r>
    <r>
      <rPr>
        <sz val="8"/>
        <rFont val="Arial"/>
        <family val="2"/>
        <charset val="238"/>
      </rPr>
      <t>). U těchto pacientů s tělesnou hmotností &gt; 100 kg byla dávka 45 mg také účinná, ale s dávkou 90 mg byla u těchto pacientů vyšší účinnost.</t>
    </r>
  </si>
  <si>
    <t>dle FDA může být použit (má ale nižší účinnost než TNFi !!) - v ČR on-label, ale mimo úhradové podmínky !!</t>
  </si>
  <si>
    <t>* nedosažení hodnoty PASI 50 po 16 týdnech léčby ustekinumabem nebo                          * poklesu účinnosti zavedené léčby ustekinumabem pod PASI 50 nebo při účinnosti v intervalu PASI 50-75, je-li současně hodnota DLQI &gt;= 5.</t>
  </si>
  <si>
    <r>
      <t xml:space="preserve">kde nelze použít dva z následujících způsobů konvenční systémové léčby: acitretin, methotrexát, cyklosporin nebo fototerapii (PUVA či NBUVB) z důvodů nedostatečné účinnosti, intolerance či kontraindikace - </t>
    </r>
    <r>
      <rPr>
        <b/>
        <u/>
        <sz val="8"/>
        <rFont val="Arial"/>
        <family val="2"/>
        <charset val="238"/>
      </rPr>
      <t xml:space="preserve">POZOR ! Úhrada se týká jen dávky 45mg.    V rámci jedné dávky je ve všech indikacích hrazena pouze jedna injekční lahvička s obsahem 45 mg ustekinumabu. </t>
    </r>
  </si>
  <si>
    <t>inhibitor IL-12 a IL-23</t>
  </si>
  <si>
    <t>ustekinumab</t>
  </si>
  <si>
    <t>STELARA 45mg inj. 1x0,5ml</t>
  </si>
  <si>
    <t>Bonus</t>
  </si>
  <si>
    <r>
      <t>volba doporučení indikace</t>
    </r>
    <r>
      <rPr>
        <vertAlign val="superscript"/>
        <sz val="10"/>
        <rFont val="Arial"/>
        <family val="2"/>
        <charset val="238"/>
      </rPr>
      <t>1</t>
    </r>
    <r>
      <rPr>
        <sz val="10"/>
        <rFont val="Arial"/>
        <family val="2"/>
        <charset val="238"/>
      </rPr>
      <t xml:space="preserve"> u pacientů </t>
    </r>
    <r>
      <rPr>
        <b/>
        <sz val="10"/>
        <rFont val="Arial"/>
        <family val="2"/>
        <charset val="238"/>
      </rPr>
      <t>s komorbiditou: diabetem</t>
    </r>
  </si>
  <si>
    <r>
      <t>volba doporučení indikace</t>
    </r>
    <r>
      <rPr>
        <vertAlign val="superscript"/>
        <sz val="10"/>
        <rFont val="Arial"/>
        <family val="2"/>
        <charset val="238"/>
      </rPr>
      <t>1</t>
    </r>
    <r>
      <rPr>
        <sz val="10"/>
        <rFont val="Arial"/>
        <family val="2"/>
        <charset val="238"/>
      </rPr>
      <t xml:space="preserve"> u pacientů </t>
    </r>
    <r>
      <rPr>
        <b/>
        <sz val="10"/>
        <rFont val="Arial"/>
        <family val="2"/>
        <charset val="238"/>
      </rPr>
      <t>s komorbiditou: demyelin.onem.</t>
    </r>
  </si>
  <si>
    <r>
      <t>volba doporučení indikace</t>
    </r>
    <r>
      <rPr>
        <vertAlign val="superscript"/>
        <sz val="10"/>
        <rFont val="Arial"/>
        <family val="2"/>
        <charset val="238"/>
      </rPr>
      <t>1</t>
    </r>
    <r>
      <rPr>
        <sz val="10"/>
        <rFont val="Arial"/>
        <family val="2"/>
        <charset val="238"/>
      </rPr>
      <t xml:space="preserve"> u pacientů </t>
    </r>
    <r>
      <rPr>
        <b/>
        <sz val="10"/>
        <rFont val="Arial"/>
        <family val="2"/>
        <charset val="238"/>
      </rPr>
      <t>s komorbiditou: abusus alkoholu</t>
    </r>
  </si>
  <si>
    <r>
      <t xml:space="preserve">biologický poločas </t>
    </r>
    <r>
      <rPr>
        <vertAlign val="superscript"/>
        <sz val="10"/>
        <rFont val="Arial"/>
        <family val="2"/>
        <charset val="238"/>
      </rPr>
      <t>2, 3</t>
    </r>
  </si>
  <si>
    <t>účinnost PASI 90 po 3-4 měsících léčby</t>
  </si>
  <si>
    <t>KI (kromě alerg.reakce na účinnou či pomoc.látky) relativní:</t>
  </si>
  <si>
    <t>nevýhody:</t>
  </si>
  <si>
    <t>výhody:</t>
  </si>
  <si>
    <r>
      <t xml:space="preserve">cena roční udržovací léčby </t>
    </r>
    <r>
      <rPr>
        <sz val="8"/>
        <rFont val="Arial"/>
        <family val="2"/>
        <charset val="238"/>
      </rPr>
      <t>(nepočítano se zvýšením dávky v některých případech u některých přípravků)</t>
    </r>
  </si>
  <si>
    <t>cena za počáteční dávkování se započtením bonusů</t>
  </si>
  <si>
    <r>
      <t xml:space="preserve">cena za počáteční dávkování </t>
    </r>
    <r>
      <rPr>
        <vertAlign val="superscript"/>
        <sz val="10"/>
        <rFont val="Arial"/>
        <family val="2"/>
        <charset val="238"/>
      </rPr>
      <t>2</t>
    </r>
  </si>
  <si>
    <r>
      <t>volba doporučení indikace</t>
    </r>
    <r>
      <rPr>
        <vertAlign val="superscript"/>
        <sz val="10"/>
        <rFont val="Arial"/>
        <family val="2"/>
        <charset val="238"/>
      </rPr>
      <t>1</t>
    </r>
    <r>
      <rPr>
        <sz val="10"/>
        <rFont val="Arial"/>
        <family val="2"/>
        <charset val="238"/>
      </rPr>
      <t xml:space="preserve"> u pacientů s </t>
    </r>
    <r>
      <rPr>
        <b/>
        <sz val="10"/>
        <rFont val="Arial"/>
        <family val="2"/>
        <charset val="238"/>
      </rPr>
      <t>nehtovou psoriázou</t>
    </r>
  </si>
  <si>
    <r>
      <t>volba doporučení indikace</t>
    </r>
    <r>
      <rPr>
        <vertAlign val="superscript"/>
        <sz val="10"/>
        <rFont val="Arial"/>
        <family val="2"/>
        <charset val="238"/>
      </rPr>
      <t>1</t>
    </r>
    <r>
      <rPr>
        <sz val="10"/>
        <rFont val="Arial"/>
        <family val="2"/>
        <charset val="238"/>
      </rPr>
      <t xml:space="preserve"> u pacientů s </t>
    </r>
    <r>
      <rPr>
        <b/>
        <sz val="10"/>
        <rFont val="Arial"/>
        <family val="2"/>
        <charset val="238"/>
      </rPr>
      <t>erytmodermální psoriázou</t>
    </r>
  </si>
  <si>
    <r>
      <t>volba doporučení indikace</t>
    </r>
    <r>
      <rPr>
        <vertAlign val="superscript"/>
        <sz val="10"/>
        <rFont val="Arial"/>
        <family val="2"/>
        <charset val="238"/>
      </rPr>
      <t>1</t>
    </r>
    <r>
      <rPr>
        <sz val="10"/>
        <rFont val="Arial"/>
        <family val="2"/>
        <charset val="238"/>
      </rPr>
      <t xml:space="preserve"> u pacientů s </t>
    </r>
    <r>
      <rPr>
        <b/>
        <sz val="10"/>
        <rFont val="Arial"/>
        <family val="2"/>
        <charset val="238"/>
      </rPr>
      <t>generalizovanou pustulární psoriázou</t>
    </r>
  </si>
  <si>
    <r>
      <t>volba doporučení indikace</t>
    </r>
    <r>
      <rPr>
        <vertAlign val="superscript"/>
        <sz val="10"/>
        <rFont val="Arial"/>
        <family val="2"/>
        <charset val="238"/>
      </rPr>
      <t>1</t>
    </r>
    <r>
      <rPr>
        <sz val="10"/>
        <rFont val="Arial"/>
        <family val="2"/>
        <charset val="238"/>
      </rPr>
      <t xml:space="preserve"> u pacientů s </t>
    </r>
    <r>
      <rPr>
        <b/>
        <sz val="10"/>
        <rFont val="Arial"/>
        <family val="2"/>
        <charset val="238"/>
      </rPr>
      <t>psoriázou pustulární palmoplantární</t>
    </r>
  </si>
  <si>
    <r>
      <t>volba doporučení indikace</t>
    </r>
    <r>
      <rPr>
        <vertAlign val="superscript"/>
        <sz val="9"/>
        <rFont val="Arial"/>
        <family val="2"/>
        <charset val="238"/>
      </rPr>
      <t xml:space="preserve">1 </t>
    </r>
    <r>
      <rPr>
        <sz val="9"/>
        <rFont val="Arial"/>
        <family val="2"/>
        <charset val="238"/>
      </rPr>
      <t xml:space="preserve">u pacientů s </t>
    </r>
    <r>
      <rPr>
        <b/>
        <sz val="9"/>
        <rFont val="Arial"/>
        <family val="2"/>
        <charset val="238"/>
      </rPr>
      <t>plakovou psoriázou, s nonpustulární palmoplantární či ve vlasové pokožce</t>
    </r>
  </si>
  <si>
    <t>indikace u dětí a mladistvých v ČR u psoriázy a/nebo u psoriatické artritidy:</t>
  </si>
  <si>
    <t>ind. omezení v ČR na psoriatickou artritidu u dospělých:</t>
  </si>
  <si>
    <t>mechanismus účinku</t>
  </si>
  <si>
    <t>účinná látka</t>
  </si>
  <si>
    <t>biosimilars?</t>
  </si>
  <si>
    <t>název léku</t>
  </si>
  <si>
    <t>jednotkové ceny LP podléhají utajení z důvodů možného obchodního tajemství !!!!!</t>
  </si>
  <si>
    <t>dominovaná (tj. méně účinná a k tomu dražší)</t>
  </si>
  <si>
    <t>OTEZLA 30mg tbl. 56x30mg</t>
  </si>
  <si>
    <r>
      <rPr>
        <b/>
        <sz val="9"/>
        <rFont val="Arial"/>
        <family val="2"/>
        <charset val="238"/>
      </rPr>
      <t>HYRIMOZ 40mg</t>
    </r>
    <r>
      <rPr>
        <sz val="9"/>
        <rFont val="Arial"/>
        <family val="2"/>
        <charset val="238"/>
      </rPr>
      <t xml:space="preserve"> inj. (při dávce 40mg co 2 týdny)</t>
    </r>
  </si>
  <si>
    <t>linie léčby při aktuál. cenách :</t>
  </si>
  <si>
    <r>
      <rPr>
        <u/>
        <sz val="9"/>
        <rFont val="Arial"/>
        <family val="2"/>
        <charset val="238"/>
      </rPr>
      <t>ICER vůči HYRIMOZU</t>
    </r>
    <r>
      <rPr>
        <sz val="9"/>
        <rFont val="Arial"/>
        <family val="2"/>
        <charset val="238"/>
      </rPr>
      <t xml:space="preserve"> tj. kolik Kč vynaložím navíc pro udržení 1 pacienta navíc na PASI 100 za 1 rok léčby     (u Hyrimozu je ICER rovno CER, protože je porovnán vůči placebu)</t>
    </r>
  </si>
  <si>
    <t>cena za všechny pacienty za rok</t>
  </si>
  <si>
    <t>linie léčby při aktuál.cenách :</t>
  </si>
  <si>
    <t>počet pacientů k 25.2.2020</t>
  </si>
  <si>
    <t>násobek poměru cena/účinnost vůči HYRIMOZU (biosim.adalimumab) při udrž.léčbě 1 rok</t>
  </si>
  <si>
    <t>název</t>
  </si>
  <si>
    <t>TALTZ</t>
  </si>
  <si>
    <t>k</t>
  </si>
  <si>
    <t>přejít na levnější  biosimilar Hyrimoz !</t>
  </si>
  <si>
    <t>nelze spočítat (je to také adalimumab)</t>
  </si>
  <si>
    <t>SKYRIZI    75mg inj.  2x0,83ml</t>
  </si>
  <si>
    <t>risankizumab</t>
  </si>
  <si>
    <t>697 pacientů z 1.000 léčených</t>
  </si>
  <si>
    <t>28-29 dnů</t>
  </si>
  <si>
    <r>
      <t xml:space="preserve">* infekce horních cest dýchacích               * </t>
    </r>
    <r>
      <rPr>
        <b/>
        <sz val="10"/>
        <rFont val="Arial"/>
        <family val="2"/>
        <charset val="238"/>
      </rPr>
      <t xml:space="preserve">neutropenie </t>
    </r>
    <r>
      <rPr>
        <sz val="10"/>
        <rFont val="Arial"/>
        <family val="2"/>
        <charset val="238"/>
      </rPr>
      <t xml:space="preserve">                *trombocytopenie                   *zvýšené riziko mukokutánních kandidóz                           * </t>
    </r>
    <r>
      <rPr>
        <b/>
        <sz val="10"/>
        <rFont val="Arial"/>
        <family val="2"/>
        <charset val="238"/>
      </rPr>
      <t xml:space="preserve">riziko nových případů nebo exacerbace IBD           </t>
    </r>
    <r>
      <rPr>
        <sz val="10"/>
        <rFont val="Arial"/>
        <family val="2"/>
        <charset val="238"/>
      </rPr>
      <t>* angioedém</t>
    </r>
  </si>
  <si>
    <r>
      <t xml:space="preserve">* klinicky významné aktivní infekce                   * </t>
    </r>
    <r>
      <rPr>
        <b/>
        <sz val="10"/>
        <rFont val="Arial"/>
        <family val="2"/>
        <charset val="238"/>
      </rPr>
      <t>aktivní Crohnova nemoc</t>
    </r>
  </si>
  <si>
    <r>
      <t xml:space="preserve">* chřipka, tinea, kandidozy                     * </t>
    </r>
    <r>
      <rPr>
        <b/>
        <sz val="10"/>
        <rFont val="Arial"/>
        <family val="2"/>
        <charset val="238"/>
      </rPr>
      <t xml:space="preserve">neutropenie </t>
    </r>
    <r>
      <rPr>
        <sz val="10"/>
        <rFont val="Arial"/>
        <family val="2"/>
        <charset val="238"/>
      </rPr>
      <t xml:space="preserve">                * </t>
    </r>
    <r>
      <rPr>
        <b/>
        <sz val="10"/>
        <rFont val="Arial"/>
        <family val="2"/>
        <charset val="238"/>
      </rPr>
      <t xml:space="preserve">riziko zhoršení depresí, sebevražedných představ a chování  </t>
    </r>
    <r>
      <rPr>
        <sz val="10"/>
        <rFont val="Arial"/>
        <family val="2"/>
        <charset val="238"/>
      </rPr>
      <t xml:space="preserve">                     * </t>
    </r>
    <r>
      <rPr>
        <b/>
        <sz val="10"/>
        <rFont val="Arial"/>
        <family val="2"/>
        <charset val="238"/>
      </rPr>
      <t xml:space="preserve">riziko exacerbace Crohn. nemoci  </t>
    </r>
  </si>
  <si>
    <t>425 pacientů z 1.000 léčených</t>
  </si>
  <si>
    <t>705 pacientů z 1.000 léčených</t>
  </si>
  <si>
    <t>609 pacientů z 1.000 léčených</t>
  </si>
  <si>
    <r>
      <t xml:space="preserve">690 pacientů z 1.000 léčených </t>
    </r>
    <r>
      <rPr>
        <b/>
        <sz val="10"/>
        <rFont val="Arial"/>
        <family val="2"/>
        <charset val="238"/>
      </rPr>
      <t xml:space="preserve"> </t>
    </r>
    <r>
      <rPr>
        <sz val="10"/>
        <rFont val="Arial"/>
        <family val="2"/>
        <charset val="238"/>
      </rPr>
      <t>(doplněno z jiného zdroje oproti jiným přípravkům)</t>
    </r>
  </si>
  <si>
    <t>653 pacientů z 1.000 léčených</t>
  </si>
  <si>
    <t xml:space="preserve">102 pacientů z 1.000 léčených </t>
  </si>
  <si>
    <t>* těhotenství</t>
  </si>
  <si>
    <r>
      <t xml:space="preserve">* infekce horních cest dýchacích              * </t>
    </r>
    <r>
      <rPr>
        <b/>
        <sz val="10"/>
        <rFont val="Arial"/>
        <family val="2"/>
        <charset val="238"/>
      </rPr>
      <t>hypersenz. reakce</t>
    </r>
    <r>
      <rPr>
        <sz val="10"/>
        <rFont val="Arial"/>
        <family val="2"/>
        <charset val="238"/>
      </rPr>
      <t xml:space="preserve">                         * </t>
    </r>
    <r>
      <rPr>
        <b/>
        <sz val="10"/>
        <rFont val="Arial"/>
        <family val="2"/>
        <charset val="238"/>
      </rPr>
      <t xml:space="preserve">riziko kožních a nekožních malignit   </t>
    </r>
    <r>
      <rPr>
        <sz val="10"/>
        <rFont val="Arial"/>
        <family val="2"/>
        <charset val="238"/>
      </rPr>
      <t xml:space="preserve">                       * exfoliativní dermatitida                   * diarhea, zvracení</t>
    </r>
  </si>
  <si>
    <r>
      <t xml:space="preserve">* infekce horních cest dýchacích          * orální herpes               * </t>
    </r>
    <r>
      <rPr>
        <b/>
        <sz val="10"/>
        <rFont val="Arial"/>
        <family val="2"/>
        <charset val="238"/>
      </rPr>
      <t>neutropenie</t>
    </r>
    <r>
      <rPr>
        <sz val="10"/>
        <rFont val="Arial"/>
        <family val="2"/>
        <charset val="238"/>
      </rPr>
      <t xml:space="preserve">                                    * zvýšené riziko mukokutánních kandidóz                          * </t>
    </r>
    <r>
      <rPr>
        <b/>
        <sz val="10"/>
        <rFont val="Arial"/>
        <family val="2"/>
        <charset val="238"/>
      </rPr>
      <t xml:space="preserve">riziko nových případů nebo exacerbace IBD           </t>
    </r>
    <r>
      <rPr>
        <sz val="10"/>
        <rFont val="Arial"/>
        <family val="2"/>
        <charset val="238"/>
      </rPr>
      <t>* rhinorhea                     * diarhea</t>
    </r>
  </si>
  <si>
    <r>
      <t xml:space="preserve">* infekce horních cest dýchacích, infekce HSV                     * </t>
    </r>
    <r>
      <rPr>
        <b/>
        <sz val="10"/>
        <rFont val="Arial"/>
        <family val="2"/>
        <charset val="238"/>
      </rPr>
      <t>hypersenzitivita</t>
    </r>
    <r>
      <rPr>
        <sz val="10"/>
        <rFont val="Arial"/>
        <family val="2"/>
        <charset val="238"/>
      </rPr>
      <t xml:space="preserve">           * diarhea</t>
    </r>
  </si>
  <si>
    <r>
      <t xml:space="preserve">* infekce horních cest dýchacích               * snížená chuť k jídlu,  průjem, zvracení, </t>
    </r>
    <r>
      <rPr>
        <sz val="10"/>
        <rFont val="Calibri"/>
        <family val="2"/>
        <charset val="238"/>
      </rPr>
      <t>↓</t>
    </r>
    <r>
      <rPr>
        <sz val="10"/>
        <rFont val="Arial"/>
        <family val="2"/>
        <charset val="238"/>
      </rPr>
      <t xml:space="preserve"> váhy                                     * </t>
    </r>
    <r>
      <rPr>
        <b/>
        <sz val="10"/>
        <rFont val="Arial"/>
        <family val="2"/>
        <charset val="238"/>
      </rPr>
      <t>deprese</t>
    </r>
    <r>
      <rPr>
        <sz val="10"/>
        <rFont val="Arial"/>
        <family val="2"/>
        <charset val="238"/>
      </rPr>
      <t xml:space="preserve">, insomnie, </t>
    </r>
    <r>
      <rPr>
        <b/>
        <sz val="10"/>
        <rFont val="Arial"/>
        <family val="2"/>
        <charset val="238"/>
      </rPr>
      <t xml:space="preserve">sebevražedné představy a chování </t>
    </r>
    <r>
      <rPr>
        <sz val="10"/>
        <rFont val="Arial"/>
        <family val="2"/>
        <charset val="238"/>
      </rPr>
      <t xml:space="preserve">                         * migréna</t>
    </r>
  </si>
  <si>
    <t>547 pacientů z 1.000 léčených</t>
  </si>
  <si>
    <r>
      <t xml:space="preserve">* TBC či jiné závažné infekce                   </t>
    </r>
    <r>
      <rPr>
        <b/>
        <sz val="10"/>
        <rFont val="Arial"/>
        <family val="2"/>
        <charset val="238"/>
      </rPr>
      <t xml:space="preserve">* srdeční selhání NYHA III nebo IV          </t>
    </r>
    <r>
      <rPr>
        <sz val="10"/>
        <rFont val="Arial"/>
        <family val="2"/>
        <charset val="238"/>
      </rPr>
      <t xml:space="preserve">    </t>
    </r>
  </si>
  <si>
    <r>
      <t xml:space="preserve">* virové, bakt. a myk.infekce                    * </t>
    </r>
    <r>
      <rPr>
        <b/>
        <sz val="10"/>
        <rFont val="Arial"/>
        <family val="2"/>
        <charset val="238"/>
      </rPr>
      <t>exacerbace demyelin.poruch</t>
    </r>
    <r>
      <rPr>
        <sz val="10"/>
        <rFont val="Arial"/>
        <family val="2"/>
        <charset val="238"/>
      </rPr>
      <t xml:space="preserve"> (např.RS)                      * lupus like sy                              * hepatotoxicita             *</t>
    </r>
    <r>
      <rPr>
        <b/>
        <sz val="10"/>
        <rFont val="Arial"/>
        <family val="2"/>
        <charset val="238"/>
      </rPr>
      <t xml:space="preserve"> vznik či exac. srdeč.selhání </t>
    </r>
    <r>
      <rPr>
        <sz val="10"/>
        <rFont val="Arial"/>
        <family val="2"/>
        <charset val="238"/>
      </rPr>
      <t xml:space="preserve">                        * </t>
    </r>
    <r>
      <rPr>
        <b/>
        <sz val="10"/>
        <rFont val="Arial"/>
        <family val="2"/>
        <charset val="238"/>
      </rPr>
      <t xml:space="preserve">deprese  </t>
    </r>
    <r>
      <rPr>
        <sz val="10"/>
        <rFont val="Arial"/>
        <family val="2"/>
        <charset val="238"/>
      </rPr>
      <t xml:space="preserve">                           * riziko akt. latent.inf.(např.HBV)                  *</t>
    </r>
    <r>
      <rPr>
        <b/>
        <sz val="10"/>
        <rFont val="Arial"/>
        <family val="2"/>
        <charset val="238"/>
      </rPr>
      <t xml:space="preserve"> riziko vývoje malignit    </t>
    </r>
    <r>
      <rPr>
        <sz val="10"/>
        <rFont val="Arial"/>
        <family val="2"/>
        <charset val="238"/>
      </rPr>
      <t xml:space="preserve">                   * anemie, leukopenie, tromocytopenie                * </t>
    </r>
    <r>
      <rPr>
        <b/>
        <sz val="10"/>
        <rFont val="Arial"/>
        <family val="2"/>
        <charset val="238"/>
      </rPr>
      <t>anafyl.reakce</t>
    </r>
  </si>
  <si>
    <r>
      <t xml:space="preserve">nejvýznamnější NÚ - </t>
    </r>
    <r>
      <rPr>
        <b/>
        <sz val="10"/>
        <rFont val="Arial"/>
        <family val="2"/>
        <charset val="238"/>
      </rPr>
      <t>CAVE! viz níže poznámka 6</t>
    </r>
    <r>
      <rPr>
        <sz val="10"/>
        <rFont val="Arial"/>
        <family val="2"/>
        <charset val="238"/>
      </rPr>
      <t>:</t>
    </r>
  </si>
  <si>
    <t>Zdá se, že nejvyšší četnost NÚ a ukončení léčby kvůli nim má infliximab a na 2. místě apremilast. Četnost vzniku vážných infekcí je nejvyšší také nejpravděpodobněji u infliximabu.</t>
  </si>
  <si>
    <t xml:space="preserve">    Dle jiného zdroje je incidence depresivních symptomů na 100 pacientoroků  3,01 pro biologika, ale 5,85 pro fototerapii a 5,7 pro konvenční léčbu - tj. biologika obecně o 24% snižují toto riziko oproti konvenční léčbě !!</t>
  </si>
  <si>
    <r>
      <t>Zdá se (</t>
    </r>
    <r>
      <rPr>
        <sz val="11"/>
        <rFont val="Arial"/>
        <family val="2"/>
        <charset val="238"/>
      </rPr>
      <t>viz např.</t>
    </r>
    <r>
      <rPr>
        <b/>
        <sz val="11"/>
        <rFont val="Arial"/>
        <family val="2"/>
        <charset val="238"/>
      </rPr>
      <t xml:space="preserve"> </t>
    </r>
    <r>
      <rPr>
        <i/>
        <sz val="11"/>
        <rFont val="Arial"/>
        <family val="2"/>
        <charset val="238"/>
      </rPr>
      <t>Trafford AM et al. Association of Psoriasis With the Risk of Developing or Dying of Cancer: A Systematic Review and Meta-analysis. JAMA Dermatol. 2019</t>
    </r>
    <r>
      <rPr>
        <b/>
        <sz val="11"/>
        <rFont val="Arial"/>
        <family val="2"/>
        <charset val="238"/>
      </rPr>
      <t>), že těžká i jakákoliv psoriáza je spojena se zvýšeným celkovým rizikem rakoviny o 22%, resp. o 18% oproti populaci bez psoriázy !!!</t>
    </r>
  </si>
  <si>
    <r>
      <t>* udržovací dávka  co 8. týden                               * dobrá účinnost (</t>
    </r>
    <r>
      <rPr>
        <b/>
        <sz val="10"/>
        <rFont val="Arial"/>
        <family val="2"/>
        <charset val="238"/>
      </rPr>
      <t>nejúčin. z TNFi, účinnost je vyšší než u ustekin.</t>
    </r>
    <r>
      <rPr>
        <sz val="10"/>
        <rFont val="Arial"/>
        <family val="2"/>
        <charset val="238"/>
      </rPr>
      <t xml:space="preserve">)                                               * pravděpodobně </t>
    </r>
    <r>
      <rPr>
        <b/>
        <sz val="10"/>
        <rFont val="Arial"/>
        <family val="2"/>
        <charset val="238"/>
      </rPr>
      <t>3. nejrychlejší nástup účinku</t>
    </r>
    <r>
      <rPr>
        <sz val="10"/>
        <rFont val="Arial"/>
        <family val="2"/>
        <charset val="238"/>
      </rPr>
      <t xml:space="preserve"> (cca 16% pac.PASI  90 po 4 týdnech) po brodal. a ixekizumabu                         </t>
    </r>
  </si>
  <si>
    <t>viz výše</t>
  </si>
  <si>
    <t>HUMIRA 40mg inj 2x0,4ml  (při dávce 40mg co 2 týdny)</t>
  </si>
  <si>
    <t>CIMZIA 200mg inj.  (při udrž. dávce 200mg)</t>
  </si>
  <si>
    <t>CIMZIA 200mg inj.  (při udrž. dávce 400mg)</t>
  </si>
  <si>
    <r>
      <t xml:space="preserve">* </t>
    </r>
    <r>
      <rPr>
        <b/>
        <sz val="10"/>
        <rFont val="Arial"/>
        <family val="2"/>
        <charset val="238"/>
      </rPr>
      <t>vysoká účinnost</t>
    </r>
    <r>
      <rPr>
        <sz val="10"/>
        <rFont val="Arial"/>
        <family val="2"/>
        <charset val="238"/>
      </rPr>
      <t xml:space="preserve"> (vyšší než u ustekin., TNFi - podobná jako u inflix., ale nižší než u ostat. IL-17i a IL-23i)                                                  * udržovací dávka co 1 měsíc                                        * </t>
    </r>
    <r>
      <rPr>
        <b/>
        <u/>
        <sz val="10"/>
        <rFont val="Arial"/>
        <family val="2"/>
        <charset val="238"/>
      </rPr>
      <t>jako jediný z IL-17Ai a IL-23i</t>
    </r>
    <r>
      <rPr>
        <b/>
        <sz val="10"/>
        <rFont val="Arial"/>
        <family val="2"/>
        <charset val="238"/>
      </rPr>
      <t xml:space="preserve"> (tzn. ty nejúčinnější biologika) </t>
    </r>
    <r>
      <rPr>
        <b/>
        <u/>
        <sz val="10"/>
        <rFont val="Arial"/>
        <family val="2"/>
        <charset val="238"/>
      </rPr>
      <t>má úhradu i na Ps</t>
    </r>
    <r>
      <rPr>
        <b/>
        <sz val="10"/>
        <rFont val="Arial"/>
        <family val="2"/>
        <charset val="238"/>
      </rPr>
      <t>A</t>
    </r>
    <r>
      <rPr>
        <b/>
        <u/>
        <sz val="10"/>
        <rFont val="Arial"/>
        <family val="2"/>
        <charset val="238"/>
      </rPr>
      <t xml:space="preserve">  </t>
    </r>
    <r>
      <rPr>
        <b/>
        <sz val="10"/>
        <rFont val="Arial"/>
        <family val="2"/>
        <charset val="238"/>
      </rPr>
      <t xml:space="preserve">                                      </t>
    </r>
    <r>
      <rPr>
        <sz val="10"/>
        <rFont val="Arial"/>
        <family val="2"/>
        <charset val="238"/>
      </rPr>
      <t xml:space="preserve">* biologikum s 2. nejdelším biolog. poločasem </t>
    </r>
    <r>
      <rPr>
        <vertAlign val="superscript"/>
        <sz val="10"/>
        <rFont val="Arial"/>
        <family val="2"/>
        <charset val="238"/>
      </rPr>
      <t xml:space="preserve">2, 3                                                                                   </t>
    </r>
    <r>
      <rPr>
        <sz val="10"/>
        <rFont val="Arial"/>
        <family val="2"/>
        <charset val="238"/>
      </rPr>
      <t>* pravděpodobně 4</t>
    </r>
    <r>
      <rPr>
        <b/>
        <sz val="10"/>
        <rFont val="Arial"/>
        <family val="2"/>
        <charset val="238"/>
      </rPr>
      <t>. nejrychlejší nástup účinku</t>
    </r>
    <r>
      <rPr>
        <sz val="10"/>
        <rFont val="Arial"/>
        <family val="2"/>
        <charset val="238"/>
      </rPr>
      <t xml:space="preserve"> (cca 13% pac.PASI  90 po 4 týdnech) po brodalumabu, ixekizumabu a infliximabu                                               </t>
    </r>
  </si>
  <si>
    <r>
      <t xml:space="preserve">* </t>
    </r>
    <r>
      <rPr>
        <b/>
        <u/>
        <sz val="10"/>
        <rFont val="Arial"/>
        <family val="2"/>
        <charset val="238"/>
      </rPr>
      <t>udržovací dávka co 12 týdnů</t>
    </r>
    <r>
      <rPr>
        <sz val="10"/>
        <rFont val="Arial"/>
        <family val="2"/>
        <charset val="238"/>
      </rPr>
      <t xml:space="preserve"> (spolu s risankizumabem nejdelší interval ze všech biologik)                                  </t>
    </r>
    <r>
      <rPr>
        <b/>
        <sz val="10"/>
        <rFont val="Arial"/>
        <family val="2"/>
        <charset val="238"/>
      </rPr>
      <t xml:space="preserve">                                 * méně vážných NÚ než IL-17i (kromě malignit) a TNFi                               * jeho účinek po indukční době pravděpodobně ještě mírně roste </t>
    </r>
    <r>
      <rPr>
        <sz val="10"/>
        <rFont val="Arial"/>
        <family val="2"/>
        <charset val="238"/>
      </rPr>
      <t>(viz list "srovnání účinnosti")</t>
    </r>
  </si>
  <si>
    <r>
      <t>* oproti biologikům</t>
    </r>
    <r>
      <rPr>
        <u/>
        <sz val="10"/>
        <rFont val="Arial"/>
        <family val="2"/>
        <charset val="238"/>
      </rPr>
      <t xml:space="preserve"> </t>
    </r>
    <r>
      <rPr>
        <b/>
        <u/>
        <sz val="10"/>
        <rFont val="Arial"/>
        <family val="2"/>
        <charset val="238"/>
      </rPr>
      <t>možnost p.o. podáván</t>
    </r>
    <r>
      <rPr>
        <b/>
        <sz val="10"/>
        <rFont val="Arial"/>
        <family val="2"/>
        <charset val="238"/>
      </rPr>
      <t xml:space="preserve">í                                                    * </t>
    </r>
    <r>
      <rPr>
        <b/>
        <u/>
        <sz val="10"/>
        <rFont val="Arial"/>
        <family val="2"/>
        <charset val="238"/>
      </rPr>
      <t>na rozdíl od biologik není KI klin. význ. aktivní infekc</t>
    </r>
    <r>
      <rPr>
        <b/>
        <sz val="10"/>
        <rFont val="Arial"/>
        <family val="2"/>
        <charset val="238"/>
      </rPr>
      <t>e</t>
    </r>
  </si>
  <si>
    <r>
      <t xml:space="preserve">* ze všech TNFi má nejnižší četnost výskytu vážných infekcí                                     *  oproti ostatním TNFi tvorba protilátek proti němu nesnižuje účinnost léčby                       </t>
    </r>
    <r>
      <rPr>
        <b/>
        <sz val="10"/>
        <rFont val="Arial"/>
        <family val="2"/>
        <charset val="238"/>
      </rPr>
      <t xml:space="preserve">* </t>
    </r>
    <r>
      <rPr>
        <b/>
        <u/>
        <sz val="10"/>
        <rFont val="Arial"/>
        <family val="2"/>
        <charset val="238"/>
      </rPr>
      <t>ze všech biologik je nejdéle v klinické prax</t>
    </r>
    <r>
      <rPr>
        <b/>
        <sz val="10"/>
        <rFont val="Arial"/>
        <family val="2"/>
        <charset val="238"/>
      </rPr>
      <t xml:space="preserve">i                                                                        * </t>
    </r>
    <r>
      <rPr>
        <b/>
        <u/>
        <sz val="10"/>
        <rFont val="Arial"/>
        <family val="2"/>
        <charset val="238"/>
      </rPr>
      <t>jedná se o originální etanercep</t>
    </r>
    <r>
      <rPr>
        <b/>
        <sz val="10"/>
        <rFont val="Arial"/>
        <family val="2"/>
        <charset val="238"/>
      </rPr>
      <t xml:space="preserve">t                      * jeho účinek po indukční době pravděpodobně ještě mírně roste </t>
    </r>
    <r>
      <rPr>
        <sz val="10"/>
        <rFont val="Arial"/>
        <family val="2"/>
        <charset val="238"/>
      </rPr>
      <t>(viz list "srovnání účinnosti")</t>
    </r>
  </si>
  <si>
    <r>
      <t xml:space="preserve">* ze všech TNFi má nejnižší četnost výskytu vážných infekcí                                     *  oproti ostatním TNFi tvorba protilátek proti němu nesnižuje účinnost léčby                       </t>
    </r>
    <r>
      <rPr>
        <b/>
        <sz val="10"/>
        <rFont val="Arial"/>
        <family val="2"/>
        <charset val="238"/>
      </rPr>
      <t xml:space="preserve">* </t>
    </r>
    <r>
      <rPr>
        <b/>
        <u/>
        <sz val="10"/>
        <rFont val="Arial"/>
        <family val="2"/>
        <charset val="238"/>
      </rPr>
      <t>ze všech biologik je nejdéle v klinické prax</t>
    </r>
    <r>
      <rPr>
        <b/>
        <sz val="10"/>
        <rFont val="Arial"/>
        <family val="2"/>
        <charset val="238"/>
      </rPr>
      <t>i                                                               * jeho účinek po indukční době pravděpodobně ještě mírně roste</t>
    </r>
    <r>
      <rPr>
        <sz val="10"/>
        <rFont val="Arial"/>
        <family val="2"/>
        <charset val="238"/>
      </rPr>
      <t xml:space="preserve"> (viz list "srovnání účinnosti")</t>
    </r>
  </si>
  <si>
    <r>
      <t>*</t>
    </r>
    <r>
      <rPr>
        <u/>
        <sz val="10"/>
        <rFont val="Arial"/>
        <family val="2"/>
        <charset val="238"/>
      </rPr>
      <t xml:space="preserve"> je dražší než origin. ENBRE</t>
    </r>
    <r>
      <rPr>
        <sz val="10"/>
        <rFont val="Arial"/>
        <family val="2"/>
        <charset val="238"/>
      </rPr>
      <t xml:space="preserve">L                                      * </t>
    </r>
    <r>
      <rPr>
        <b/>
        <u/>
        <sz val="10"/>
        <rFont val="Arial"/>
        <family val="2"/>
        <charset val="238"/>
      </rPr>
      <t>nejvyšší četnost podávání udrž.dávek (1x týdně) ze všech biologi</t>
    </r>
    <r>
      <rPr>
        <b/>
        <sz val="10"/>
        <rFont val="Arial"/>
        <family val="2"/>
        <charset val="238"/>
      </rPr>
      <t xml:space="preserve">k    </t>
    </r>
    <r>
      <rPr>
        <sz val="10"/>
        <rFont val="Arial"/>
        <family val="2"/>
        <charset val="238"/>
      </rPr>
      <t xml:space="preserve">                                        </t>
    </r>
    <r>
      <rPr>
        <b/>
        <sz val="10"/>
        <rFont val="Arial"/>
        <family val="2"/>
        <charset val="238"/>
      </rPr>
      <t xml:space="preserve">* </t>
    </r>
    <r>
      <rPr>
        <b/>
        <u/>
        <sz val="10"/>
        <rFont val="Arial"/>
        <family val="2"/>
        <charset val="238"/>
      </rPr>
      <t>nejnižší účinnost ze všech biologi</t>
    </r>
    <r>
      <rPr>
        <b/>
        <sz val="10"/>
        <rFont val="Arial"/>
        <family val="2"/>
        <charset val="238"/>
      </rPr>
      <t xml:space="preserve">k  </t>
    </r>
    <r>
      <rPr>
        <sz val="10"/>
        <rFont val="Arial"/>
        <family val="2"/>
        <charset val="238"/>
      </rPr>
      <t xml:space="preserve">                                                     * má nejpomalejší nástup účinku ze všech biologik                                            * biologikum s nejkratším biolog.poločasem </t>
    </r>
    <r>
      <rPr>
        <vertAlign val="superscript"/>
        <sz val="10"/>
        <rFont val="Arial"/>
        <family val="2"/>
        <charset val="238"/>
      </rPr>
      <t>2, 3</t>
    </r>
  </si>
  <si>
    <t>* aktivní TBC                                          * sepse nebo riziko sepse                             * nezahajovat léčbu u pacientů s aktivní infekcí (vč. chronických a lokálních)</t>
  </si>
  <si>
    <r>
      <t xml:space="preserve">* virové, bakt. a myk.infekce                    * </t>
    </r>
    <r>
      <rPr>
        <b/>
        <sz val="10"/>
        <rFont val="Arial"/>
        <family val="2"/>
        <charset val="238"/>
      </rPr>
      <t>exacerbace demyelin.poruch</t>
    </r>
    <r>
      <rPr>
        <sz val="10"/>
        <rFont val="Arial"/>
        <family val="2"/>
        <charset val="238"/>
      </rPr>
      <t xml:space="preserve"> (např.RS)                                                    * hepatotoxicita             *</t>
    </r>
    <r>
      <rPr>
        <b/>
        <sz val="10"/>
        <rFont val="Arial"/>
        <family val="2"/>
        <charset val="238"/>
      </rPr>
      <t xml:space="preserve"> vznik či exac. srdeč. selhání </t>
    </r>
    <r>
      <rPr>
        <sz val="10"/>
        <rFont val="Arial"/>
        <family val="2"/>
        <charset val="238"/>
      </rPr>
      <t xml:space="preserve">                       </t>
    </r>
    <r>
      <rPr>
        <b/>
        <sz val="10"/>
        <rFont val="Arial"/>
        <family val="2"/>
        <charset val="238"/>
      </rPr>
      <t xml:space="preserve"> </t>
    </r>
    <r>
      <rPr>
        <sz val="10"/>
        <rFont val="Arial"/>
        <family val="2"/>
        <charset val="238"/>
      </rPr>
      <t xml:space="preserve">                           * riziko aktivace  latent.inf.(např.HBV)                  *</t>
    </r>
    <r>
      <rPr>
        <b/>
        <sz val="10"/>
        <rFont val="Arial"/>
        <family val="2"/>
        <charset val="238"/>
      </rPr>
      <t xml:space="preserve"> riziko vývoje malignit    </t>
    </r>
    <r>
      <rPr>
        <sz val="10"/>
        <rFont val="Arial"/>
        <family val="2"/>
        <charset val="238"/>
      </rPr>
      <t xml:space="preserve">                   * tromocytopenie                * alerg. reakce                          * interst.onem.plic                     * riziko hypoglyk.</t>
    </r>
  </si>
  <si>
    <t>426 pacientů z 1.000 léčených (při udrž. dávce 400mg)</t>
  </si>
  <si>
    <t xml:space="preserve">377 pacientů z 1.000 léčených (při udrž. dávce 200mg)                                           </t>
  </si>
  <si>
    <t>252 pacientů z 1.000 léčených (při indukční dávce 100mg týdně)</t>
  </si>
  <si>
    <t>431 pacientů z 1.000 léčených  (při dávce 40mg co 2 týdny)</t>
  </si>
  <si>
    <r>
      <t xml:space="preserve">* </t>
    </r>
    <r>
      <rPr>
        <u/>
        <sz val="10"/>
        <rFont val="Arial"/>
        <family val="2"/>
        <charset val="238"/>
      </rPr>
      <t>minimální průnik přes placent</t>
    </r>
    <r>
      <rPr>
        <sz val="10"/>
        <rFont val="Arial"/>
        <family val="2"/>
        <charset val="238"/>
      </rPr>
      <t>u</t>
    </r>
  </si>
  <si>
    <r>
      <t xml:space="preserve">* aktivní TBC či jiné závažné infekce                   </t>
    </r>
    <r>
      <rPr>
        <b/>
        <sz val="10"/>
        <rFont val="Arial"/>
        <family val="2"/>
        <charset val="238"/>
      </rPr>
      <t xml:space="preserve">* srdeční selhání NYHA III nebo IV          </t>
    </r>
    <r>
      <rPr>
        <sz val="10"/>
        <rFont val="Arial"/>
        <family val="2"/>
        <charset val="238"/>
      </rPr>
      <t xml:space="preserve">    </t>
    </r>
  </si>
  <si>
    <r>
      <t xml:space="preserve">* virové, bakt. a myk.infekce                    * </t>
    </r>
    <r>
      <rPr>
        <b/>
        <sz val="10"/>
        <rFont val="Arial"/>
        <family val="2"/>
        <charset val="238"/>
      </rPr>
      <t>exacerbace demyelin.poruch</t>
    </r>
    <r>
      <rPr>
        <sz val="10"/>
        <rFont val="Arial"/>
        <family val="2"/>
        <charset val="238"/>
      </rPr>
      <t xml:space="preserve"> (např.RS)                      * lupus like sy                              * hepatotoxicita             *</t>
    </r>
    <r>
      <rPr>
        <b/>
        <sz val="10"/>
        <rFont val="Arial"/>
        <family val="2"/>
        <charset val="238"/>
      </rPr>
      <t xml:space="preserve"> vznik či exac. srdeč. selhání </t>
    </r>
    <r>
      <rPr>
        <sz val="10"/>
        <rFont val="Arial"/>
        <family val="2"/>
        <charset val="238"/>
      </rPr>
      <t xml:space="preserve">                        * poruchy nálady                             * riziko akt. latent.inf.(např.HBV)                  *</t>
    </r>
    <r>
      <rPr>
        <b/>
        <sz val="10"/>
        <rFont val="Arial"/>
        <family val="2"/>
        <charset val="238"/>
      </rPr>
      <t xml:space="preserve"> riziko vývoje malignit    </t>
    </r>
    <r>
      <rPr>
        <sz val="10"/>
        <rFont val="Arial"/>
        <family val="2"/>
        <charset val="238"/>
      </rPr>
      <t xml:space="preserve">                   * anemie, leukopenie, tromocytopenie                * </t>
    </r>
    <r>
      <rPr>
        <b/>
        <sz val="10"/>
        <rFont val="Arial"/>
        <family val="2"/>
        <charset val="238"/>
      </rPr>
      <t>alerg.reakce</t>
    </r>
  </si>
  <si>
    <r>
      <t xml:space="preserve">* virové, bakt. a myk.infekce                    * </t>
    </r>
    <r>
      <rPr>
        <b/>
        <sz val="10"/>
        <rFont val="Arial"/>
        <family val="2"/>
        <charset val="238"/>
      </rPr>
      <t>exacerbace demyelin.poruch</t>
    </r>
    <r>
      <rPr>
        <sz val="10"/>
        <rFont val="Arial"/>
        <family val="2"/>
        <charset val="238"/>
      </rPr>
      <t xml:space="preserve"> (např.RS)                                                   * hepatotoxicita             *</t>
    </r>
    <r>
      <rPr>
        <b/>
        <sz val="10"/>
        <rFont val="Arial"/>
        <family val="2"/>
        <charset val="238"/>
      </rPr>
      <t xml:space="preserve"> vznik či exac. srdeč. selhání </t>
    </r>
    <r>
      <rPr>
        <sz val="10"/>
        <rFont val="Arial"/>
        <family val="2"/>
        <charset val="238"/>
      </rPr>
      <t xml:space="preserve">                        * </t>
    </r>
    <r>
      <rPr>
        <b/>
        <sz val="10"/>
        <rFont val="Arial"/>
        <family val="2"/>
        <charset val="238"/>
      </rPr>
      <t>poruchy nálady (vč. deprese)</t>
    </r>
    <r>
      <rPr>
        <sz val="10"/>
        <rFont val="Arial"/>
        <family val="2"/>
        <charset val="238"/>
      </rPr>
      <t xml:space="preserve">                             * riziko akt. latent.inf.(např.HBV)                  *</t>
    </r>
    <r>
      <rPr>
        <b/>
        <sz val="10"/>
        <rFont val="Arial"/>
        <family val="2"/>
        <charset val="238"/>
      </rPr>
      <t xml:space="preserve"> riziko vývoje malignit    </t>
    </r>
    <r>
      <rPr>
        <sz val="10"/>
        <rFont val="Arial"/>
        <family val="2"/>
        <charset val="238"/>
      </rPr>
      <t xml:space="preserve">                   * anemie, leukopenie, tromocytopenie                * </t>
    </r>
    <r>
      <rPr>
        <b/>
        <sz val="10"/>
        <rFont val="Arial"/>
        <family val="2"/>
        <charset val="238"/>
      </rPr>
      <t>alerg.reakce</t>
    </r>
  </si>
  <si>
    <r>
      <t xml:space="preserve"> * </t>
    </r>
    <r>
      <rPr>
        <b/>
        <u/>
        <sz val="10"/>
        <rFont val="Arial"/>
        <family val="2"/>
        <charset val="238"/>
      </rPr>
      <t>po etanerceptu je společně s infliximabem nejdéle v klin.prax</t>
    </r>
    <r>
      <rPr>
        <b/>
        <sz val="10"/>
        <rFont val="Arial"/>
        <family val="2"/>
        <charset val="238"/>
      </rPr>
      <t>i</t>
    </r>
  </si>
  <si>
    <r>
      <t>*</t>
    </r>
    <r>
      <rPr>
        <b/>
        <sz val="10"/>
        <rFont val="Arial"/>
        <family val="2"/>
        <charset val="238"/>
      </rPr>
      <t xml:space="preserve"> </t>
    </r>
    <r>
      <rPr>
        <b/>
        <u/>
        <sz val="10"/>
        <rFont val="Arial"/>
        <family val="2"/>
        <charset val="238"/>
      </rPr>
      <t>je dražší (asi 4x) než biosimilar HYRIMO</t>
    </r>
    <r>
      <rPr>
        <b/>
        <sz val="10"/>
        <rFont val="Arial"/>
        <family val="2"/>
        <charset val="238"/>
      </rPr>
      <t xml:space="preserve">Z       </t>
    </r>
    <r>
      <rPr>
        <sz val="10"/>
        <rFont val="Arial"/>
        <family val="2"/>
        <charset val="238"/>
      </rPr>
      <t xml:space="preserve">                                 * </t>
    </r>
    <r>
      <rPr>
        <u/>
        <sz val="10"/>
        <rFont val="Arial"/>
        <family val="2"/>
        <charset val="238"/>
      </rPr>
      <t>2. nejvyšší četnost podávání udržovacích dávek (co 2. týden)</t>
    </r>
    <r>
      <rPr>
        <sz val="10"/>
        <rFont val="Arial"/>
        <family val="2"/>
        <charset val="238"/>
      </rPr>
      <t xml:space="preserve"> po etanerceptu                                       * </t>
    </r>
    <r>
      <rPr>
        <b/>
        <u/>
        <sz val="10"/>
        <rFont val="Arial"/>
        <family val="2"/>
        <charset val="238"/>
      </rPr>
      <t>společně s certolizumabem a ustekinumabem nejnižší účinnost z biologik po etanercept</t>
    </r>
    <r>
      <rPr>
        <b/>
        <sz val="10"/>
        <rFont val="Arial"/>
        <family val="2"/>
        <charset val="238"/>
      </rPr>
      <t>u</t>
    </r>
  </si>
  <si>
    <r>
      <t>*</t>
    </r>
    <r>
      <rPr>
        <b/>
        <sz val="10"/>
        <rFont val="Arial"/>
        <family val="2"/>
        <charset val="238"/>
      </rPr>
      <t xml:space="preserve"> </t>
    </r>
    <r>
      <rPr>
        <b/>
        <u/>
        <sz val="10"/>
        <rFont val="Arial"/>
        <family val="2"/>
        <charset val="238"/>
      </rPr>
      <t>je dražší (asi 3x) než biosimilar HYRIMO</t>
    </r>
    <r>
      <rPr>
        <b/>
        <sz val="10"/>
        <rFont val="Arial"/>
        <family val="2"/>
        <charset val="238"/>
      </rPr>
      <t xml:space="preserve">Z       </t>
    </r>
    <r>
      <rPr>
        <sz val="10"/>
        <rFont val="Arial"/>
        <family val="2"/>
        <charset val="238"/>
      </rPr>
      <t xml:space="preserve">                                 * </t>
    </r>
    <r>
      <rPr>
        <u/>
        <sz val="10"/>
        <rFont val="Arial"/>
        <family val="2"/>
        <charset val="238"/>
      </rPr>
      <t>2. nejvyšší četnost podávání udržovacích dávek (co 2. týden)</t>
    </r>
    <r>
      <rPr>
        <sz val="10"/>
        <rFont val="Arial"/>
        <family val="2"/>
        <charset val="238"/>
      </rPr>
      <t xml:space="preserve"> po etanerceptu                                       * </t>
    </r>
    <r>
      <rPr>
        <b/>
        <u/>
        <sz val="10"/>
        <rFont val="Arial"/>
        <family val="2"/>
        <charset val="238"/>
      </rPr>
      <t>společně s certolizumabem a ustekinumabem nejnižší účinnost z biologik po etanercept</t>
    </r>
    <r>
      <rPr>
        <b/>
        <sz val="10"/>
        <rFont val="Arial"/>
        <family val="2"/>
        <charset val="238"/>
      </rPr>
      <t>u</t>
    </r>
  </si>
  <si>
    <r>
      <t xml:space="preserve"> * </t>
    </r>
    <r>
      <rPr>
        <b/>
        <u/>
        <sz val="10"/>
        <rFont val="Arial"/>
        <family val="2"/>
        <charset val="238"/>
      </rPr>
      <t>jedná se o originální adalimuma</t>
    </r>
    <r>
      <rPr>
        <b/>
        <sz val="10"/>
        <rFont val="Arial"/>
        <family val="2"/>
        <charset val="238"/>
      </rPr>
      <t xml:space="preserve">b                                                              * </t>
    </r>
    <r>
      <rPr>
        <b/>
        <u/>
        <sz val="10"/>
        <rFont val="Arial"/>
        <family val="2"/>
        <charset val="238"/>
      </rPr>
      <t>po etanerceptu je společně s infliximabem nejdéle v klin.prax</t>
    </r>
    <r>
      <rPr>
        <b/>
        <sz val="10"/>
        <rFont val="Arial"/>
        <family val="2"/>
        <charset val="238"/>
      </rPr>
      <t>i</t>
    </r>
  </si>
  <si>
    <r>
      <t xml:space="preserve">* </t>
    </r>
    <r>
      <rPr>
        <u/>
        <sz val="10"/>
        <rFont val="Arial"/>
        <family val="2"/>
        <charset val="238"/>
      </rPr>
      <t>2. nejvyšší četnost podávání udržovacích dávek (co 2. týden)</t>
    </r>
    <r>
      <rPr>
        <sz val="10"/>
        <rFont val="Arial"/>
        <family val="2"/>
        <charset val="238"/>
      </rPr>
      <t xml:space="preserve"> po etanerceptu                                       * </t>
    </r>
    <r>
      <rPr>
        <b/>
        <u/>
        <sz val="10"/>
        <rFont val="Arial"/>
        <family val="2"/>
        <charset val="238"/>
      </rPr>
      <t>společně s certolizumabem a ustekinumabem nejnižší účinnost z biologik po etanercept</t>
    </r>
    <r>
      <rPr>
        <b/>
        <sz val="10"/>
        <rFont val="Arial"/>
        <family val="2"/>
        <charset val="238"/>
      </rPr>
      <t>u</t>
    </r>
  </si>
  <si>
    <r>
      <t xml:space="preserve">* aktuálně dle údaje cena/účinnost je asi 3x dražší než HYRIMOZ                                 * </t>
    </r>
    <r>
      <rPr>
        <b/>
        <u/>
        <sz val="10"/>
        <rFont val="Arial"/>
        <family val="2"/>
        <charset val="238"/>
      </rPr>
      <t>aktuálně nejdražší udržovací léčba z biologik společně se secukinumabe</t>
    </r>
    <r>
      <rPr>
        <b/>
        <sz val="10"/>
        <rFont val="Arial"/>
        <family val="2"/>
        <charset val="238"/>
      </rPr>
      <t xml:space="preserve">m                                * v klinické praxi je kratší dobu než IL-17Ai a ustekinumab </t>
    </r>
    <r>
      <rPr>
        <sz val="10"/>
        <rFont val="Arial"/>
        <family val="2"/>
        <charset val="238"/>
      </rPr>
      <t xml:space="preserve">(má méně klin. dat o účinnosti a bezpečnosti) </t>
    </r>
    <r>
      <rPr>
        <b/>
        <sz val="10"/>
        <rFont val="Arial"/>
        <family val="2"/>
        <charset val="238"/>
      </rPr>
      <t xml:space="preserve">                                         * má pomalejší nástup účinku než brodal. a ixek. </t>
    </r>
    <r>
      <rPr>
        <sz val="10"/>
        <rFont val="Arial"/>
        <family val="2"/>
        <charset val="238"/>
      </rPr>
      <t>(asi 8x menší PASI 90 ve 4 týdnu)</t>
    </r>
  </si>
  <si>
    <r>
      <t xml:space="preserve">* </t>
    </r>
    <r>
      <rPr>
        <b/>
        <u/>
        <sz val="10"/>
        <rFont val="Arial"/>
        <family val="2"/>
        <charset val="238"/>
      </rPr>
      <t xml:space="preserve">účinnost je ještě nižší </t>
    </r>
    <r>
      <rPr>
        <u/>
        <sz val="10"/>
        <rFont val="Arial"/>
        <family val="2"/>
        <charset val="238"/>
      </rPr>
      <t xml:space="preserve">než </t>
    </r>
    <r>
      <rPr>
        <sz val="10"/>
        <rFont val="Arial"/>
        <family val="2"/>
        <charset val="238"/>
      </rPr>
      <t xml:space="preserve">u nejméně účinného biolog. etanerc.           * </t>
    </r>
    <r>
      <rPr>
        <b/>
        <u/>
        <sz val="10"/>
        <rFont val="Arial"/>
        <family val="2"/>
        <charset val="238"/>
      </rPr>
      <t>aktuálně dle údaje cena/účinnost je více jak 30x dražší než HYRIMO</t>
    </r>
    <r>
      <rPr>
        <b/>
        <sz val="10"/>
        <rFont val="Arial"/>
        <family val="2"/>
        <charset val="238"/>
      </rPr>
      <t xml:space="preserve">Z                                      </t>
    </r>
    <r>
      <rPr>
        <sz val="10"/>
        <rFont val="Arial"/>
        <family val="2"/>
        <charset val="238"/>
      </rPr>
      <t xml:space="preserve">* možné zvýšené riziko sebevražd (viz níže pozn.6)                                    * </t>
    </r>
    <r>
      <rPr>
        <u/>
        <sz val="10"/>
        <rFont val="Arial"/>
        <family val="2"/>
        <charset val="238"/>
      </rPr>
      <t xml:space="preserve">pravděpodobně </t>
    </r>
    <r>
      <rPr>
        <b/>
        <u/>
        <sz val="10"/>
        <rFont val="Arial"/>
        <family val="2"/>
        <charset val="238"/>
      </rPr>
      <t>2. nejvyšší četnost NÚ</t>
    </r>
    <r>
      <rPr>
        <u/>
        <sz val="10"/>
        <rFont val="Arial"/>
        <family val="2"/>
        <charset val="238"/>
      </rPr>
      <t xml:space="preserve"> po infliximab</t>
    </r>
    <r>
      <rPr>
        <sz val="10"/>
        <rFont val="Arial"/>
        <family val="2"/>
        <charset val="238"/>
      </rPr>
      <t xml:space="preserve">u                                            * </t>
    </r>
    <r>
      <rPr>
        <b/>
        <sz val="10"/>
        <rFont val="Arial"/>
        <family val="2"/>
        <charset val="238"/>
      </rPr>
      <t>jeho účinek se po indukční době pravděpodobně mírně snižuje</t>
    </r>
    <r>
      <rPr>
        <sz val="10"/>
        <rFont val="Arial"/>
        <family val="2"/>
        <charset val="238"/>
      </rPr>
      <t xml:space="preserve"> (viz list "srovnání účinnosti")</t>
    </r>
  </si>
  <si>
    <t xml:space="preserve">* klinicky významné aktivní infekce (vč. aktivní TBC)                  </t>
  </si>
  <si>
    <t>* infekce horních cest dýchacích                           * tinea</t>
  </si>
  <si>
    <r>
      <t>* udržovací dávka  co 8. týden                               * dobrá účinnost (</t>
    </r>
    <r>
      <rPr>
        <b/>
        <sz val="10"/>
        <rFont val="Arial"/>
        <family val="2"/>
        <charset val="238"/>
      </rPr>
      <t>nejúčin. z TNFi, účinnost je vyšší než u ustekin.</t>
    </r>
    <r>
      <rPr>
        <sz val="10"/>
        <rFont val="Arial"/>
        <family val="2"/>
        <charset val="238"/>
      </rPr>
      <t xml:space="preserve">)                                               * pravděpodobně </t>
    </r>
    <r>
      <rPr>
        <b/>
        <sz val="10"/>
        <rFont val="Arial"/>
        <family val="2"/>
        <charset val="238"/>
      </rPr>
      <t>3. nejrychlejší nástup účinku</t>
    </r>
    <r>
      <rPr>
        <sz val="10"/>
        <rFont val="Arial"/>
        <family val="2"/>
        <charset val="238"/>
      </rPr>
      <t xml:space="preserve"> (cca 16% pac.PASI  90 po 4 týdnech) po brodal. a ixekizumabu                                                  </t>
    </r>
  </si>
  <si>
    <t xml:space="preserve">přejít na levnější biosimilar Inflectra </t>
  </si>
  <si>
    <r>
      <t xml:space="preserve">* </t>
    </r>
    <r>
      <rPr>
        <b/>
        <sz val="10"/>
        <rFont val="Arial"/>
        <family val="2"/>
        <charset val="238"/>
      </rPr>
      <t>aktuálně</t>
    </r>
    <r>
      <rPr>
        <sz val="10"/>
        <rFont val="Arial"/>
        <family val="2"/>
        <charset val="238"/>
      </rPr>
      <t xml:space="preserve"> </t>
    </r>
    <r>
      <rPr>
        <b/>
        <sz val="10"/>
        <rFont val="Arial"/>
        <family val="2"/>
        <charset val="238"/>
      </rPr>
      <t xml:space="preserve">dle údaje cena/účinnost je asi 5,5x dražší než HYRIMOZ </t>
    </r>
    <r>
      <rPr>
        <sz val="10"/>
        <rFont val="Arial"/>
        <family val="2"/>
        <charset val="238"/>
      </rPr>
      <t xml:space="preserve">                               * účinnost je nižší než u IL-17A inhibitorů  či IL-23 inhibitorů - asi na úrovni adalim. a certoliz. (oba iTNF) - tj. nejnižší účinnost z biologik po etanerceptu                                     </t>
    </r>
    <r>
      <rPr>
        <b/>
        <sz val="10"/>
        <rFont val="Arial"/>
        <family val="2"/>
        <charset val="238"/>
      </rPr>
      <t xml:space="preserve">       </t>
    </r>
  </si>
  <si>
    <r>
      <t>*</t>
    </r>
    <r>
      <rPr>
        <u/>
        <sz val="10"/>
        <rFont val="Arial"/>
        <family val="2"/>
        <charset val="238"/>
      </rPr>
      <t xml:space="preserve"> </t>
    </r>
    <r>
      <rPr>
        <b/>
        <sz val="10"/>
        <rFont val="Arial"/>
        <family val="2"/>
        <charset val="238"/>
      </rPr>
      <t>aktuálně dle údaje cena/účinnost je asi 3,5 dražší než HYRIMOZ</t>
    </r>
    <r>
      <rPr>
        <sz val="10"/>
        <rFont val="Arial"/>
        <family val="2"/>
        <charset val="238"/>
      </rPr>
      <t xml:space="preserve">                                     * </t>
    </r>
    <r>
      <rPr>
        <b/>
        <u/>
        <sz val="10"/>
        <rFont val="Arial"/>
        <family val="2"/>
        <charset val="238"/>
      </rPr>
      <t>ze všech TNFi je v klinické praxi nejkratší dob</t>
    </r>
    <r>
      <rPr>
        <b/>
        <sz val="10"/>
        <rFont val="Arial"/>
        <family val="2"/>
        <charset val="238"/>
      </rPr>
      <t xml:space="preserve">u </t>
    </r>
    <r>
      <rPr>
        <sz val="10"/>
        <rFont val="Arial"/>
        <family val="2"/>
        <charset val="238"/>
      </rPr>
      <t xml:space="preserve">                                                        * </t>
    </r>
    <r>
      <rPr>
        <b/>
        <u/>
        <sz val="10"/>
        <rFont val="Arial"/>
        <family val="2"/>
        <charset val="238"/>
      </rPr>
      <t xml:space="preserve">ze všech TNFi je nejdražší </t>
    </r>
    <r>
      <rPr>
        <b/>
        <sz val="10"/>
        <rFont val="Arial"/>
        <family val="2"/>
        <charset val="238"/>
      </rPr>
      <t xml:space="preserve">(nemá zatím biosimilars)   </t>
    </r>
    <r>
      <rPr>
        <sz val="10"/>
        <rFont val="Arial"/>
        <family val="2"/>
        <charset val="238"/>
      </rPr>
      <t xml:space="preserve">                                        * zatím nedostatek klin.dat o účinnosti, bezpečnosti (jen aproximace dle ostatních  TNFi)                   * </t>
    </r>
    <r>
      <rPr>
        <u/>
        <sz val="10"/>
        <rFont val="Arial"/>
        <family val="2"/>
        <charset val="238"/>
      </rPr>
      <t>2. nejvyšší četnost podávání udržovacích dávek (co 2. týden)</t>
    </r>
    <r>
      <rPr>
        <sz val="10"/>
        <rFont val="Arial"/>
        <family val="2"/>
        <charset val="238"/>
      </rPr>
      <t xml:space="preserve"> po etanerceptu                                   * </t>
    </r>
    <r>
      <rPr>
        <b/>
        <u/>
        <sz val="10"/>
        <rFont val="Arial"/>
        <family val="2"/>
        <charset val="238"/>
      </rPr>
      <t>společně s adalim. a ustekin. nejnižší účinnost z biologik po etanercept</t>
    </r>
    <r>
      <rPr>
        <b/>
        <sz val="10"/>
        <rFont val="Arial"/>
        <family val="2"/>
        <charset val="238"/>
      </rPr>
      <t>u</t>
    </r>
  </si>
  <si>
    <r>
      <t xml:space="preserve">viz výše     kromě                                             * </t>
    </r>
    <r>
      <rPr>
        <b/>
        <sz val="10"/>
        <rFont val="Arial"/>
        <family val="2"/>
        <charset val="238"/>
      </rPr>
      <t>aktuálně dle údaje cena/účinnost je skoro 6x dražší než HYRIMO</t>
    </r>
    <r>
      <rPr>
        <sz val="10"/>
        <rFont val="Arial"/>
        <family val="2"/>
        <charset val="238"/>
      </rPr>
      <t xml:space="preserve">Z </t>
    </r>
  </si>
  <si>
    <r>
      <t xml:space="preserve">* </t>
    </r>
    <r>
      <rPr>
        <b/>
        <sz val="10"/>
        <rFont val="Arial"/>
        <family val="2"/>
        <charset val="238"/>
      </rPr>
      <t xml:space="preserve">aktuálně dle údaje cena/účinnost je asi 3,5x dražší než HYRIMOZ </t>
    </r>
    <r>
      <rPr>
        <sz val="10"/>
        <rFont val="Arial"/>
        <family val="2"/>
        <charset val="238"/>
      </rPr>
      <t xml:space="preserve">                                    * </t>
    </r>
    <r>
      <rPr>
        <b/>
        <u/>
        <sz val="10"/>
        <rFont val="Arial"/>
        <family val="2"/>
        <charset val="238"/>
      </rPr>
      <t>aktuálně nejdražší udržovací léčba společně s guselkumabem a asi nejhorší</t>
    </r>
    <r>
      <rPr>
        <u/>
        <sz val="10"/>
        <rFont val="Arial"/>
        <family val="2"/>
        <charset val="238"/>
      </rPr>
      <t xml:space="preserve"> </t>
    </r>
    <r>
      <rPr>
        <b/>
        <u/>
        <sz val="10"/>
        <rFont val="Arial"/>
        <family val="2"/>
        <charset val="238"/>
      </rPr>
      <t>poměr cena/účinnost s guselk. z IL-17Ai a IL-23</t>
    </r>
    <r>
      <rPr>
        <b/>
        <sz val="10"/>
        <rFont val="Arial"/>
        <family val="2"/>
        <charset val="238"/>
      </rPr>
      <t xml:space="preserve">i </t>
    </r>
    <r>
      <rPr>
        <sz val="10"/>
        <rFont val="Arial"/>
        <family val="2"/>
        <charset val="238"/>
      </rPr>
      <t xml:space="preserve">                                               * počáteční dávka obsahuje celkem 5 dávek (1 dávka každý týden)            </t>
    </r>
  </si>
  <si>
    <r>
      <t xml:space="preserve">* </t>
    </r>
    <r>
      <rPr>
        <b/>
        <sz val="10"/>
        <rFont val="Arial"/>
        <family val="2"/>
        <charset val="238"/>
      </rPr>
      <t xml:space="preserve">aktuálně dle údaje cena/účinnost je asi 2,4x dražší než HYRIMOZ   </t>
    </r>
    <r>
      <rPr>
        <sz val="10"/>
        <rFont val="Arial"/>
        <family val="2"/>
        <charset val="238"/>
      </rPr>
      <t xml:space="preserve">                                                  * </t>
    </r>
    <r>
      <rPr>
        <b/>
        <u/>
        <sz val="10"/>
        <rFont val="Arial"/>
        <family val="2"/>
        <charset val="238"/>
      </rPr>
      <t>2. nejvyšší četnost podávání udrž.dávky z biologik (co 2 týdny)</t>
    </r>
    <r>
      <rPr>
        <b/>
        <sz val="10"/>
        <rFont val="Arial"/>
        <family val="2"/>
        <charset val="238"/>
      </rPr>
      <t xml:space="preserve"> po etanerceptu</t>
    </r>
    <r>
      <rPr>
        <sz val="10"/>
        <rFont val="Arial"/>
        <family val="2"/>
        <charset val="238"/>
      </rPr>
      <t xml:space="preserve">                                 * možné zvýšené riziko sebevražd (viz níže pozn.6)            </t>
    </r>
  </si>
  <si>
    <r>
      <t xml:space="preserve">* </t>
    </r>
    <r>
      <rPr>
        <b/>
        <sz val="10"/>
        <rFont val="Arial"/>
        <family val="2"/>
        <charset val="238"/>
      </rPr>
      <t>aktuálně dle údaje cena/účinnost je asi 2,3x dražší než HYRIMOZ</t>
    </r>
    <r>
      <rPr>
        <sz val="10"/>
        <rFont val="Arial"/>
        <family val="2"/>
        <charset val="238"/>
      </rPr>
      <t xml:space="preserve">                                              * uvodní dávk. má celkem 7 dávek (1 dávka každý 2.týden)                                   * v ČR není hrazen u PsA                                   * </t>
    </r>
    <r>
      <rPr>
        <b/>
        <sz val="10"/>
        <rFont val="Arial"/>
        <family val="2"/>
        <charset val="238"/>
      </rPr>
      <t xml:space="preserve">jeho účinek se po indukční době pravděpodobně mírně snižuje </t>
    </r>
    <r>
      <rPr>
        <sz val="10"/>
        <rFont val="Arial"/>
        <family val="2"/>
        <charset val="238"/>
      </rPr>
      <t>(viz list "srovnání účinnosti")</t>
    </r>
  </si>
  <si>
    <t>* nedosažení hodnoty PASI 50 po úvodních 4 měsících léčby nebo                                            * poklesu účinnosti zavedené léčby risankizumabem pod PASI 50 nebo při účinnosti v intervalu PASI 50-75, je-li současně hodnota DLQI &gt;= 5.</t>
  </si>
  <si>
    <t xml:space="preserve">6. volba u pacientů bez PsA                                 2. volba u pacientů s PsA </t>
  </si>
  <si>
    <t>5. volba u pacientů bez PsA</t>
  </si>
  <si>
    <t>7. volba u pacientů s PsA a 10. bez PsA  - viz sloupce výhody/nevýhody</t>
  </si>
  <si>
    <r>
      <t xml:space="preserve">* </t>
    </r>
    <r>
      <rPr>
        <b/>
        <u/>
        <sz val="10"/>
        <rFont val="Arial"/>
        <family val="2"/>
        <charset val="238"/>
      </rPr>
      <t>vysoká účinnost</t>
    </r>
    <r>
      <rPr>
        <sz val="10"/>
        <rFont val="Arial"/>
        <family val="2"/>
        <charset val="238"/>
      </rPr>
      <t xml:space="preserve"> (spolu s ixek. a risank. aktuálně nejvyšší)                                               * </t>
    </r>
    <r>
      <rPr>
        <b/>
        <u/>
        <sz val="10"/>
        <rFont val="Arial"/>
        <family val="2"/>
        <charset val="238"/>
      </rPr>
      <t xml:space="preserve">aktuálně poměr cena/účinnost z IL-17i a IL-23i je spolu s ixek. a risank.nejvyšší </t>
    </r>
    <r>
      <rPr>
        <sz val="10"/>
        <rFont val="Arial"/>
        <family val="2"/>
        <charset val="238"/>
      </rPr>
      <t xml:space="preserve">(IL-23i (guselk. a risank.) mají pravděp. nejlepší bezpečnost)                                             * </t>
    </r>
    <r>
      <rPr>
        <u/>
        <sz val="10"/>
        <rFont val="Arial"/>
        <family val="2"/>
        <charset val="238"/>
      </rPr>
      <t>pravděpodobně</t>
    </r>
    <r>
      <rPr>
        <b/>
        <u/>
        <sz val="10"/>
        <rFont val="Arial"/>
        <family val="2"/>
        <charset val="238"/>
      </rPr>
      <t xml:space="preserve"> nejrychlejší nástup účinku</t>
    </r>
    <r>
      <rPr>
        <sz val="10"/>
        <rFont val="Arial"/>
        <family val="2"/>
        <charset val="238"/>
      </rPr>
      <t xml:space="preserve"> (cca 29% pac.PASI  90 po 4 týdnech) ze všech biologik                                              *</t>
    </r>
    <r>
      <rPr>
        <u/>
        <sz val="10"/>
        <rFont val="Arial"/>
        <family val="2"/>
        <charset val="238"/>
      </rPr>
      <t xml:space="preserve"> </t>
    </r>
    <r>
      <rPr>
        <b/>
        <u/>
        <sz val="10"/>
        <rFont val="Arial"/>
        <family val="2"/>
        <charset val="238"/>
      </rPr>
      <t>jeho účinek po indukční době pravděpodobně ještě mírně roste</t>
    </r>
    <r>
      <rPr>
        <sz val="10"/>
        <rFont val="Arial"/>
        <family val="2"/>
        <charset val="238"/>
      </rPr>
      <t xml:space="preserve"> (viz list "srovnání účinnosti")</t>
    </r>
  </si>
  <si>
    <r>
      <t xml:space="preserve">* </t>
    </r>
    <r>
      <rPr>
        <b/>
        <u/>
        <sz val="10"/>
        <rFont val="Arial"/>
        <family val="2"/>
        <charset val="238"/>
      </rPr>
      <t>vysoká účinnost</t>
    </r>
    <r>
      <rPr>
        <u/>
        <sz val="10"/>
        <rFont val="Arial"/>
        <family val="2"/>
        <charset val="238"/>
      </rPr>
      <t xml:space="preserve"> </t>
    </r>
    <r>
      <rPr>
        <sz val="10"/>
        <rFont val="Arial"/>
        <family val="2"/>
        <charset val="238"/>
      </rPr>
      <t>(spolu s brodalumabem a risankizumabem aktuálně nejvyšší)                                    * udržovací dávka co 4 týdny                                      *</t>
    </r>
    <r>
      <rPr>
        <u/>
        <sz val="10"/>
        <rFont val="Arial"/>
        <family val="2"/>
        <charset val="238"/>
      </rPr>
      <t xml:space="preserve"> </t>
    </r>
    <r>
      <rPr>
        <b/>
        <u/>
        <sz val="10"/>
        <rFont val="Arial"/>
        <family val="2"/>
        <charset val="238"/>
      </rPr>
      <t xml:space="preserve">aktuálně poměr cena/účinnost z IL-17Ai a IL-23i je spolu s brodal.a risank. nejvyšší </t>
    </r>
    <r>
      <rPr>
        <sz val="10"/>
        <rFont val="Arial"/>
        <family val="2"/>
        <charset val="238"/>
      </rPr>
      <t xml:space="preserve">(IL-23i (guselk. a risank.) mají pravděp. nejlepší bezpečnost)                                * pravděpodobně </t>
    </r>
    <r>
      <rPr>
        <b/>
        <sz val="10"/>
        <rFont val="Arial"/>
        <family val="2"/>
        <charset val="238"/>
      </rPr>
      <t>2. nejrychlejší nástup účinku</t>
    </r>
    <r>
      <rPr>
        <sz val="10"/>
        <rFont val="Arial"/>
        <family val="2"/>
        <charset val="238"/>
      </rPr>
      <t xml:space="preserve"> (cca 24% pac.PASI  90 po 4 týdnech) po brodalumabu                                              </t>
    </r>
  </si>
  <si>
    <r>
      <t>*</t>
    </r>
    <r>
      <rPr>
        <u/>
        <sz val="10"/>
        <rFont val="Arial"/>
        <family val="2"/>
        <charset val="238"/>
      </rPr>
      <t xml:space="preserve"> </t>
    </r>
    <r>
      <rPr>
        <b/>
        <u/>
        <sz val="10"/>
        <rFont val="Arial"/>
        <family val="2"/>
        <charset val="238"/>
      </rPr>
      <t xml:space="preserve">vysoká účinnost </t>
    </r>
    <r>
      <rPr>
        <u/>
        <sz val="10"/>
        <rFont val="Arial"/>
        <family val="2"/>
        <charset val="238"/>
      </rPr>
      <t>(spolu s brodalumabem a ixekizumabem aktuálně nejvyšší</t>
    </r>
    <r>
      <rPr>
        <sz val="10"/>
        <rFont val="Arial"/>
        <family val="2"/>
        <charset val="238"/>
      </rPr>
      <t xml:space="preserve"> - brodal. a ixek. ale mají o něco horší bezpečnost)                                     * </t>
    </r>
    <r>
      <rPr>
        <b/>
        <u/>
        <sz val="10"/>
        <rFont val="Arial"/>
        <family val="2"/>
        <charset val="238"/>
      </rPr>
      <t>aktuálně poměr cena/účinnost z IL-17Ai a IL-23i je spolu s brodal.a ixek. nejvyšší</t>
    </r>
    <r>
      <rPr>
        <sz val="10"/>
        <rFont val="Arial"/>
        <family val="2"/>
        <charset val="238"/>
      </rPr>
      <t xml:space="preserve"> (IL-23i (guselk. a risank.) mají pravděp. nejlepší bezpečnost)                                                         * </t>
    </r>
    <r>
      <rPr>
        <b/>
        <u/>
        <sz val="10"/>
        <rFont val="Arial"/>
        <family val="2"/>
        <charset val="238"/>
      </rPr>
      <t>udržovací dávka co 12 týdnů</t>
    </r>
    <r>
      <rPr>
        <sz val="10"/>
        <rFont val="Arial"/>
        <family val="2"/>
        <charset val="238"/>
      </rPr>
      <t xml:space="preserve"> (spolu s ustekinumabem nejdelší interval ze všech biologik)                               * </t>
    </r>
    <r>
      <rPr>
        <b/>
        <u/>
        <sz val="10"/>
        <rFont val="Arial"/>
        <family val="2"/>
        <charset val="238"/>
      </rPr>
      <t>pravděpodobně nejnižší výskyt význam. NÚ z biologik</t>
    </r>
    <r>
      <rPr>
        <sz val="10"/>
        <rFont val="Arial"/>
        <family val="2"/>
        <charset val="238"/>
      </rPr>
      <t xml:space="preserve"> (spolu s guselkumabem)                                              * biologikum s nejdelším biolog.poločasem </t>
    </r>
    <r>
      <rPr>
        <vertAlign val="superscript"/>
        <sz val="10"/>
        <rFont val="Arial"/>
        <family val="2"/>
        <charset val="238"/>
      </rPr>
      <t>2, 3</t>
    </r>
  </si>
  <si>
    <r>
      <t xml:space="preserve">* </t>
    </r>
    <r>
      <rPr>
        <b/>
        <u/>
        <sz val="10"/>
        <rFont val="Arial"/>
        <family val="2"/>
        <charset val="238"/>
      </rPr>
      <t xml:space="preserve">z nejúčinnějších IL-17Ai a IL-23i </t>
    </r>
    <r>
      <rPr>
        <sz val="10"/>
        <rFont val="Arial"/>
        <family val="2"/>
        <charset val="238"/>
      </rPr>
      <t xml:space="preserve">(tj. risank.,  guselk., ixek., brodal.) </t>
    </r>
    <r>
      <rPr>
        <b/>
        <u/>
        <sz val="10"/>
        <rFont val="Arial"/>
        <family val="2"/>
        <charset val="238"/>
      </rPr>
      <t>má aktuálně nejhorší poměr cena/účinnost za prvních 16 týdnů léčby</t>
    </r>
    <r>
      <rPr>
        <sz val="10"/>
        <rFont val="Arial"/>
        <family val="2"/>
        <charset val="238"/>
      </rPr>
      <t xml:space="preserve">                                   * </t>
    </r>
    <r>
      <rPr>
        <b/>
        <u/>
        <sz val="10"/>
        <rFont val="Arial"/>
        <family val="2"/>
        <charset val="238"/>
      </rPr>
      <t xml:space="preserve">v klinické praxi je kratší dobu než IL-17Ai a ustekinumab </t>
    </r>
    <r>
      <rPr>
        <b/>
        <sz val="10"/>
        <rFont val="Arial"/>
        <family val="2"/>
        <charset val="238"/>
      </rPr>
      <t xml:space="preserve">(má méně klin.dat o účinnosti a bezpečnosti)                                          * pomalejší nástup účinku než brodalumab a ixekizumab </t>
    </r>
    <r>
      <rPr>
        <sz val="10"/>
        <rFont val="Arial"/>
        <family val="2"/>
        <charset val="238"/>
      </rPr>
      <t>(asi 4x menší PASI 90 ve 4 týdnu)</t>
    </r>
  </si>
  <si>
    <r>
      <t xml:space="preserve">* vysoká účinnost </t>
    </r>
    <r>
      <rPr>
        <sz val="10"/>
        <rFont val="Arial"/>
        <family val="2"/>
        <charset val="238"/>
      </rPr>
      <t xml:space="preserve">(vyšší než u secuk., ale menší než u ixe., brodal. a risank.)                                                               * </t>
    </r>
    <r>
      <rPr>
        <b/>
        <sz val="10"/>
        <rFont val="Arial"/>
        <family val="2"/>
        <charset val="238"/>
      </rPr>
      <t>udržovací dávka co 8 týdnů</t>
    </r>
    <r>
      <rPr>
        <sz val="10"/>
        <rFont val="Arial"/>
        <family val="2"/>
        <charset val="238"/>
      </rPr>
      <t xml:space="preserve">                                        * </t>
    </r>
    <r>
      <rPr>
        <b/>
        <u/>
        <sz val="10"/>
        <rFont val="Arial"/>
        <family val="2"/>
        <charset val="238"/>
      </rPr>
      <t>pravděpodobně nejnižší výskyt význam. NÚ z biologik</t>
    </r>
    <r>
      <rPr>
        <b/>
        <sz val="10"/>
        <rFont val="Arial"/>
        <family val="2"/>
        <charset val="238"/>
      </rPr>
      <t xml:space="preserve"> </t>
    </r>
    <r>
      <rPr>
        <sz val="10"/>
        <rFont val="Arial"/>
        <family val="2"/>
        <charset val="238"/>
      </rPr>
      <t xml:space="preserve">(spolu s risankizumabem - oba IL-23i)   </t>
    </r>
    <r>
      <rPr>
        <b/>
        <sz val="10"/>
        <rFont val="Arial"/>
        <family val="2"/>
        <charset val="238"/>
      </rPr>
      <t xml:space="preserve">                  * aktuálně poměr cena/účin. z IL-17Ai a IL-23i je asi 2. po ixekizumabu s brodalumabem a risankizumabem                                         </t>
    </r>
  </si>
  <si>
    <r>
      <t xml:space="preserve">* </t>
    </r>
    <r>
      <rPr>
        <b/>
        <sz val="10"/>
        <rFont val="Arial"/>
        <family val="2"/>
        <charset val="238"/>
      </rPr>
      <t>aktuálně dle údaje cena/účinnost je asi 5x dražší než HYRIMOZ</t>
    </r>
    <r>
      <rPr>
        <sz val="10"/>
        <rFont val="Arial"/>
        <family val="2"/>
        <charset val="238"/>
      </rPr>
      <t xml:space="preserve">                                       * </t>
    </r>
    <r>
      <rPr>
        <b/>
        <u/>
        <sz val="10"/>
        <rFont val="Arial"/>
        <family val="2"/>
        <charset val="238"/>
      </rPr>
      <t>nejvyšší četnost podávání udrž. dávek (1x týdně) ze všech biologi</t>
    </r>
    <r>
      <rPr>
        <b/>
        <sz val="10"/>
        <rFont val="Arial"/>
        <family val="2"/>
        <charset val="238"/>
      </rPr>
      <t xml:space="preserve">k    </t>
    </r>
    <r>
      <rPr>
        <sz val="10"/>
        <rFont val="Arial"/>
        <family val="2"/>
        <charset val="238"/>
      </rPr>
      <t xml:space="preserve">                                        </t>
    </r>
    <r>
      <rPr>
        <b/>
        <sz val="10"/>
        <rFont val="Arial"/>
        <family val="2"/>
        <charset val="238"/>
      </rPr>
      <t xml:space="preserve">* </t>
    </r>
    <r>
      <rPr>
        <b/>
        <u/>
        <sz val="10"/>
        <rFont val="Arial"/>
        <family val="2"/>
        <charset val="238"/>
      </rPr>
      <t>nejnižší účinnost ze všech biologi</t>
    </r>
    <r>
      <rPr>
        <b/>
        <sz val="10"/>
        <rFont val="Arial"/>
        <family val="2"/>
        <charset val="238"/>
      </rPr>
      <t xml:space="preserve">k  </t>
    </r>
    <r>
      <rPr>
        <sz val="10"/>
        <rFont val="Arial"/>
        <family val="2"/>
        <charset val="238"/>
      </rPr>
      <t xml:space="preserve">                                                       * má nejpomalejší nástup účinku ze všech biologik                                                * biologikum s nejkratším biolog.poločasem </t>
    </r>
    <r>
      <rPr>
        <vertAlign val="superscript"/>
        <sz val="10"/>
        <rFont val="Arial"/>
        <family val="2"/>
        <charset val="238"/>
      </rPr>
      <t>2, 3</t>
    </r>
  </si>
  <si>
    <t>3. volba u pacientů bez PsA</t>
  </si>
  <si>
    <r>
      <t xml:space="preserve">Doporučená dávka je </t>
    </r>
    <r>
      <rPr>
        <u/>
        <sz val="8"/>
        <rFont val="Arial"/>
        <family val="2"/>
        <charset val="238"/>
      </rPr>
      <t>150 mg (dvě 75 mg injekce)</t>
    </r>
    <r>
      <rPr>
        <sz val="8"/>
        <rFont val="Arial"/>
        <family val="2"/>
        <charset val="238"/>
      </rPr>
      <t xml:space="preserve"> podaná subkutánně </t>
    </r>
    <r>
      <rPr>
        <u/>
        <sz val="8"/>
        <rFont val="Arial"/>
        <family val="2"/>
        <charset val="238"/>
      </rPr>
      <t xml:space="preserve">v týdnu 0, týdnu 4 a následně každých 12 týdnů.   </t>
    </r>
    <r>
      <rPr>
        <sz val="8"/>
        <rFont val="Arial"/>
        <family val="2"/>
        <charset val="238"/>
      </rPr>
      <t>U pacientů bez zjevné odpovědi po 16 týdnech léčby se má zvážit vysazení léčby. Někteří pacienti s počáteční částečnou odpovědí se mohou zlepšit v dalším průběhu léčby i po 16 týdnu.</t>
    </r>
  </si>
  <si>
    <t>suma:</t>
  </si>
  <si>
    <t>název přípravku</t>
  </si>
  <si>
    <t>farmakolog. skupina</t>
  </si>
  <si>
    <t>range           pro sl.H</t>
  </si>
  <si>
    <t>lower</t>
  </si>
  <si>
    <t>upper</t>
  </si>
  <si>
    <r>
      <t xml:space="preserve">Doporučená dávka je 25 mg etanerceptu podaná 2x týdně nebo 50 mg podaná jednou týdně. </t>
    </r>
    <r>
      <rPr>
        <b/>
        <u/>
        <sz val="8"/>
        <rFont val="Arial"/>
        <family val="2"/>
        <charset val="238"/>
      </rPr>
      <t>Alternativně může být podáváno 50 mg 2x týdně až 12 týdnů a dále, je-li to nezbytné</t>
    </r>
    <r>
      <rPr>
        <sz val="8"/>
        <rFont val="Arial"/>
        <family val="2"/>
        <charset val="238"/>
      </rPr>
      <t>, dávka 25 mg 2x týdně nebo 50 mg jednou týdně</t>
    </r>
    <r>
      <rPr>
        <u/>
        <sz val="8"/>
        <rFont val="Arial"/>
        <family val="2"/>
        <charset val="238"/>
      </rPr>
      <t>.</t>
    </r>
    <r>
      <rPr>
        <sz val="8"/>
        <rFont val="Arial"/>
        <family val="2"/>
        <charset val="238"/>
      </rPr>
      <t xml:space="preserve"> Léčení etanerceptem má pokračovat až do dosažení remise, až po dobu 24 týdnů. U některých dospělých pacientů může být vhodné pokračování v terapii po 24 týdnech. U pacientů, kteří nevykazují odpověď po 12 týdnech, má být léčení ukončeno.                                                   Je-li indikována opakovaná léčba, má se dodržet výše uvedená délka léčení. Dávka má být 25 mg 2x týdně nebo 50 mg jednou týdně.</t>
    </r>
  </si>
  <si>
    <t>CER = cena za dosažení PASI 100 u 1 pac. za 16 týdnů léčby</t>
  </si>
  <si>
    <r>
      <t>cena za 1 rok udrž. léčby</t>
    </r>
    <r>
      <rPr>
        <vertAlign val="superscript"/>
        <sz val="8"/>
        <rFont val="Arial"/>
        <family val="2"/>
        <charset val="238"/>
      </rPr>
      <t xml:space="preserve"> </t>
    </r>
    <r>
      <rPr>
        <sz val="8"/>
        <rFont val="Arial"/>
        <family val="2"/>
        <charset val="238"/>
      </rPr>
      <t>se započtením bonusů</t>
    </r>
  </si>
  <si>
    <r>
      <t>CER = cena za udržení PASI 100 u 1 pac. za 1 rok léčby - je to jen aproximace</t>
    </r>
    <r>
      <rPr>
        <vertAlign val="superscript"/>
        <sz val="8"/>
        <rFont val="Arial"/>
        <family val="2"/>
        <charset val="238"/>
      </rPr>
      <t>1</t>
    </r>
  </si>
  <si>
    <t>KYNTHEUM 210mg inj. - brodalumab (antiIL-17)</t>
  </si>
  <si>
    <t>SKYRIZI 75mg inj. - risankizumab (antiIL-23)</t>
  </si>
  <si>
    <t>TALTZ 80mg inj. - ixekizumab (antiIL-17)</t>
  </si>
  <si>
    <t>CIMZIA 200mg inj.  (při udrž. dávce 200mg) - certolizumab peg. (iTNF)</t>
  </si>
  <si>
    <t>COSENTYX 150mg inj. - secukinumab (antiIL-17)</t>
  </si>
  <si>
    <t>CIMZIA 200mg inj.  (při udrž. dávce 400mg) - certolizumab peg. (iTNF)</t>
  </si>
  <si>
    <r>
      <t xml:space="preserve">FLIXABI 100mg inf. 1x100mg </t>
    </r>
    <r>
      <rPr>
        <sz val="8"/>
        <rFont val="Arial"/>
        <family val="2"/>
        <charset val="238"/>
      </rPr>
      <t>(ceny jsou pro dávky u 70kg dospělého)</t>
    </r>
  </si>
  <si>
    <t xml:space="preserve">ano </t>
  </si>
  <si>
    <r>
      <t xml:space="preserve">* </t>
    </r>
    <r>
      <rPr>
        <b/>
        <u/>
        <sz val="10"/>
        <rFont val="Arial"/>
        <family val="2"/>
        <charset val="238"/>
      </rPr>
      <t>i.v. infuze</t>
    </r>
    <r>
      <rPr>
        <b/>
        <sz val="10"/>
        <rFont val="Arial"/>
        <family val="2"/>
        <charset val="238"/>
      </rPr>
      <t xml:space="preserve"> (ostatní biologika mají s.c. podávání)       </t>
    </r>
    <r>
      <rPr>
        <sz val="10"/>
        <rFont val="Arial"/>
        <family val="2"/>
        <charset val="238"/>
      </rPr>
      <t xml:space="preserve">                                               * </t>
    </r>
    <r>
      <rPr>
        <b/>
        <u/>
        <sz val="10"/>
        <rFont val="Arial"/>
        <family val="2"/>
        <charset val="238"/>
      </rPr>
      <t xml:space="preserve">nejvyšší četnost vážných NÚ a vážných infekcí z biologik </t>
    </r>
    <r>
      <rPr>
        <sz val="10"/>
        <rFont val="Arial"/>
        <family val="2"/>
        <charset val="238"/>
      </rPr>
      <t xml:space="preserve">(viz níže pozn.6)                                                      * </t>
    </r>
    <r>
      <rPr>
        <b/>
        <sz val="10"/>
        <rFont val="Arial"/>
        <family val="2"/>
        <charset val="238"/>
      </rPr>
      <t xml:space="preserve">IL-17Ai a IL-23i jsou účinnější        </t>
    </r>
    <r>
      <rPr>
        <sz val="10"/>
        <rFont val="Arial"/>
        <family val="2"/>
        <charset val="238"/>
      </rPr>
      <t xml:space="preserve">                         * </t>
    </r>
    <r>
      <rPr>
        <b/>
        <sz val="10"/>
        <rFont val="Arial"/>
        <family val="2"/>
        <charset val="238"/>
      </rPr>
      <t>jeho účinek se po indukční době pravděpodobně mírně snižuje</t>
    </r>
    <r>
      <rPr>
        <sz val="10"/>
        <rFont val="Arial"/>
        <family val="2"/>
        <charset val="238"/>
      </rPr>
      <t xml:space="preserve"> (viz list "srovnání účinnosti")              </t>
    </r>
  </si>
  <si>
    <r>
      <t xml:space="preserve">* je dražší než biosim. ZESSLY !      * </t>
    </r>
    <r>
      <rPr>
        <b/>
        <u/>
        <sz val="10"/>
        <rFont val="Arial"/>
        <family val="2"/>
        <charset val="238"/>
      </rPr>
      <t>i.v. infuze</t>
    </r>
    <r>
      <rPr>
        <b/>
        <sz val="10"/>
        <rFont val="Arial"/>
        <family val="2"/>
        <charset val="238"/>
      </rPr>
      <t xml:space="preserve"> (ostatní biologika mají s.c. podávání)       </t>
    </r>
    <r>
      <rPr>
        <sz val="10"/>
        <rFont val="Arial"/>
        <family val="2"/>
        <charset val="238"/>
      </rPr>
      <t xml:space="preserve">                                               * </t>
    </r>
    <r>
      <rPr>
        <b/>
        <u/>
        <sz val="10"/>
        <rFont val="Arial"/>
        <family val="2"/>
        <charset val="238"/>
      </rPr>
      <t>nejvyšší četnost vážných NÚ a vážných infekcí z biologik</t>
    </r>
    <r>
      <rPr>
        <b/>
        <sz val="10"/>
        <rFont val="Arial"/>
        <family val="2"/>
        <charset val="238"/>
      </rPr>
      <t xml:space="preserve"> </t>
    </r>
    <r>
      <rPr>
        <sz val="10"/>
        <rFont val="Arial"/>
        <family val="2"/>
        <charset val="238"/>
      </rPr>
      <t xml:space="preserve">(viz níže pozn.6)                                                      * </t>
    </r>
    <r>
      <rPr>
        <b/>
        <sz val="10"/>
        <rFont val="Arial"/>
        <family val="2"/>
        <charset val="238"/>
      </rPr>
      <t xml:space="preserve">IL-17Ai a IL-23i jsou účinnější        </t>
    </r>
    <r>
      <rPr>
        <sz val="10"/>
        <rFont val="Arial"/>
        <family val="2"/>
        <charset val="238"/>
      </rPr>
      <t xml:space="preserve">                                                * </t>
    </r>
    <r>
      <rPr>
        <b/>
        <sz val="10"/>
        <rFont val="Arial"/>
        <family val="2"/>
        <charset val="238"/>
      </rPr>
      <t>jeho účinek se po indukční době pravděpodobně mírně snižuje</t>
    </r>
    <r>
      <rPr>
        <sz val="10"/>
        <rFont val="Arial"/>
        <family val="2"/>
        <charset val="238"/>
      </rPr>
      <t xml:space="preserve"> (viz list "srovnání účinnosti")</t>
    </r>
  </si>
  <si>
    <r>
      <t>*</t>
    </r>
    <r>
      <rPr>
        <u/>
        <sz val="10"/>
        <rFont val="Arial"/>
        <family val="2"/>
        <charset val="238"/>
      </rPr>
      <t xml:space="preserve"> </t>
    </r>
    <r>
      <rPr>
        <b/>
        <u/>
        <sz val="10"/>
        <rFont val="Arial"/>
        <family val="2"/>
        <charset val="238"/>
      </rPr>
      <t>je dražší než biosim. ZESSLY</t>
    </r>
    <r>
      <rPr>
        <b/>
        <sz val="10"/>
        <rFont val="Arial"/>
        <family val="2"/>
        <charset val="238"/>
      </rPr>
      <t xml:space="preserve"> !    </t>
    </r>
    <r>
      <rPr>
        <sz val="10"/>
        <rFont val="Arial"/>
        <family val="2"/>
        <charset val="238"/>
      </rPr>
      <t xml:space="preserve">                                               *</t>
    </r>
    <r>
      <rPr>
        <u/>
        <sz val="10"/>
        <rFont val="Arial"/>
        <family val="2"/>
        <charset val="238"/>
      </rPr>
      <t xml:space="preserve"> </t>
    </r>
    <r>
      <rPr>
        <b/>
        <u/>
        <sz val="10"/>
        <rFont val="Arial"/>
        <family val="2"/>
        <charset val="238"/>
      </rPr>
      <t xml:space="preserve">i.v. infuze </t>
    </r>
    <r>
      <rPr>
        <b/>
        <sz val="10"/>
        <rFont val="Arial"/>
        <family val="2"/>
        <charset val="238"/>
      </rPr>
      <t xml:space="preserve">(ostatní biologika mají s.c. podávání)       </t>
    </r>
    <r>
      <rPr>
        <sz val="10"/>
        <rFont val="Arial"/>
        <family val="2"/>
        <charset val="238"/>
      </rPr>
      <t xml:space="preserve">                                               * </t>
    </r>
    <r>
      <rPr>
        <b/>
        <u/>
        <sz val="10"/>
        <rFont val="Arial"/>
        <family val="2"/>
        <charset val="238"/>
      </rPr>
      <t xml:space="preserve">nejvyšší četnost vážných NÚ a vážných infekcí z biologik </t>
    </r>
    <r>
      <rPr>
        <sz val="10"/>
        <rFont val="Arial"/>
        <family val="2"/>
        <charset val="238"/>
      </rPr>
      <t xml:space="preserve">(viz níže pozn.6)                                                         * </t>
    </r>
    <r>
      <rPr>
        <b/>
        <sz val="10"/>
        <rFont val="Arial"/>
        <family val="2"/>
        <charset val="238"/>
      </rPr>
      <t xml:space="preserve">IL-17Ai a IL-23i jsou účinnější        </t>
    </r>
    <r>
      <rPr>
        <sz val="10"/>
        <rFont val="Arial"/>
        <family val="2"/>
        <charset val="238"/>
      </rPr>
      <t xml:space="preserve">                                              * </t>
    </r>
    <r>
      <rPr>
        <b/>
        <sz val="10"/>
        <rFont val="Arial"/>
        <family val="2"/>
        <charset val="238"/>
      </rPr>
      <t>jeho účinek se po indukční době pravděpodobně mírně snižuje</t>
    </r>
    <r>
      <rPr>
        <sz val="10"/>
        <rFont val="Arial"/>
        <family val="2"/>
        <charset val="238"/>
      </rPr>
      <t xml:space="preserve"> (viz list "srovnání účinnosti")                                    </t>
    </r>
  </si>
  <si>
    <t>přejít na levnější  biosimilar Zessly !</t>
  </si>
  <si>
    <r>
      <t>* udržovací dávka  co 8. týden                               * dobrá účinnost (</t>
    </r>
    <r>
      <rPr>
        <b/>
        <sz val="10"/>
        <rFont val="Arial"/>
        <family val="2"/>
        <charset val="238"/>
      </rPr>
      <t>nejúčin. z TNFi, účinnost je vyšší než u ustekin.</t>
    </r>
    <r>
      <rPr>
        <sz val="10"/>
        <rFont val="Arial"/>
        <family val="2"/>
        <charset val="238"/>
      </rPr>
      <t xml:space="preserve">)                                               * pravděpodobně </t>
    </r>
    <r>
      <rPr>
        <b/>
        <sz val="10"/>
        <rFont val="Arial"/>
        <family val="2"/>
        <charset val="238"/>
      </rPr>
      <t>3. nejrychlejší nástup účinku</t>
    </r>
    <r>
      <rPr>
        <sz val="10"/>
        <rFont val="Arial"/>
        <family val="2"/>
        <charset val="238"/>
      </rPr>
      <t xml:space="preserve"> (cca 16% pac.PASI  90 po 4 týdnech) po brodal. a ixekizumabu                                 </t>
    </r>
  </si>
  <si>
    <r>
      <rPr>
        <b/>
        <u/>
        <sz val="12"/>
        <rFont val="Arial"/>
        <family val="2"/>
        <charset val="238"/>
      </rPr>
      <t xml:space="preserve">* aktuálně 2. nejnižší cena udrž. léčby a  v poměru cena/účin. ze všech biolog. po ZESSLY   </t>
    </r>
    <r>
      <rPr>
        <b/>
        <sz val="10"/>
        <rFont val="Arial"/>
        <family val="2"/>
        <charset val="238"/>
      </rPr>
      <t xml:space="preserve">   </t>
    </r>
    <r>
      <rPr>
        <b/>
        <i/>
        <sz val="10"/>
        <rFont val="Arial"/>
        <family val="2"/>
        <charset val="238"/>
      </rPr>
      <t xml:space="preserve"> </t>
    </r>
    <r>
      <rPr>
        <b/>
        <sz val="10"/>
        <rFont val="Arial"/>
        <family val="2"/>
        <charset val="238"/>
      </rPr>
      <t xml:space="preserve">                                               * </t>
    </r>
    <r>
      <rPr>
        <b/>
        <u/>
        <sz val="10"/>
        <rFont val="Arial"/>
        <family val="2"/>
        <charset val="238"/>
      </rPr>
      <t>po etanerceptu je společně s infliximabem nejdéle v klin.prax</t>
    </r>
    <r>
      <rPr>
        <b/>
        <sz val="10"/>
        <rFont val="Arial"/>
        <family val="2"/>
        <charset val="238"/>
      </rPr>
      <t>i</t>
    </r>
  </si>
  <si>
    <r>
      <rPr>
        <b/>
        <u/>
        <sz val="12"/>
        <rFont val="Arial"/>
        <family val="2"/>
        <charset val="238"/>
      </rPr>
      <t xml:space="preserve">* aktuálně nejnižší cena udrž. léčby a poměr cena/účin. ze všech biologik </t>
    </r>
    <r>
      <rPr>
        <b/>
        <sz val="10"/>
        <rFont val="Arial"/>
        <family val="2"/>
        <charset val="238"/>
      </rPr>
      <t xml:space="preserve">  </t>
    </r>
    <r>
      <rPr>
        <sz val="10"/>
        <rFont val="Arial"/>
        <family val="2"/>
        <charset val="238"/>
      </rPr>
      <t xml:space="preserve">              * udržovací dávka  co 8. týden                               * dobrá účinnost (</t>
    </r>
    <r>
      <rPr>
        <b/>
        <sz val="10"/>
        <rFont val="Arial"/>
        <family val="2"/>
        <charset val="238"/>
      </rPr>
      <t>nejúčin. z TNFi, účinnost je vyšší než u ustekin.</t>
    </r>
    <r>
      <rPr>
        <sz val="10"/>
        <rFont val="Arial"/>
        <family val="2"/>
        <charset val="238"/>
      </rPr>
      <t xml:space="preserve">)                                               * pravděpodobně </t>
    </r>
    <r>
      <rPr>
        <b/>
        <sz val="10"/>
        <rFont val="Arial"/>
        <family val="2"/>
        <charset val="238"/>
      </rPr>
      <t>3. nejrychlejší nástup účinku</t>
    </r>
    <r>
      <rPr>
        <sz val="10"/>
        <rFont val="Arial"/>
        <family val="2"/>
        <charset val="238"/>
      </rPr>
      <t xml:space="preserve"> (cca 16% pac.PASI  90 po 4 týdnech) po brodal. a ixekizumabu              </t>
    </r>
  </si>
  <si>
    <t>přejít na levnější biosimilar Zessly</t>
  </si>
  <si>
    <r>
      <t xml:space="preserve">4. volba u pacientů bez PsA                                 3. volba u pacientů s PsA (on-label v ČR, </t>
    </r>
    <r>
      <rPr>
        <b/>
        <sz val="9"/>
        <rFont val="Arial"/>
        <family val="2"/>
        <charset val="238"/>
      </rPr>
      <t>ale mimo úhradu!!</t>
    </r>
    <r>
      <rPr>
        <sz val="9"/>
        <rFont val="Arial"/>
        <family val="2"/>
        <charset val="238"/>
      </rPr>
      <t>)</t>
    </r>
  </si>
  <si>
    <r>
      <t>1. volba u pacientů bez PsA či s PsA s velmi těžkým průběhem (PASI</t>
    </r>
    <r>
      <rPr>
        <sz val="9"/>
        <rFont val="Calibri"/>
        <family val="2"/>
        <charset val="238"/>
      </rPr>
      <t>&gt;</t>
    </r>
    <r>
      <rPr>
        <sz val="9"/>
        <rFont val="Arial"/>
        <family val="2"/>
        <charset val="238"/>
      </rPr>
      <t>20 a DLQI&gt;18) - viz sloupce výhody/nevýhody</t>
    </r>
  </si>
  <si>
    <r>
      <t>1. volba u pacientů bez PsA či s PsA s velmi těžkým průběhem (PASI</t>
    </r>
    <r>
      <rPr>
        <sz val="9"/>
        <rFont val="Calibri"/>
        <family val="2"/>
        <charset val="238"/>
      </rPr>
      <t>&gt;</t>
    </r>
    <r>
      <rPr>
        <sz val="9"/>
        <rFont val="Arial"/>
        <family val="2"/>
        <charset val="238"/>
      </rPr>
      <t>20 a DLQI&gt;18) nebo při nemožnosti použít adalimumab- viz sloupce výhody/nevýhody</t>
    </r>
  </si>
  <si>
    <t xml:space="preserve">3-5. volba u pacientů s PsA a 7-8. bez PsA </t>
  </si>
  <si>
    <r>
      <rPr>
        <u/>
        <sz val="9"/>
        <rFont val="Arial"/>
        <family val="2"/>
        <charset val="238"/>
      </rPr>
      <t>násobek poměru cena/účinnost vůči HYRIMOZU</t>
    </r>
    <r>
      <rPr>
        <sz val="9"/>
        <rFont val="Arial"/>
        <family val="2"/>
        <charset val="238"/>
      </rPr>
      <t xml:space="preserve"> pří udržovací léčbě 1 rok </t>
    </r>
    <r>
      <rPr>
        <b/>
        <sz val="9"/>
        <rFont val="Arial"/>
        <family val="2"/>
        <charset val="238"/>
      </rPr>
      <t xml:space="preserve"> (CER=cena za udržení 1 pac. na PASI 100 za 1 rok léčby)</t>
    </r>
  </si>
  <si>
    <t>STELARA 45mg inj. (jen do 100kg) - ustekinumab (antiIL-12 a IL-23)</t>
  </si>
  <si>
    <r>
      <t xml:space="preserve">ENBREL 50mg inj. </t>
    </r>
    <r>
      <rPr>
        <sz val="8"/>
        <rFont val="Arial"/>
        <family val="2"/>
        <charset val="238"/>
      </rPr>
      <t>(při dávce 100mg týdně do 12. týdne, pak 50mg 1x týdně)</t>
    </r>
  </si>
  <si>
    <r>
      <t xml:space="preserve">ENBREL     50mg inj. 4x1ml </t>
    </r>
    <r>
      <rPr>
        <sz val="8"/>
        <rFont val="Arial"/>
        <family val="2"/>
        <charset val="238"/>
      </rPr>
      <t>(při dávce 100mg týdně do 12. týdne, pak 50mg 1x týdně)</t>
    </r>
  </si>
  <si>
    <r>
      <rPr>
        <b/>
        <sz val="9"/>
        <rFont val="Arial"/>
        <family val="2"/>
        <charset val="238"/>
      </rPr>
      <t>HYRIMOZ 40mg</t>
    </r>
    <r>
      <rPr>
        <sz val="9"/>
        <rFont val="Arial"/>
        <family val="2"/>
        <charset val="238"/>
      </rPr>
      <t xml:space="preserve"> inj. (při dávce 40mg co 2 týdny) - adalimumab (iTNF) - PRVNÍCH 16 TÝDNŮ</t>
    </r>
  </si>
  <si>
    <t>KYNTHEUM 210mg inj. - brodalumab (antiIL-17) - PRVNÍCH 16 TÝDNŮ</t>
  </si>
  <si>
    <t>SKYRIZI 75mg inj. - risankizumab (antiIL-23) - PRVNÍCH 16 TÝDNŮ</t>
  </si>
  <si>
    <t>TALTZ 80mg inj. - ixekizumab (antiIL-17) - PRVNÍCH 16 TÝDNŮ</t>
  </si>
  <si>
    <t>HUMIRA 40mg inj 2x0,4ml  (při dávce 40mg co 2 týdny) - adalimumab (iTNF) - PRVNÍCH 16 TÝDNŮ</t>
  </si>
  <si>
    <t>CIMZIA 200mg inj.  (při udrž. dávce 200mg) - certolizumab peg. (iTNF) - PRVNÍCH 16 TÝDNŮ</t>
  </si>
  <si>
    <t>COSENTYX 150mg inj. - secukinumab (antiIL-17) - PRVNÍCH 16 TÝDNŮ</t>
  </si>
  <si>
    <t>STELARA 45mg inj. (jen do 100kg) - ustekinumab (antiIL-12 a IL-23) - PRVNÍCH 16 TÝDNŮ</t>
  </si>
  <si>
    <t>CIMZIA 200mg inj.  (při udrž. dávce 400mg) - certolizumab peg. (iTNF) - PRVNÍCH 16 TÝDNŮ</t>
  </si>
  <si>
    <t>cena za příslušné období (vč. bonusů)</t>
  </si>
  <si>
    <r>
      <rPr>
        <b/>
        <sz val="9"/>
        <rFont val="Arial"/>
        <family val="2"/>
        <charset val="238"/>
      </rPr>
      <t>HYRIMOZ 40mg</t>
    </r>
    <r>
      <rPr>
        <sz val="9"/>
        <rFont val="Arial"/>
        <family val="2"/>
        <charset val="238"/>
      </rPr>
      <t xml:space="preserve"> inj. (při dávce 40mg co 2 týdny) - adalimumab (iTNF) - ROK UDRŽOVACÍ LÉČBY</t>
    </r>
  </si>
  <si>
    <t>KYNTHEUM 210mg inj. - brodalumab (antiIL-17) - ROK UDRŽOVACÍ LÉČBY</t>
  </si>
  <si>
    <t>SKYRIZI 75mg inj. - risankizumab (antiIL-23) - ROK UDRŽOVACÍ LÉČBY</t>
  </si>
  <si>
    <t>TALTZ 80mg inj. - ixekizumab (antiIL-17) - ROK UDRŽOVACÍ LÉČBY</t>
  </si>
  <si>
    <t>HUMIRA 40mg inj 2x0,4ml  (při dávce 40mg co 2 týdny) - adalimumab (iTNF) - ROK UDRŽOVACÍ LÉČBY</t>
  </si>
  <si>
    <t>COSENTYX 150mg inj. - secukinumab (antiIL-17) - ROK UDRŽOVACÍ LÉČBY</t>
  </si>
  <si>
    <t>STELARA 45mg inj. (jen do 100kg) - ustekinumab (antiIL-12 a IL-23) - ROK UDRŽOVACÍ LÉČBY</t>
  </si>
  <si>
    <t>CIMZIA 200mg inj.  (při udrž. dávce 200mg) - certolizumab peg. (iTNF), účinnost jen dle indukce !! - ROK UDRŽOVACÍ LÉČBY</t>
  </si>
  <si>
    <t>CIMZIA 200mg inj.  (při udrž. dávce 400mg) - certolizumab peg. (iTNF), účinnost jen dle indukce !! - ROK UDRŽOVACÍ LÉČBY</t>
  </si>
  <si>
    <t>TREMFYA 100mg inj.  - guselkumab (antiIL-23)</t>
  </si>
  <si>
    <t>1. samotný nebo v kombinaci s methotrexátem je hrazen u dospělých pacientů s aktivní a progresivní psoriatickou artritidou a současnou středně těžkou až těžkou ložiskovou psoriázou (PASI více než 10) v případech, kdy po předchozím podání chorobu modifikujících antirevmatických léků (cDMARD) nebylo dosaženo adekvátní terapeutické odpovědi, 2. samotný nebo v kombinaci s methotrexátem je hrazen u dospělých pacientů s aktivní a progresivní psoriatickou artritidou v případech, kdy po předchozím podání biologické léčby nebylo dosaženo adekvátní terapeutické odpovědi.</t>
  </si>
  <si>
    <t>v ČR on-label, ale mimo úhradové podmínky !!</t>
  </si>
  <si>
    <t>* kde nelze použít dva z následujících způsobů konvenční systémové léčby: acitretin, methotrexát, cyklosporin, apremilast nebo fototerapii (PUVA či NBUVB) z důvodů nedostatečné účinnosti, intolerance či kontraindikace, nebo                                         * mají současně aktivní psoriatickou artropatii, kde nelze použít methotrexát z důvodů nedostatečné účinnosti, intolerance či kontraindikace.</t>
  </si>
  <si>
    <t xml:space="preserve">ceny počítány při vyšším udržovacím dávkování 400 mg co 2 týdny </t>
  </si>
  <si>
    <t>ENBREL 50mg inj. (při dávce 100mg týdně do 12. týdne) - etanercept (iTNF)</t>
  </si>
  <si>
    <r>
      <t>cena za prvních 16 týdnů (u etaner. za 12 týdnů)</t>
    </r>
    <r>
      <rPr>
        <vertAlign val="superscript"/>
        <sz val="8"/>
        <rFont val="Arial"/>
        <family val="2"/>
        <charset val="238"/>
      </rPr>
      <t xml:space="preserve"> </t>
    </r>
    <r>
      <rPr>
        <sz val="8"/>
        <rFont val="Arial"/>
        <family val="2"/>
        <charset val="238"/>
      </rPr>
      <t>se započtením bonusů</t>
    </r>
  </si>
  <si>
    <t>ENBREL 50mg inj. (při dávce 100mg týdně do 12. týdne) - etanercept (iTNF) - PRVNÍCH 12 TÝDNŮ</t>
  </si>
  <si>
    <t>ENBREL 50mg inj. (při uržovací dávce 50mg 1x týdně) - etanercept (iTNF) - ROK UDRŽOVACÍ LÉČBY</t>
  </si>
  <si>
    <t xml:space="preserve">Léčba aktivní a progresivní psoriatické artritidy u dospělých v případech, kdy po předchozím podání chorobu modifikujících antirevmatických léků nebylo dosaženo adekvátní terapeutické odpovědi.   POZOR! Platí jen pro sílu 40mg.  </t>
  </si>
  <si>
    <t>NEOTIGASON 10mg cps dur 30</t>
  </si>
  <si>
    <t>acitretin</t>
  </si>
  <si>
    <t>konveční léčba</t>
  </si>
  <si>
    <t>léčbě těžkých generalizovaných forem psoriázy a všech forem pustulózní psoriázy nereagujících na jinou léčbu</t>
  </si>
  <si>
    <t>ŽÁDNÉ</t>
  </si>
  <si>
    <t>methotrexat</t>
  </si>
  <si>
    <r>
      <t>30mg denně</t>
    </r>
    <r>
      <rPr>
        <vertAlign val="superscript"/>
        <sz val="8"/>
        <rFont val="Arial"/>
        <family val="2"/>
        <charset val="238"/>
      </rPr>
      <t>9</t>
    </r>
  </si>
  <si>
    <t>METHOTREXAT EBEWE 2,5mg tbl 50</t>
  </si>
  <si>
    <r>
      <rPr>
        <u/>
        <sz val="8"/>
        <rFont val="Arial"/>
        <family val="2"/>
        <charset val="238"/>
      </rPr>
      <t>průměrná dávka v indukci dle</t>
    </r>
    <r>
      <rPr>
        <u/>
        <vertAlign val="superscript"/>
        <sz val="8"/>
        <rFont val="Arial"/>
        <family val="2"/>
        <charset val="238"/>
      </rPr>
      <t>9</t>
    </r>
    <r>
      <rPr>
        <sz val="8"/>
        <rFont val="Arial"/>
        <family val="2"/>
        <charset val="238"/>
      </rPr>
      <t xml:space="preserve">: 17,25mg týdně (tj. 7x 2,5mg týdně) - dávka se titruje (dle SPC) od 7,5mg 1x týdně s eskalací 2,5 mg za týden </t>
    </r>
  </si>
  <si>
    <r>
      <rPr>
        <u/>
        <sz val="8"/>
        <rFont val="Arial"/>
        <family val="2"/>
        <charset val="238"/>
      </rPr>
      <t>průměrná udržovací dávka dle</t>
    </r>
    <r>
      <rPr>
        <u/>
        <vertAlign val="superscript"/>
        <sz val="8"/>
        <rFont val="Arial"/>
        <family val="2"/>
        <charset val="238"/>
      </rPr>
      <t>9</t>
    </r>
    <r>
      <rPr>
        <sz val="8"/>
        <rFont val="Arial"/>
        <family val="2"/>
        <charset val="238"/>
      </rPr>
      <t xml:space="preserve">: 19,2mg týdně (tj. 2x 10mg týdně) </t>
    </r>
  </si>
  <si>
    <r>
      <rPr>
        <u/>
        <sz val="8"/>
        <rFont val="Arial"/>
        <family val="2"/>
        <charset val="238"/>
      </rPr>
      <t>indukční i udržovací dávka dle</t>
    </r>
    <r>
      <rPr>
        <u/>
        <vertAlign val="superscript"/>
        <sz val="8"/>
        <rFont val="Arial"/>
        <family val="2"/>
        <charset val="238"/>
      </rPr>
      <t>9</t>
    </r>
    <r>
      <rPr>
        <sz val="8"/>
        <rFont val="Arial"/>
        <family val="2"/>
        <charset val="238"/>
      </rPr>
      <t>: 2,5mg /kg denně (tj. pro 80kg  2x 100mg denně)</t>
    </r>
  </si>
  <si>
    <t>ciclosporin</t>
  </si>
  <si>
    <r>
      <t xml:space="preserve">EQUORAL 100mg cps 50 </t>
    </r>
    <r>
      <rPr>
        <sz val="8"/>
        <rFont val="Arial"/>
        <family val="2"/>
        <charset val="238"/>
      </rPr>
      <t>(ceny jsou pro dávky u 80kg pac.)</t>
    </r>
  </si>
  <si>
    <t>OTEZLA 30mg tbl. 56x30mg - apremilast - PRVNÍCH 16 TÝDNŮ</t>
  </si>
  <si>
    <t>NEOTIGASON 10mg cps dur 30 (při dávce 30mg denně9) - acitretin - PRVNÍCH 16 TÝDNŮ</t>
  </si>
  <si>
    <t>METHOTREXAT EBEWE 2,5mg tbl 50 (při dávce 7x 2,5mg týdně9) - methotrexat - PRVNÍCH 16 TÝDNŮ</t>
  </si>
  <si>
    <t>EQUORAL 100mg cps 50 (ceny jsou pro 80kg pac., při 2,5mg /kg denně9 - tj. 2x 100mg denně) - ciclosporin - PRVNÍCH 16 TÝDNŮ</t>
  </si>
  <si>
    <t>placebo</t>
  </si>
  <si>
    <t>OTEZLA 30mg tbl. 56x30mg - apremilast - ROK UDRŽOVACÍ LÉČBY</t>
  </si>
  <si>
    <r>
      <rPr>
        <vertAlign val="superscript"/>
        <sz val="8"/>
        <rFont val="Arial"/>
        <family val="2"/>
        <charset val="238"/>
      </rPr>
      <t>9</t>
    </r>
    <r>
      <rPr>
        <sz val="8"/>
        <rFont val="Arial"/>
        <family val="2"/>
        <charset val="238"/>
      </rPr>
      <t xml:space="preserve"> Strukturované podání HUMIRA, systémová léčba psoriázy od AbbVie z 18.3.2020 - ze spisu zn. SUKLS237340/2020 k HUMIRA z www.sukl.cz</t>
    </r>
  </si>
  <si>
    <r>
      <t>cena za prvních 16 týdnů</t>
    </r>
    <r>
      <rPr>
        <vertAlign val="superscript"/>
        <sz val="8"/>
        <rFont val="Arial"/>
        <family val="2"/>
        <charset val="238"/>
      </rPr>
      <t xml:space="preserve"> </t>
    </r>
    <r>
      <rPr>
        <sz val="8"/>
        <rFont val="Arial"/>
        <family val="2"/>
        <charset val="238"/>
      </rPr>
      <t>se započtením bonusů</t>
    </r>
  </si>
  <si>
    <r>
      <rPr>
        <b/>
        <sz val="9"/>
        <rFont val="Arial"/>
        <family val="2"/>
        <charset val="238"/>
      </rPr>
      <t>účinnost</t>
    </r>
    <r>
      <rPr>
        <sz val="9"/>
        <rFont val="Arial"/>
        <family val="2"/>
        <charset val="238"/>
      </rPr>
      <t xml:space="preserve">                       (četnost dosažení PASI 75 u biolog. naiv. v % -dle</t>
    </r>
    <r>
      <rPr>
        <vertAlign val="superscript"/>
        <sz val="9"/>
        <rFont val="Arial"/>
        <family val="2"/>
        <charset val="238"/>
      </rPr>
      <t>9,10</t>
    </r>
    <r>
      <rPr>
        <sz val="9"/>
        <rFont val="Arial"/>
        <family val="2"/>
        <charset val="238"/>
      </rPr>
      <t>)</t>
    </r>
  </si>
  <si>
    <t>ICER vůči placebu (jeho bodové hodnotě)</t>
  </si>
  <si>
    <t>OTEZLA 30mg tbl. 56x30mg - apremilast</t>
  </si>
  <si>
    <t xml:space="preserve">NEOTIGASON 10mg cps dur 30 (při dávce 30mg denně9) - acitretin </t>
  </si>
  <si>
    <t>METHOTREXAT EBEWE 2,5mg tbl 50 (při dávce 7x 2,5mg týdně9) - methotrexat</t>
  </si>
  <si>
    <t xml:space="preserve">EQUORAL 100mg cps 50 (ceny jsou pro 80kg pac., při 2,5mg /kg denně9 - tj. 2x 100mg denně) - ciclosporin </t>
  </si>
  <si>
    <r>
      <t>cena za 1 rok udržovací léčby</t>
    </r>
    <r>
      <rPr>
        <vertAlign val="superscript"/>
        <sz val="8"/>
        <rFont val="Arial"/>
        <family val="2"/>
        <charset val="238"/>
      </rPr>
      <t xml:space="preserve"> </t>
    </r>
    <r>
      <rPr>
        <sz val="8"/>
        <rFont val="Arial"/>
        <family val="2"/>
        <charset val="238"/>
      </rPr>
      <t>se započtením bonusů</t>
    </r>
  </si>
  <si>
    <t>METHOTREXAT EBEWE 10mg tbl 50 (při dávce 2x 10mg týdně9) - methotrexat</t>
  </si>
  <si>
    <t>držitel registrace</t>
  </si>
  <si>
    <t>ILUMETRI 100mg inj. 1x1ml</t>
  </si>
  <si>
    <t>BIMZELX 160mg inj. 2x1ml</t>
  </si>
  <si>
    <t>bimekizumab</t>
  </si>
  <si>
    <t>UCB Pharma S.A.</t>
  </si>
  <si>
    <t>tildrakizumab</t>
  </si>
  <si>
    <t>Almirall. S.A.</t>
  </si>
  <si>
    <t>inhibitor IL-17A, IL-17F a IL-17AF</t>
  </si>
  <si>
    <t>Janssen-Cilag</t>
  </si>
  <si>
    <t>Eli Lilly</t>
  </si>
  <si>
    <t>Novartis</t>
  </si>
  <si>
    <t>LEO Pharma A/S</t>
  </si>
  <si>
    <t>Amgen</t>
  </si>
  <si>
    <t>Pfizer</t>
  </si>
  <si>
    <t>Sandoz</t>
  </si>
  <si>
    <t>Celltrion</t>
  </si>
  <si>
    <t>Samsung</t>
  </si>
  <si>
    <r>
      <rPr>
        <u/>
        <sz val="8"/>
        <rFont val="Arial"/>
        <family val="2"/>
        <charset val="238"/>
      </rPr>
      <t>320 mg (dvě s.c. inj. po 160 mg) v 0., 4., 8., 12., 16. týdnu a poté každých 8 týdnů</t>
    </r>
    <r>
      <rPr>
        <sz val="8"/>
        <rFont val="Arial"/>
        <family val="2"/>
        <charset val="238"/>
      </rPr>
      <t xml:space="preserve">, u některých pac. s tělesnou hmot. &gt;= 120 kg, kteří nedosáhli komplet. zhojení kůže v 16. týdnu, může dávka 320 mg každé 4 týdny (Q4W) po prvních 16 týdnech léčby dále zlepšit odezvu na léčbu po 16. týdnu </t>
    </r>
  </si>
  <si>
    <r>
      <rPr>
        <u/>
        <sz val="8"/>
        <rFont val="Arial"/>
        <family val="2"/>
        <charset val="238"/>
      </rPr>
      <t>100 mg v týdnu 0 a 4 a poté každých 12 týdnů</t>
    </r>
    <r>
      <rPr>
        <sz val="8"/>
        <rFont val="Arial"/>
        <family val="2"/>
        <charset val="238"/>
      </rPr>
      <t xml:space="preserve">, u některých pac. (např. s větší mírou postižení onem. nebo s těl. hm. &gt;= 90 kg) může být účinnější dávka 200 mg. U pac., kteří nereagují na léčbu </t>
    </r>
    <r>
      <rPr>
        <u/>
        <sz val="8"/>
        <rFont val="Arial"/>
        <family val="2"/>
        <charset val="238"/>
      </rPr>
      <t>ani po 28 týdnech</t>
    </r>
    <r>
      <rPr>
        <sz val="8"/>
        <rFont val="Arial"/>
        <family val="2"/>
        <charset val="238"/>
      </rPr>
      <t>, je třeba zvážit vysazení léčby. U pacientů, kteří na léčbu zpočátku částečně reagovali, se odpověď na léčbu může po 28 týdnech zlepšit.</t>
    </r>
  </si>
  <si>
    <r>
      <t>Podává se</t>
    </r>
    <r>
      <rPr>
        <u/>
        <sz val="8"/>
        <rFont val="Arial"/>
        <family val="2"/>
        <charset val="238"/>
      </rPr>
      <t xml:space="preserve"> 5 mg/kg ve formě i.v. infuze a následně další infuze 5 mg/kg ve 2. a 6. týdnu po první infuzi</t>
    </r>
    <r>
      <rPr>
        <sz val="8"/>
        <rFont val="Arial"/>
        <family val="2"/>
        <charset val="238"/>
      </rPr>
      <t xml:space="preserve">, a pak </t>
    </r>
    <r>
      <rPr>
        <i/>
        <u/>
        <sz val="8"/>
        <rFont val="Arial"/>
        <family val="2"/>
        <charset val="238"/>
      </rPr>
      <t>každý 8. týden</t>
    </r>
    <r>
      <rPr>
        <sz val="8"/>
        <rFont val="Arial"/>
        <family val="2"/>
        <charset val="238"/>
      </rPr>
      <t xml:space="preserve">. Jestliže pacient nereaguje na léčbu do 14 týdnů (tj. po 4 dávkách), neměla by se další léčba infliximabem podávat.                                                   </t>
    </r>
    <r>
      <rPr>
        <i/>
        <sz val="8"/>
        <rFont val="Arial"/>
        <family val="2"/>
        <charset val="238"/>
      </rPr>
      <t>Opětovné podání u psoriázy:</t>
    </r>
    <r>
      <rPr>
        <sz val="8"/>
        <rFont val="Arial"/>
        <family val="2"/>
        <charset val="238"/>
      </rPr>
      <t xml:space="preserve"> Omezené zkušenosti s opětovnou léčbou psoriázy jednotlivou dávkou infliximabu po 20 týdnech svědčí pro snížení účinnosti a vyšší incidenci mírných až středně závažných poinfuzních reakcí v porovnání s úvodní indukční terapií. Omezené zkušenosti z opětovné léčby reindukčním režimem po vzplanutí onemocnění svědčí oproti udržovací léčbě podávané v 8-týdenních intervalech pro vyšší incidenci reakcí na infuzi, včetně závažných.</t>
    </r>
  </si>
  <si>
    <r>
      <t xml:space="preserve">apremilast  </t>
    </r>
    <r>
      <rPr>
        <b/>
        <sz val="7"/>
        <rFont val="Arial"/>
        <family val="2"/>
        <charset val="238"/>
      </rPr>
      <t>(není to biologikum)</t>
    </r>
  </si>
  <si>
    <r>
      <t xml:space="preserve">OTEZLA 30mg tbl. 56x30mg  </t>
    </r>
    <r>
      <rPr>
        <sz val="8"/>
        <rFont val="Arial"/>
        <family val="2"/>
        <charset val="238"/>
      </rPr>
      <t xml:space="preserve"> (start. bal. je 4x 10mg + 4x20mg + 19x30mg (za cenu 6.264 Kč - je na 2 týdny)</t>
    </r>
  </si>
  <si>
    <r>
      <t xml:space="preserve">ano </t>
    </r>
    <r>
      <rPr>
        <sz val="9"/>
        <rFont val="Arial"/>
        <family val="2"/>
        <charset val="238"/>
      </rPr>
      <t>(</t>
    </r>
    <r>
      <rPr>
        <u/>
        <sz val="9"/>
        <rFont val="Arial"/>
        <family val="2"/>
        <charset val="238"/>
      </rPr>
      <t>biobetter</t>
    </r>
    <r>
      <rPr>
        <sz val="9"/>
        <rFont val="Arial"/>
        <family val="2"/>
        <charset val="238"/>
      </rPr>
      <t>!)</t>
    </r>
  </si>
  <si>
    <r>
      <t>infliximab (</t>
    </r>
    <r>
      <rPr>
        <u/>
        <sz val="9"/>
        <rFont val="Arial"/>
        <family val="2"/>
        <charset val="238"/>
      </rPr>
      <t>biobetter</t>
    </r>
    <r>
      <rPr>
        <sz val="9"/>
        <rFont val="Arial"/>
        <family val="2"/>
        <charset val="238"/>
      </rPr>
      <t>!)</t>
    </r>
  </si>
  <si>
    <r>
      <rPr>
        <u/>
        <sz val="8"/>
        <rFont val="Arial"/>
        <family val="2"/>
        <charset val="238"/>
      </rPr>
      <t>Léčbu Remsima s.c. je třeba zahájit jako udrž. léčbu 4 týdny po posledním podání dvou i.v. infuzí infliximabu 5 mg/kg</t>
    </r>
    <r>
      <rPr>
        <sz val="8"/>
        <rFont val="Arial"/>
        <family val="2"/>
        <charset val="238"/>
      </rPr>
      <t xml:space="preserve"> podaných v rozmezí 2 týdnů. Doporuč. dávka přípravku Remsima k </t>
    </r>
    <r>
      <rPr>
        <u/>
        <sz val="8"/>
        <rFont val="Arial"/>
        <family val="2"/>
        <charset val="238"/>
      </rPr>
      <t>s.c. podání je 120 mg 1x za 2 týdny</t>
    </r>
    <r>
      <rPr>
        <sz val="8"/>
        <rFont val="Arial"/>
        <family val="2"/>
        <charset val="238"/>
      </rPr>
      <t>. Jestliže pacient neodpovídá na léčbu do 14 týdnů (tj. 2 intravenózní infuze a 5 subkutánní injekce), nesmí se další léčba infliximabem podávat.</t>
    </r>
  </si>
  <si>
    <r>
      <t xml:space="preserve">REMSIMA 120mg inj. 2x1ml  </t>
    </r>
    <r>
      <rPr>
        <sz val="8"/>
        <rFont val="Arial"/>
        <family val="2"/>
        <charset val="238"/>
      </rPr>
      <t xml:space="preserve">(ceny jsou pro inic. i.v. dávku u 61-80kg pac., </t>
    </r>
    <r>
      <rPr>
        <u/>
        <sz val="8"/>
        <rFont val="Arial"/>
        <family val="2"/>
        <charset val="238"/>
      </rPr>
      <t>udržovací s.c. dávky jsou bez ohledu na hmotnost</t>
    </r>
    <r>
      <rPr>
        <sz val="8"/>
        <rFont val="Arial"/>
        <family val="2"/>
        <charset val="238"/>
      </rPr>
      <t xml:space="preserve"> !!)</t>
    </r>
  </si>
  <si>
    <r>
      <t xml:space="preserve">Doporučená </t>
    </r>
    <r>
      <rPr>
        <u/>
        <sz val="8"/>
        <rFont val="Arial"/>
        <family val="2"/>
        <charset val="238"/>
      </rPr>
      <t>úvodní dávka</t>
    </r>
    <r>
      <rPr>
        <sz val="8"/>
        <rFont val="Arial"/>
        <family val="2"/>
        <charset val="238"/>
      </rPr>
      <t xml:space="preserve"> u dosp. pac. </t>
    </r>
    <r>
      <rPr>
        <u/>
        <sz val="8"/>
        <rFont val="Arial"/>
        <family val="2"/>
        <charset val="238"/>
      </rPr>
      <t>je 400 mg (podaná jako 2 s.c. injekce, každá po 200 mg) v 0., 2. a 4. týdnu</t>
    </r>
    <r>
      <rPr>
        <sz val="8"/>
        <rFont val="Arial"/>
        <family val="2"/>
        <charset val="238"/>
      </rPr>
      <t xml:space="preserve">. </t>
    </r>
    <r>
      <rPr>
        <i/>
        <u/>
        <sz val="8"/>
        <rFont val="Arial"/>
        <family val="2"/>
        <charset val="238"/>
      </rPr>
      <t>Udržovací dávka</t>
    </r>
    <r>
      <rPr>
        <sz val="8"/>
        <rFont val="Arial"/>
        <family val="2"/>
        <charset val="238"/>
      </rPr>
      <t xml:space="preserve"> je </t>
    </r>
    <r>
      <rPr>
        <i/>
        <u/>
        <sz val="8"/>
        <rFont val="Arial"/>
        <family val="2"/>
        <charset val="238"/>
      </rPr>
      <t>200 mg každé 2 týdny</t>
    </r>
    <r>
      <rPr>
        <i/>
        <u/>
        <vertAlign val="superscript"/>
        <sz val="8"/>
        <rFont val="Arial"/>
        <family val="2"/>
        <charset val="238"/>
      </rPr>
      <t>5</t>
    </r>
    <r>
      <rPr>
        <sz val="8"/>
        <rFont val="Arial"/>
        <family val="2"/>
        <charset val="238"/>
      </rPr>
      <t xml:space="preserve">. </t>
    </r>
    <r>
      <rPr>
        <b/>
        <u/>
        <sz val="8"/>
        <rFont val="Arial"/>
        <family val="2"/>
        <charset val="238"/>
      </rPr>
      <t>U pac. s nedostatečnou odpovědí lze zvážit dávku 400 mg každé 2 týdny</t>
    </r>
    <r>
      <rPr>
        <sz val="8"/>
        <rFont val="Arial"/>
        <family val="2"/>
        <charset val="238"/>
      </rPr>
      <t>. Dostupné údaje u dospělých s ložiskovou psoriázou naznačují, že klinické odpovědi se obvykle dosáhne během 16 týdnů léčby. Pokračování léčby je třeba pečlivě zvážit u pacientů, kteří nevykazují žádné známky terapeutického přínosu během prvních 16 týdnů léčby. Někteří pacienti s úvodní částečnou odpovědí se mohou následně zlepšit při pokračování léčby po 16 týdnech.</t>
    </r>
  </si>
  <si>
    <r>
      <t xml:space="preserve">HUMIRA 40mg inj 2x0,4ml </t>
    </r>
    <r>
      <rPr>
        <sz val="8"/>
        <rFont val="Arial"/>
        <family val="2"/>
        <charset val="238"/>
      </rPr>
      <t>(při dávce 40mg co 2 týdny)</t>
    </r>
  </si>
  <si>
    <r>
      <rPr>
        <b/>
        <sz val="10"/>
        <color theme="3" tint="0.39997558519241921"/>
        <rFont val="Arial"/>
        <family val="2"/>
        <charset val="238"/>
      </rPr>
      <t>HYRIMOZ 40mg</t>
    </r>
    <r>
      <rPr>
        <sz val="10"/>
        <rFont val="Arial"/>
        <family val="2"/>
        <charset val="238"/>
      </rPr>
      <t xml:space="preserve"> inj. 2x0,8ml </t>
    </r>
    <r>
      <rPr>
        <sz val="8"/>
        <rFont val="Arial"/>
        <family val="2"/>
        <charset val="238"/>
      </rPr>
      <t>(při dávce 40mg co 2 týdny)</t>
    </r>
  </si>
  <si>
    <r>
      <t xml:space="preserve">Doporučená </t>
    </r>
    <r>
      <rPr>
        <u/>
        <sz val="8"/>
        <rFont val="Arial"/>
        <family val="2"/>
        <charset val="238"/>
      </rPr>
      <t>úvodní dávka</t>
    </r>
    <r>
      <rPr>
        <sz val="8"/>
        <rFont val="Arial"/>
        <family val="2"/>
        <charset val="238"/>
      </rPr>
      <t xml:space="preserve"> pro dospělé pac. je </t>
    </r>
    <r>
      <rPr>
        <u/>
        <sz val="8"/>
        <rFont val="Arial"/>
        <family val="2"/>
        <charset val="238"/>
      </rPr>
      <t>80 mg s.c.</t>
    </r>
    <r>
      <rPr>
        <sz val="8"/>
        <rFont val="Arial"/>
        <family val="2"/>
        <charset val="238"/>
      </rPr>
      <t xml:space="preserve">, po níž následuje </t>
    </r>
    <r>
      <rPr>
        <i/>
        <u/>
        <sz val="8"/>
        <rFont val="Arial"/>
        <family val="2"/>
        <charset val="238"/>
      </rPr>
      <t>dávka 40 mg</t>
    </r>
    <r>
      <rPr>
        <sz val="8"/>
        <rFont val="Arial"/>
        <family val="2"/>
        <charset val="238"/>
      </rPr>
      <t xml:space="preserve"> s.c. </t>
    </r>
    <r>
      <rPr>
        <i/>
        <u/>
        <sz val="8"/>
        <rFont val="Arial"/>
        <family val="2"/>
        <charset val="238"/>
      </rPr>
      <t>každý 2. týden</t>
    </r>
    <r>
      <rPr>
        <sz val="8"/>
        <rFont val="Arial"/>
        <family val="2"/>
        <charset val="238"/>
      </rPr>
      <t xml:space="preserve">, počínaje prvním týdnem po úvodní dávce. Pokračování v léčbě po dobu delší než 16 týdnů je nutno pečlivě zvážit u těch pacientů, u kterých nedošlo k během této doby k odpovědi.                                                                                                         </t>
    </r>
    <r>
      <rPr>
        <b/>
        <u/>
        <sz val="8"/>
        <rFont val="Arial"/>
        <family val="2"/>
        <charset val="238"/>
      </rPr>
      <t>Pacienti s nedostatečnou odpovědí na léčbu adalimumabem 40 mg jednou za dva týdny mohou mít kdykoli po 16. týdnu léčby přínos ze zvýšení dávkování na</t>
    </r>
    <r>
      <rPr>
        <sz val="8"/>
        <rFont val="Arial"/>
        <family val="2"/>
        <charset val="238"/>
      </rPr>
      <t xml:space="preserve"> </t>
    </r>
    <r>
      <rPr>
        <b/>
        <u/>
        <sz val="8"/>
        <rFont val="Arial"/>
        <family val="2"/>
        <charset val="238"/>
      </rPr>
      <t>40 mg jednou týdně</t>
    </r>
    <r>
      <rPr>
        <sz val="8"/>
        <rFont val="Arial"/>
        <family val="2"/>
        <charset val="238"/>
      </rPr>
      <t xml:space="preserve"> nebo 80 mg jednou za dva týdny. Přínos a rizika pokračování léčby 40 mg jednou týdně nebo 80 mg jednou za dva týdny by měly být pečlivě zváženy u pacientů, u kterých nedošlo po zvýšení dávkování k adekvátní odpovědi. </t>
    </r>
    <r>
      <rPr>
        <b/>
        <u/>
        <sz val="8"/>
        <rFont val="Arial"/>
        <family val="2"/>
        <charset val="238"/>
      </rPr>
      <t>V případě dosažení adekvátní odpovědi při dávkování 40 mg</t>
    </r>
    <r>
      <rPr>
        <sz val="8"/>
        <rFont val="Arial"/>
        <family val="2"/>
        <charset val="238"/>
      </rPr>
      <t xml:space="preserve"> </t>
    </r>
    <r>
      <rPr>
        <b/>
        <u/>
        <sz val="8"/>
        <rFont val="Arial"/>
        <family val="2"/>
        <charset val="238"/>
      </rPr>
      <t>jednou týdně</t>
    </r>
    <r>
      <rPr>
        <sz val="8"/>
        <rFont val="Arial"/>
        <family val="2"/>
        <charset val="238"/>
      </rPr>
      <t xml:space="preserve"> nebo 80 mg jednou za dva týdny </t>
    </r>
    <r>
      <rPr>
        <b/>
        <u/>
        <sz val="8"/>
        <rFont val="Arial"/>
        <family val="2"/>
        <charset val="238"/>
      </rPr>
      <t>může být dávkování následně sníženo na 40 mg každý druhý týden</t>
    </r>
    <r>
      <rPr>
        <sz val="8"/>
        <rFont val="Arial"/>
        <family val="2"/>
        <charset val="238"/>
      </rPr>
      <t>.</t>
    </r>
  </si>
  <si>
    <t>* nedosažení hodnoty PASI 50 po úvodních 4 měsících léčby nebo                                            * poklesu účinnosti zavedené léčby pod PASI 50 nebo při účinnosti v intervalu PASI 50-75, je-li současně hodnota DLQI &gt;= 5.</t>
  </si>
  <si>
    <t>kde nelze použít dva z následujících způsobů konvenční systémové léčby: acitretin, methotrexát, cyklosporin, apremilast nebo fototerapii (PUVA či NBUVB) z důvodů nedostatečné účinnosti, intolerance či kontraindikace. Ukončení léčby bimekizumabem nebo přímé převedení na další biologikum je indikováno v případě: - nedosažení hodnoty PASI 75 po úvodních 4 měsících léčby nebo - poklesu účinnosti zavedené léčby bimekizumabem pod PASI 50 nebo při účinnosti v intervalu PASI 50-75, je-li současně hodnota DLQI větší nebo rovna 5.</t>
  </si>
  <si>
    <r>
      <t xml:space="preserve">2.ind.omezení v ČR: </t>
    </r>
    <r>
      <rPr>
        <u/>
        <sz val="8"/>
        <rFont val="Arial"/>
        <family val="2"/>
        <charset val="238"/>
      </rPr>
      <t>léčba psoriázy s PASI více než 10 u dosp. pac.</t>
    </r>
    <r>
      <rPr>
        <sz val="8"/>
        <rFont val="Arial"/>
        <family val="2"/>
        <charset val="238"/>
      </rPr>
      <t>, u kterých je zároveň splněno alespoň jedno z následujících kritérií:</t>
    </r>
  </si>
  <si>
    <r>
      <t xml:space="preserve">REMSIMA 120mg inj. 2x1ml  </t>
    </r>
    <r>
      <rPr>
        <sz val="8"/>
        <rFont val="Arial"/>
        <family val="2"/>
        <charset val="238"/>
      </rPr>
      <t xml:space="preserve">(ceny pro inic. i.v. dávku u 61-80kg pac., </t>
    </r>
    <r>
      <rPr>
        <u/>
        <sz val="8"/>
        <rFont val="Arial"/>
        <family val="2"/>
        <charset val="238"/>
      </rPr>
      <t>udrž. s.c. dávky jsou bez ohledu na hmot.</t>
    </r>
    <r>
      <rPr>
        <sz val="8"/>
        <rFont val="Arial"/>
        <family val="2"/>
        <charset val="238"/>
      </rPr>
      <t xml:space="preserve"> !!)</t>
    </r>
  </si>
  <si>
    <t>inhibitor IL-17A/17F/17AF</t>
  </si>
  <si>
    <t>AbbVie</t>
  </si>
  <si>
    <t>Janssen Biologics</t>
  </si>
  <si>
    <t>Actavis</t>
  </si>
  <si>
    <t>Ebewe</t>
  </si>
  <si>
    <t>TEVA</t>
  </si>
  <si>
    <r>
      <t xml:space="preserve">CIMZIA                    </t>
    </r>
    <r>
      <rPr>
        <sz val="9"/>
        <rFont val="Arial"/>
        <family val="2"/>
        <charset val="238"/>
      </rPr>
      <t>(udrž. dávka 200mg ?)</t>
    </r>
  </si>
  <si>
    <t>procent z celé částky na centr. léky pro psoriázu</t>
  </si>
  <si>
    <t>procent ze všech pac. na centr. lécích pro psoriázu</t>
  </si>
  <si>
    <t>ILUMETRI 100mg inj. - tildrakizumab (anti IL-23)</t>
  </si>
  <si>
    <r>
      <t>NNT pro PASI 100</t>
    </r>
    <r>
      <rPr>
        <vertAlign val="superscript"/>
        <sz val="10"/>
        <rFont val="Arial"/>
        <family val="2"/>
        <charset val="238"/>
      </rPr>
      <t>4</t>
    </r>
    <r>
      <rPr>
        <sz val="8"/>
        <rFont val="Arial"/>
        <family val="2"/>
        <charset val="238"/>
      </rPr>
      <t xml:space="preserve"> (za prvních 16 týdnů, u etaner., broda., secu. a tildra. za 12 týdnů) </t>
    </r>
  </si>
  <si>
    <t>REMSIMA 120mg inj.  (ceny pro inic. i.v. dávku ZESSLY u 61-80kg pac., udrž. s.c. dávky jsou bez ohledu na hmot. !!)  - infliximab s.c. (iTNF)</t>
  </si>
  <si>
    <t>BIMZELX 160mg inj. - bimekizumab (anti IL-17A/17F/17AF)</t>
  </si>
  <si>
    <r>
      <t xml:space="preserve">apremilast  </t>
    </r>
    <r>
      <rPr>
        <b/>
        <sz val="8"/>
        <rFont val="Arial"/>
        <family val="2"/>
        <charset val="238"/>
      </rPr>
      <t>(non biolog. - 1. LINIE)</t>
    </r>
  </si>
  <si>
    <r>
      <t>adalimumab</t>
    </r>
    <r>
      <rPr>
        <b/>
        <sz val="9"/>
        <rFont val="Arial"/>
        <family val="2"/>
        <charset val="238"/>
      </rPr>
      <t xml:space="preserve"> </t>
    </r>
    <r>
      <rPr>
        <b/>
        <sz val="8"/>
        <rFont val="Arial"/>
        <family val="2"/>
        <charset val="238"/>
      </rPr>
      <t>(1. LINIE)</t>
    </r>
  </si>
  <si>
    <r>
      <t xml:space="preserve">adalimumab </t>
    </r>
    <r>
      <rPr>
        <b/>
        <sz val="8"/>
        <rFont val="Arial"/>
        <family val="2"/>
        <charset val="238"/>
      </rPr>
      <t>(1. LINIE)</t>
    </r>
  </si>
  <si>
    <t>HYRIMOZ 40mg inj 2x0,8ml (při dávce 40mg co 2 týdny) - adalimumab (iTNF) - PRVNÍCH 16 TÝDNŮ</t>
  </si>
  <si>
    <t>HYRIMOZ 40mg inj 2x0,8ml (při dávce 40mg co 2 týdny) - adalimumab (iTNF) - ROK UDRŽOVACÍ LÉČBY</t>
  </si>
  <si>
    <t xml:space="preserve">HYRIMOZ 40mg inj 2x0,8ml (při dávce 40mg co 2 týdny) - adalimumab (iTNF) </t>
  </si>
  <si>
    <t>REMSIMA 120mg inj.  (inic. i.v. dávky ZESSLY, udrž. s.c. dávky)  - infliximab s.c. (iTNF)</t>
  </si>
  <si>
    <r>
      <t xml:space="preserve">ZESSLY 100mg inf. </t>
    </r>
    <r>
      <rPr>
        <sz val="8"/>
        <rFont val="Arial"/>
        <family val="2"/>
        <charset val="238"/>
      </rPr>
      <t>- infliximab i.v. (iTNF)</t>
    </r>
  </si>
  <si>
    <t>CIMZIA 200mg inj.  (při udrž. dávce 200mg) - certol. peg. (iTNF)</t>
  </si>
  <si>
    <t>STELARA 45mg inj. (jen do 100kg) - ustekin. (antiIL-12 a IL-23)</t>
  </si>
  <si>
    <t>CIMZIA 200mg inj.  (při udrž. dávce 400mg) - certol. peg. (iTNF)</t>
  </si>
  <si>
    <r>
      <t>NNT pro PASI 100</t>
    </r>
    <r>
      <rPr>
        <vertAlign val="superscript"/>
        <sz val="10"/>
        <rFont val="Arial"/>
        <family val="2"/>
        <charset val="238"/>
      </rPr>
      <t>6</t>
    </r>
    <r>
      <rPr>
        <sz val="10"/>
        <rFont val="Arial"/>
        <family val="2"/>
        <charset val="238"/>
      </rPr>
      <t xml:space="preserve">                          </t>
    </r>
    <r>
      <rPr>
        <sz val="9"/>
        <rFont val="Arial"/>
        <family val="2"/>
        <charset val="238"/>
      </rPr>
      <t xml:space="preserve">(za 48-52 týdnů) </t>
    </r>
  </si>
  <si>
    <t>ENBREL 50mg inj. (při dávce 100mg týdně do 12. týdne, pak 50mg týdně) - etanercept (iTNF)</t>
  </si>
  <si>
    <t>REMSIMA 120mg inj.  (inic. i.v. dávku ZESSLY, udrž. s.c.)  - infliximab s.c. (iTNF)</t>
  </si>
  <si>
    <t>TREMFYA 100mg inj. - guselkumab (antiIL-23)</t>
  </si>
  <si>
    <t>STELARA 45mg inj. (jen do 100kg) - ustek. (antiIL-12 a IL-23)</t>
  </si>
  <si>
    <t>1  (39 778 Kč)</t>
  </si>
  <si>
    <r>
      <rPr>
        <b/>
        <sz val="10"/>
        <rFont val="Arial"/>
        <family val="2"/>
        <charset val="238"/>
      </rPr>
      <t>účinnost</t>
    </r>
    <r>
      <rPr>
        <sz val="10"/>
        <rFont val="Arial"/>
        <family val="2"/>
        <charset val="238"/>
      </rPr>
      <t xml:space="preserve"> (četnost dosažení PASI100 v % -dle</t>
    </r>
    <r>
      <rPr>
        <vertAlign val="superscript"/>
        <sz val="10"/>
        <rFont val="Arial"/>
        <family val="2"/>
        <charset val="238"/>
      </rPr>
      <t>4,6</t>
    </r>
    <r>
      <rPr>
        <sz val="10"/>
        <rFont val="Arial"/>
        <family val="2"/>
        <charset val="238"/>
      </rPr>
      <t>)</t>
    </r>
  </si>
  <si>
    <r>
      <rPr>
        <b/>
        <sz val="10"/>
        <rFont val="Arial"/>
        <family val="2"/>
        <charset val="238"/>
      </rPr>
      <t>účinnost</t>
    </r>
    <r>
      <rPr>
        <sz val="10"/>
        <rFont val="Arial"/>
        <family val="2"/>
        <charset val="238"/>
      </rPr>
      <t xml:space="preserve"> (NNT pro PASI100 v % -dle</t>
    </r>
    <r>
      <rPr>
        <vertAlign val="superscript"/>
        <sz val="10"/>
        <rFont val="Arial"/>
        <family val="2"/>
        <charset val="238"/>
      </rPr>
      <t>4,6</t>
    </r>
    <r>
      <rPr>
        <sz val="10"/>
        <rFont val="Arial"/>
        <family val="2"/>
        <charset val="238"/>
      </rPr>
      <t>)</t>
    </r>
  </si>
  <si>
    <r>
      <t xml:space="preserve">INFLECTRA 100mg inf. </t>
    </r>
    <r>
      <rPr>
        <sz val="8"/>
        <rFont val="Arial"/>
        <family val="2"/>
        <charset val="238"/>
      </rPr>
      <t>(ceny pro 61-80kg pac.) - infliximab (iTNF) - PRVNÍCH 16 TÝDNŮ</t>
    </r>
  </si>
  <si>
    <r>
      <t>ZESSLY 100mg inf. 1 (ceny pro 61-80kg pac.)</t>
    </r>
    <r>
      <rPr>
        <sz val="8"/>
        <rFont val="Arial"/>
        <family val="2"/>
        <charset val="238"/>
      </rPr>
      <t xml:space="preserve"> - infliximab (iTNF) - PRVNÍCH 16 TÝDNŮ</t>
    </r>
  </si>
  <si>
    <r>
      <t xml:space="preserve">REMSIMA 120mg inj. 2x1ml  (ZESSLY inic. i.v. dávka u 61-80kg pac., </t>
    </r>
    <r>
      <rPr>
        <u/>
        <sz val="9"/>
        <rFont val="Arial"/>
        <family val="2"/>
        <charset val="238"/>
      </rPr>
      <t>udrž. s.c. bez ohledu na hmot.</t>
    </r>
    <r>
      <rPr>
        <sz val="9"/>
        <rFont val="Arial"/>
        <family val="2"/>
        <charset val="238"/>
      </rPr>
      <t xml:space="preserve"> !!) - infliximab (biobetter) - PRVNÍCH 16 TÝDNŮ</t>
    </r>
  </si>
  <si>
    <t>ILUMETRI 100mg inj. 1x1ml - tildrakizumab (antiIL-23) - PRVNÍCH 16 TÝDNŮ</t>
  </si>
  <si>
    <t>BIMZELX 160mg inj. 2x1ml - bimekizumab (antiIL-17) - PRVNÍCH 16 TÝDNŮ</t>
  </si>
  <si>
    <t>ILUMETRI 100mg inj. 1x1ml - tildrakizumab (antiIL-23) - ROK UDRŽOVACÍ LÉČBY</t>
  </si>
  <si>
    <t>BIMZELX 160mg inj. 2x1ml - bimekizumab (antiIL-17) - ROK UDRŽOVACÍ LÉČBY</t>
  </si>
  <si>
    <r>
      <t xml:space="preserve">INFLECTRA 100mg inf. </t>
    </r>
    <r>
      <rPr>
        <sz val="8"/>
        <rFont val="Arial"/>
        <family val="2"/>
        <charset val="238"/>
      </rPr>
      <t>(ceny pro 61-80kg pac.) - infliximab (iTNF) - ROK UDRŽOVACÍ LÉČBY</t>
    </r>
  </si>
  <si>
    <r>
      <t>ZESSLY 100mg inf. 1 (ceny pro 61-80kg pac.) - infliximab (iTNF)</t>
    </r>
    <r>
      <rPr>
        <sz val="8"/>
        <rFont val="Arial"/>
        <family val="2"/>
        <charset val="238"/>
      </rPr>
      <t xml:space="preserve"> - ROK UDRŽOVACÍ LÉČBY</t>
    </r>
  </si>
  <si>
    <r>
      <t>REMSIMA 120mg inj. 2x1ml  (</t>
    </r>
    <r>
      <rPr>
        <u/>
        <sz val="9"/>
        <rFont val="Arial"/>
        <family val="2"/>
        <charset val="238"/>
      </rPr>
      <t>udrž. s.c. bez ohledu na hmot.</t>
    </r>
    <r>
      <rPr>
        <sz val="9"/>
        <rFont val="Arial"/>
        <family val="2"/>
        <charset val="238"/>
      </rPr>
      <t xml:space="preserve"> !!) - infliximab (biobetter) - ROK UDRŽOVACÍ LÉČBY</t>
    </r>
  </si>
  <si>
    <r>
      <rPr>
        <b/>
        <u/>
        <sz val="9"/>
        <rFont val="Arial"/>
        <family val="2"/>
        <charset val="238"/>
      </rPr>
      <t>* aktuálně nejdražší udržovací léčba společně s guselk. (kromě 1. roku u guselk.) a pravděp. nejhorší poměr cena/účinnost z IL-17Ai a IL-23</t>
    </r>
    <r>
      <rPr>
        <u/>
        <sz val="9"/>
        <rFont val="Arial"/>
        <family val="2"/>
        <charset val="238"/>
      </rPr>
      <t xml:space="preserve">i </t>
    </r>
    <r>
      <rPr>
        <b/>
        <u/>
        <sz val="9"/>
        <rFont val="Arial"/>
        <family val="2"/>
        <charset val="238"/>
      </rPr>
      <t>po tildrakizumab</t>
    </r>
    <r>
      <rPr>
        <b/>
        <sz val="9"/>
        <rFont val="Arial"/>
        <family val="2"/>
        <charset val="238"/>
      </rPr>
      <t>u</t>
    </r>
    <r>
      <rPr>
        <sz val="9"/>
        <rFont val="Arial"/>
        <family val="2"/>
        <charset val="238"/>
      </rPr>
      <t xml:space="preserve">                                                                                                               * počáteční dávka obsahuje celkem 5 dávek (1 dávka každý týden)            </t>
    </r>
  </si>
  <si>
    <t>KYNTHEUM (brodalumab)          IL-17i</t>
  </si>
  <si>
    <t>TREMFYA (guselkumab)           IL-23i</t>
  </si>
  <si>
    <t>BIMZELX (bimekizumab)        IL-17i</t>
  </si>
  <si>
    <t>STELARA (ustekinumab) IL-12/23i</t>
  </si>
  <si>
    <t>TALTZ (ixekizumab)         IL-17i</t>
  </si>
  <si>
    <t>COSENTYX (secukinumab)             IL-17i</t>
  </si>
  <si>
    <t>ILUMETRI (tildrakizumab)            IL-23i</t>
  </si>
  <si>
    <r>
      <t xml:space="preserve">* </t>
    </r>
    <r>
      <rPr>
        <b/>
        <u/>
        <sz val="9"/>
        <rFont val="Arial"/>
        <family val="2"/>
        <charset val="238"/>
      </rPr>
      <t>jako jediný z biologik (spolu s brodal. a tildrak.) nelze použít  (dle SPC) u pac. s psoriázou a současnou psoriatickou artritido</t>
    </r>
    <r>
      <rPr>
        <b/>
        <sz val="9"/>
        <rFont val="Arial"/>
        <family val="2"/>
        <charset val="238"/>
      </rPr>
      <t xml:space="preserve">u  </t>
    </r>
    <r>
      <rPr>
        <sz val="9"/>
        <rFont val="Arial"/>
        <family val="2"/>
        <charset val="238"/>
      </rPr>
      <t xml:space="preserve">                                                                                                                               * </t>
    </r>
    <r>
      <rPr>
        <b/>
        <sz val="9"/>
        <rFont val="Arial"/>
        <family val="2"/>
        <charset val="238"/>
      </rPr>
      <t xml:space="preserve">pravděpodobně vyšší výskyt NÚ než IL-23i (guselk., tildrak. a risank.)                                                                                              </t>
    </r>
  </si>
  <si>
    <r>
      <t xml:space="preserve">* </t>
    </r>
    <r>
      <rPr>
        <b/>
        <u/>
        <sz val="9"/>
        <rFont val="Arial"/>
        <family val="2"/>
        <charset val="238"/>
      </rPr>
      <t>udržovací dávka co 12 týdnů</t>
    </r>
    <r>
      <rPr>
        <sz val="9"/>
        <rFont val="Arial"/>
        <family val="2"/>
        <charset val="238"/>
      </rPr>
      <t xml:space="preserve"> (spolu s risank. a tildrak. má nejdelší interval ze všech biologik)                                  </t>
    </r>
    <r>
      <rPr>
        <b/>
        <sz val="9"/>
        <rFont val="Arial"/>
        <family val="2"/>
        <charset val="238"/>
      </rPr>
      <t xml:space="preserve">                                                                                                                  * méně vážných NÚ než IL-17i (kromě malignit) a TNFi, ale asi více než IL-23i                                                                                      * možno podat při současné PsA (dle SPC)                                                                                    * narozdíl od tildrak. má i úhradu při podání (jako ostatní biolog.) před iTNF               </t>
    </r>
  </si>
  <si>
    <r>
      <rPr>
        <b/>
        <sz val="9"/>
        <rFont val="Arial"/>
        <family val="2"/>
        <charset val="238"/>
      </rPr>
      <t>*</t>
    </r>
    <r>
      <rPr>
        <b/>
        <u/>
        <sz val="9"/>
        <rFont val="Arial"/>
        <family val="2"/>
        <charset val="238"/>
      </rPr>
      <t xml:space="preserve"> z IL-17Ai a IL-23i (tzn. nejúčin. biol.) má jako jediný (spolu s ixek.) úhradu i na současnou Ps</t>
    </r>
    <r>
      <rPr>
        <b/>
        <sz val="9"/>
        <rFont val="Arial"/>
        <family val="2"/>
        <charset val="238"/>
      </rPr>
      <t xml:space="preserve">A   </t>
    </r>
    <r>
      <rPr>
        <sz val="9"/>
        <rFont val="Arial"/>
        <family val="2"/>
        <charset val="238"/>
      </rPr>
      <t xml:space="preserve">                                                                                                                                   * vysoká účinnost (pravděpodobně 2. nejvyšší po ostatních IL-17i a IL-23i (kromě tildrak.)),                                                                                                </t>
    </r>
    <r>
      <rPr>
        <b/>
        <sz val="9"/>
        <rFont val="Arial"/>
        <family val="2"/>
        <charset val="238"/>
      </rPr>
      <t xml:space="preserve">* udržovací dávka co 1 měsíc       </t>
    </r>
    <r>
      <rPr>
        <sz val="9"/>
        <rFont val="Arial"/>
        <family val="2"/>
        <charset val="238"/>
      </rPr>
      <t xml:space="preserve">                                        </t>
    </r>
  </si>
  <si>
    <r>
      <t xml:space="preserve">* </t>
    </r>
    <r>
      <rPr>
        <b/>
        <u/>
        <sz val="9"/>
        <rFont val="Arial"/>
        <family val="2"/>
        <charset val="238"/>
      </rPr>
      <t>velmi vysoká účinnost v indukční fázi (spolu s brodal. a risank. po bimek. nejvyšší)</t>
    </r>
    <r>
      <rPr>
        <b/>
        <sz val="9"/>
        <rFont val="Arial"/>
        <family val="2"/>
        <charset val="238"/>
      </rPr>
      <t>, udržovací dávka co 4 týdny                                                                                                                                                                                                                                      * pravděpodobně 3. nejrychlejší nástup účinku (cca 24% pac. PASI  90 po 4 týdnech) po brodalumabu a bimekizumabu                                                                                            *</t>
    </r>
    <r>
      <rPr>
        <b/>
        <u/>
        <sz val="9"/>
        <rFont val="Arial"/>
        <family val="2"/>
        <charset val="238"/>
      </rPr>
      <t xml:space="preserve"> z IL-17Ai a IL-23i (tzn. nejúčin. biol.) má jako jediný (spolu se secuk.) úhradu i na současnou Ps</t>
    </r>
    <r>
      <rPr>
        <b/>
        <sz val="9"/>
        <rFont val="Arial"/>
        <family val="2"/>
        <charset val="238"/>
      </rPr>
      <t xml:space="preserve">A                            </t>
    </r>
  </si>
  <si>
    <t>SKYRIZI (risankizumab)    IL-23i</t>
  </si>
  <si>
    <t>ENBREL      (etanercept)        TNFi</t>
  </si>
  <si>
    <r>
      <t xml:space="preserve">* ze všech TNFi má nejnižší četnost výskytu vážných infekcí,  oproti ostatním TNFi tvorba protilátek proti němu nesnižuje účinnost léčby                                                                                                                    </t>
    </r>
    <r>
      <rPr>
        <b/>
        <sz val="9"/>
        <rFont val="Arial"/>
        <family val="2"/>
        <charset val="238"/>
      </rPr>
      <t>*</t>
    </r>
    <r>
      <rPr>
        <b/>
        <u/>
        <sz val="9"/>
        <rFont val="Arial"/>
        <family val="2"/>
        <charset val="238"/>
      </rPr>
      <t xml:space="preserve"> ze všech biologik je nejdéle v klinické prax</t>
    </r>
    <r>
      <rPr>
        <b/>
        <sz val="9"/>
        <rFont val="Arial"/>
        <family val="2"/>
        <charset val="238"/>
      </rPr>
      <t xml:space="preserve">i                                                                                                                 * </t>
    </r>
    <r>
      <rPr>
        <b/>
        <u/>
        <sz val="9"/>
        <rFont val="Arial"/>
        <family val="2"/>
        <charset val="238"/>
      </rPr>
      <t>má úhradu i na současnou Ps</t>
    </r>
    <r>
      <rPr>
        <b/>
        <sz val="9"/>
        <rFont val="Arial"/>
        <family val="2"/>
        <charset val="238"/>
      </rPr>
      <t xml:space="preserve">A  </t>
    </r>
  </si>
  <si>
    <t>HUMIRA          HYRIMOZ    (adalimumab)            TNFi</t>
  </si>
  <si>
    <r>
      <t xml:space="preserve">* </t>
    </r>
    <r>
      <rPr>
        <b/>
        <u/>
        <sz val="9"/>
        <color rgb="FF0000FF"/>
        <rFont val="Arial"/>
        <family val="2"/>
        <charset val="238"/>
      </rPr>
      <t>biosimilar. přípravek Hyrimoz je aktuálně nákladově nejefektivnější ze všech biologi</t>
    </r>
    <r>
      <rPr>
        <b/>
        <sz val="9"/>
        <color rgb="FF0000FF"/>
        <rFont val="Arial"/>
        <family val="2"/>
        <charset val="238"/>
      </rPr>
      <t xml:space="preserve">k  </t>
    </r>
    <r>
      <rPr>
        <b/>
        <sz val="9"/>
        <rFont val="Arial"/>
        <family val="2"/>
        <charset val="238"/>
      </rPr>
      <t xml:space="preserve">                                                                                                                                                 * po etanerceptu je společně s infliximabem nejdéle v klin.praxi,                                                                           * </t>
    </r>
    <r>
      <rPr>
        <b/>
        <u/>
        <sz val="9"/>
        <rFont val="Arial"/>
        <family val="2"/>
        <charset val="238"/>
      </rPr>
      <t>má úhradu i na současnou Ps</t>
    </r>
    <r>
      <rPr>
        <b/>
        <sz val="9"/>
        <rFont val="Arial"/>
        <family val="2"/>
        <charset val="238"/>
      </rPr>
      <t xml:space="preserve">A                                                                                                                          * </t>
    </r>
    <r>
      <rPr>
        <b/>
        <u/>
        <sz val="9"/>
        <color rgb="FF0000FF"/>
        <rFont val="Arial"/>
        <family val="2"/>
        <charset val="238"/>
      </rPr>
      <t xml:space="preserve">jako jediné biologikum má úhradu již v léčbě psoriázy s PASI více než 10 u dospělých, kteří nemají odpověď na topickou léčbu a fototerapii </t>
    </r>
    <r>
      <rPr>
        <b/>
        <sz val="9"/>
        <color rgb="FF0000FF"/>
        <rFont val="Arial"/>
        <family val="2"/>
        <charset val="238"/>
      </rPr>
      <t>(ostatní až v případě, že nelze použít dva ze způsobů konvenční systémové léčby)</t>
    </r>
  </si>
  <si>
    <t>CIMZIA   (certolizumab pegol)                          TNFi</t>
  </si>
  <si>
    <r>
      <t>*</t>
    </r>
    <r>
      <rPr>
        <b/>
        <u/>
        <sz val="9"/>
        <rFont val="Arial"/>
        <family val="2"/>
        <charset val="238"/>
      </rPr>
      <t xml:space="preserve"> 2. nejvyšší četnost podávání udrž. dávek (co 2. týden) spolu s brodalumabem a certolizumabem po etanercept</t>
    </r>
    <r>
      <rPr>
        <b/>
        <sz val="9"/>
        <rFont val="Arial"/>
        <family val="2"/>
        <charset val="238"/>
      </rPr>
      <t>u                                                                                                                                          * společně s ustekin. (IL-12/23i), certoliz. (iTNF) a tildrak. (IL-23i) má cca nejnižší účinnost z biolog. po etaner.</t>
    </r>
  </si>
  <si>
    <r>
      <rPr>
        <b/>
        <sz val="9"/>
        <rFont val="Arial"/>
        <family val="2"/>
        <charset val="238"/>
      </rPr>
      <t xml:space="preserve">* </t>
    </r>
    <r>
      <rPr>
        <b/>
        <u/>
        <sz val="9"/>
        <rFont val="Arial"/>
        <family val="2"/>
        <charset val="238"/>
      </rPr>
      <t>2. nejvyšší četnost podávání udrž. dávky z biologik (co 2 týdny) s adalimumabem a certolizumabem po etanerceptu</t>
    </r>
    <r>
      <rPr>
        <b/>
        <sz val="9"/>
        <rFont val="Arial"/>
        <family val="2"/>
        <charset val="238"/>
      </rPr>
      <t xml:space="preserve">, </t>
    </r>
    <r>
      <rPr>
        <sz val="9"/>
        <rFont val="Arial"/>
        <family val="2"/>
        <charset val="238"/>
      </rPr>
      <t xml:space="preserve">                                                                                                    </t>
    </r>
    <r>
      <rPr>
        <b/>
        <u/>
        <sz val="9"/>
        <rFont val="Arial"/>
        <family val="2"/>
        <charset val="238"/>
      </rPr>
      <t>* jako jediný z biologik (spolu s bimek. a tildrak.) nelze použít  (dle SPC) u pac. s psoriázou a současnou psoriatickou artritido</t>
    </r>
    <r>
      <rPr>
        <b/>
        <sz val="9"/>
        <rFont val="Arial"/>
        <family val="2"/>
        <charset val="238"/>
      </rPr>
      <t xml:space="preserve">u   </t>
    </r>
    <r>
      <rPr>
        <sz val="9"/>
        <rFont val="Arial"/>
        <family val="2"/>
        <charset val="238"/>
      </rPr>
      <t xml:space="preserve">                                                                                                                              *</t>
    </r>
    <r>
      <rPr>
        <b/>
        <sz val="9"/>
        <rFont val="Arial"/>
        <family val="2"/>
        <charset val="238"/>
      </rPr>
      <t xml:space="preserve"> pravděpodobně vyšší výskyt NÚ než IL-23i (guselk., tildrak. a risank.) </t>
    </r>
    <r>
      <rPr>
        <sz val="9"/>
        <rFont val="Arial"/>
        <family val="2"/>
        <charset val="238"/>
      </rPr>
      <t xml:space="preserve">                                                                                           * riziko sebevražd je pravděpodobně stejné jako u jiných biologik (viz pozn. 13 a 14)            </t>
    </r>
  </si>
  <si>
    <r>
      <t>* minimální průnik přes placentu</t>
    </r>
    <r>
      <rPr>
        <b/>
        <sz val="9"/>
        <rFont val="Arial"/>
        <family val="2"/>
        <charset val="238"/>
      </rPr>
      <t xml:space="preserve">,        </t>
    </r>
    <r>
      <rPr>
        <b/>
        <u/>
        <sz val="9"/>
        <rFont val="Arial"/>
        <family val="2"/>
        <charset val="238"/>
      </rPr>
      <t xml:space="preserve">                                                                                                         * má úhradu i na současnou Ps</t>
    </r>
    <r>
      <rPr>
        <b/>
        <sz val="9"/>
        <rFont val="Arial"/>
        <family val="2"/>
        <charset val="238"/>
      </rPr>
      <t>A                                                                                                                                  *</t>
    </r>
    <r>
      <rPr>
        <b/>
        <u/>
        <sz val="9"/>
        <rFont val="Arial"/>
        <family val="2"/>
        <charset val="238"/>
      </rPr>
      <t xml:space="preserve"> má dostatečná data pro podávání dvou různých dávek </t>
    </r>
    <r>
      <rPr>
        <b/>
        <sz val="9"/>
        <rFont val="Arial"/>
        <family val="2"/>
        <charset val="238"/>
      </rPr>
      <t xml:space="preserve">(2x vyšší udrž. dávka je ale 2x dražší a méně nákladově efektivní) </t>
    </r>
  </si>
  <si>
    <r>
      <t xml:space="preserve">* účinnost je nižší než u IL-17Ai  či IL-23i (kromě tildrak.!) - asi na úrovni adalim., certoliz. (oba jsou iTNF) a tildrak. (IL-23i)                                                                                                               * </t>
    </r>
    <r>
      <rPr>
        <b/>
        <u/>
        <sz val="9"/>
        <color rgb="FF0000FF"/>
        <rFont val="Arial"/>
        <family val="2"/>
        <charset val="238"/>
      </rPr>
      <t>aktuálně poměr cena/účinnost ze všech biolog. je spolu s tildrakizumabem (IL-23i) nejhorš</t>
    </r>
    <r>
      <rPr>
        <b/>
        <sz val="9"/>
        <color rgb="FF0000FF"/>
        <rFont val="Arial"/>
        <family val="2"/>
        <charset val="238"/>
      </rPr>
      <t>í</t>
    </r>
    <r>
      <rPr>
        <b/>
        <u/>
        <sz val="9"/>
        <color rgb="FF0000FF"/>
        <rFont val="Arial"/>
        <family val="2"/>
        <charset val="238"/>
      </rPr>
      <t>, aktuálně je jeho léčba ale dražší,</t>
    </r>
    <r>
      <rPr>
        <b/>
        <sz val="9"/>
        <color rgb="FF0000FF"/>
        <rFont val="Arial"/>
        <family val="2"/>
        <charset val="238"/>
      </rPr>
      <t xml:space="preserve"> má zase oproti tildra. rychlejší nástup účinku.     </t>
    </r>
    <r>
      <rPr>
        <b/>
        <sz val="9"/>
        <rFont val="Arial"/>
        <family val="2"/>
        <charset val="238"/>
      </rPr>
      <t xml:space="preserve">                       </t>
    </r>
  </si>
  <si>
    <r>
      <t xml:space="preserve">* </t>
    </r>
    <r>
      <rPr>
        <b/>
        <u/>
        <sz val="9"/>
        <color rgb="FF0000FF"/>
        <rFont val="Arial"/>
        <family val="2"/>
        <charset val="238"/>
      </rPr>
      <t>jako jediné biolog. u psoriázy má úhradu až po neúčinnosti, NÚ či KI na TNFi</t>
    </r>
    <r>
      <rPr>
        <b/>
        <sz val="9"/>
        <color rgb="FF0000FF"/>
        <rFont val="Arial"/>
        <family val="2"/>
        <charset val="238"/>
      </rPr>
      <t>!</t>
    </r>
    <r>
      <rPr>
        <b/>
        <sz val="9"/>
        <rFont val="Arial"/>
        <family val="2"/>
        <charset val="238"/>
      </rPr>
      <t xml:space="preserve">,                                            * účinnost je nižší než u IL-17Ai či ostatních IL-23i (tj. guselk. a risank.) - asi na úrovni adalim., inflix., certoliz. (všechny jsou iTNF) a ustek. (IL-12/23i), </t>
    </r>
    <r>
      <rPr>
        <b/>
        <u/>
        <sz val="9"/>
        <rFont val="Arial"/>
        <family val="2"/>
        <charset val="238"/>
      </rPr>
      <t>ale má z nich nejpomalejší nástup úč. (v indukci je v poměru cena/efekt nejhorší z biologik)</t>
    </r>
    <r>
      <rPr>
        <b/>
        <sz val="9"/>
        <rFont val="Arial"/>
        <family val="2"/>
        <charset val="238"/>
      </rPr>
      <t xml:space="preserve"> !,                                                                                                               * </t>
    </r>
    <r>
      <rPr>
        <b/>
        <u/>
        <sz val="9"/>
        <color rgb="FF0000FF"/>
        <rFont val="Arial"/>
        <family val="2"/>
        <charset val="238"/>
      </rPr>
      <t>aktuálně poměr cena/účinnost ze všech biolog. je spolu s ustekinumabem (IL-12/23i) nejhorš</t>
    </r>
    <r>
      <rPr>
        <b/>
        <sz val="9"/>
        <color rgb="FF0000FF"/>
        <rFont val="Arial"/>
        <family val="2"/>
        <charset val="238"/>
      </rPr>
      <t xml:space="preserve">í, jeho léčba je ale o něco levnější, </t>
    </r>
    <r>
      <rPr>
        <b/>
        <sz val="9"/>
        <rFont val="Arial"/>
        <family val="2"/>
        <charset val="238"/>
      </rPr>
      <t xml:space="preserve">                                                                              *</t>
    </r>
    <r>
      <rPr>
        <b/>
        <u/>
        <sz val="9"/>
        <rFont val="Arial"/>
        <family val="2"/>
        <charset val="238"/>
      </rPr>
      <t xml:space="preserve"> jako jediný z biologik (spolu s brodal. a bimek.) nelze použít  (dle SPC) u pac. se současnou Ps</t>
    </r>
    <r>
      <rPr>
        <b/>
        <sz val="9"/>
        <rFont val="Arial"/>
        <family val="2"/>
        <charset val="238"/>
      </rPr>
      <t xml:space="preserve">A,                                                                                                                                                 * </t>
    </r>
    <r>
      <rPr>
        <b/>
        <u/>
        <sz val="9"/>
        <rFont val="Arial"/>
        <family val="2"/>
        <charset val="238"/>
      </rPr>
      <t>data o dlouhodobé účinnosti tildrak. byla doplněna do srovnání bez adjustace k výsledkům NM</t>
    </r>
    <r>
      <rPr>
        <b/>
        <sz val="9"/>
        <rFont val="Arial"/>
        <family val="2"/>
        <charset val="238"/>
      </rPr>
      <t xml:space="preserve">A (viz pozn. 6)                     </t>
    </r>
  </si>
  <si>
    <r>
      <rPr>
        <b/>
        <sz val="9"/>
        <rFont val="Arial"/>
        <family val="2"/>
        <charset val="238"/>
      </rPr>
      <t xml:space="preserve">* </t>
    </r>
    <r>
      <rPr>
        <b/>
        <u/>
        <sz val="9"/>
        <color rgb="FF0000FF"/>
        <rFont val="Arial"/>
        <family val="2"/>
        <charset val="238"/>
      </rPr>
      <t>nejvyšší četnost podávání udrž. dávek (1x týdně) a nejnižší účinnost z biologi</t>
    </r>
    <r>
      <rPr>
        <b/>
        <sz val="9"/>
        <color rgb="FF0000FF"/>
        <rFont val="Arial"/>
        <family val="2"/>
        <charset val="238"/>
      </rPr>
      <t>k</t>
    </r>
    <r>
      <rPr>
        <b/>
        <sz val="9"/>
        <rFont val="Arial"/>
        <family val="2"/>
        <charset val="238"/>
      </rPr>
      <t>,                   *</t>
    </r>
    <r>
      <rPr>
        <sz val="9"/>
        <rFont val="Arial"/>
        <family val="2"/>
        <charset val="238"/>
      </rPr>
      <t xml:space="preserve"> </t>
    </r>
    <r>
      <rPr>
        <b/>
        <u/>
        <sz val="9"/>
        <rFont val="Arial"/>
        <family val="2"/>
        <charset val="238"/>
      </rPr>
      <t>má nejpomalejší nástup účinku ze všech biologik</t>
    </r>
    <r>
      <rPr>
        <sz val="9"/>
        <rFont val="Arial"/>
        <family val="2"/>
        <charset val="238"/>
      </rPr>
      <t xml:space="preserve">, má nejkratší biolog .poločas                                                                                                                     </t>
    </r>
  </si>
  <si>
    <r>
      <t xml:space="preserve">* </t>
    </r>
    <r>
      <rPr>
        <b/>
        <u/>
        <sz val="9"/>
        <rFont val="Arial"/>
        <family val="2"/>
        <charset val="238"/>
      </rPr>
      <t>udržovací dávka co 12 týdnů</t>
    </r>
    <r>
      <rPr>
        <sz val="9"/>
        <rFont val="Arial"/>
        <family val="2"/>
        <charset val="238"/>
      </rPr>
      <t xml:space="preserve"> (spolu s risank. a ustekin. má nejdelší interval ze všech biologik)                                  </t>
    </r>
    <r>
      <rPr>
        <b/>
        <sz val="9"/>
        <rFont val="Arial"/>
        <family val="2"/>
        <charset val="238"/>
      </rPr>
      <t xml:space="preserve">                                                                                                                                * </t>
    </r>
    <r>
      <rPr>
        <b/>
        <u/>
        <sz val="9"/>
        <color rgb="FF0000FF"/>
        <rFont val="Arial"/>
        <family val="2"/>
        <charset val="238"/>
      </rPr>
      <t xml:space="preserve">pravděpod. nejnižší výskyt význam. NÚ z biologik </t>
    </r>
    <r>
      <rPr>
        <b/>
        <sz val="9"/>
        <color rgb="FF0000FF"/>
        <rFont val="Arial"/>
        <family val="2"/>
        <charset val="238"/>
      </rPr>
      <t xml:space="preserve">(spolu s guselk. a risank.)                                                                                                                                            </t>
    </r>
  </si>
  <si>
    <t>INFLECTRA           ZESSLY                     REMSIMA  (infliximab)                 TNFi</t>
  </si>
  <si>
    <r>
      <t>*</t>
    </r>
    <r>
      <rPr>
        <b/>
        <sz val="9"/>
        <rFont val="Arial"/>
        <family val="2"/>
        <charset val="238"/>
      </rPr>
      <t xml:space="preserve"> </t>
    </r>
    <r>
      <rPr>
        <b/>
        <u/>
        <sz val="9"/>
        <rFont val="Arial"/>
        <family val="2"/>
        <charset val="238"/>
      </rPr>
      <t>udržovací dávka u infuzí je co 8. týden (nejdelší interval z TNFi)</t>
    </r>
    <r>
      <rPr>
        <b/>
        <sz val="9"/>
        <rFont val="Arial"/>
        <family val="2"/>
        <charset val="238"/>
      </rPr>
      <t>, ale u s.c. je co 2. týden jako u ostatních TNFi</t>
    </r>
    <r>
      <rPr>
        <sz val="9"/>
        <rFont val="Arial"/>
        <family val="2"/>
        <charset val="238"/>
      </rPr>
      <t xml:space="preserve">,                                                                                                                            * dobrá účinnost (spolu s vyšším dávk. certol. je </t>
    </r>
    <r>
      <rPr>
        <b/>
        <u/>
        <sz val="9"/>
        <rFont val="Arial"/>
        <family val="2"/>
        <charset val="238"/>
      </rPr>
      <t>nejúčinnější z TNFi)</t>
    </r>
    <r>
      <rPr>
        <sz val="9"/>
        <rFont val="Arial"/>
        <family val="2"/>
        <charset val="238"/>
      </rPr>
      <t xml:space="preserve">, cca jako u ustekin.,                                                                                                                                                * </t>
    </r>
    <r>
      <rPr>
        <b/>
        <sz val="9"/>
        <rFont val="Arial"/>
        <family val="2"/>
        <charset val="238"/>
      </rPr>
      <t xml:space="preserve">po etanerceptu je společně s adalim. nejdéle v klin.praxi, </t>
    </r>
    <r>
      <rPr>
        <sz val="9"/>
        <rFont val="Arial"/>
        <family val="2"/>
        <charset val="238"/>
      </rPr>
      <t xml:space="preserve">                                                                                      *</t>
    </r>
    <r>
      <rPr>
        <b/>
        <u/>
        <sz val="9"/>
        <rFont val="Arial"/>
        <family val="2"/>
        <charset val="238"/>
      </rPr>
      <t xml:space="preserve"> má úhradu i na současnou Ps</t>
    </r>
    <r>
      <rPr>
        <b/>
        <sz val="9"/>
        <rFont val="Arial"/>
        <family val="2"/>
        <charset val="238"/>
      </rPr>
      <t xml:space="preserve">A,  </t>
    </r>
    <r>
      <rPr>
        <sz val="9"/>
        <rFont val="Arial"/>
        <family val="2"/>
        <charset val="238"/>
      </rPr>
      <t xml:space="preserve">                                                                                                                  * </t>
    </r>
    <r>
      <rPr>
        <b/>
        <sz val="9"/>
        <rFont val="Arial"/>
        <family val="2"/>
        <charset val="238"/>
      </rPr>
      <t>pravděpodobně 4. nejrychlejší nástup účinku</t>
    </r>
    <r>
      <rPr>
        <sz val="9"/>
        <rFont val="Arial"/>
        <family val="2"/>
        <charset val="238"/>
      </rPr>
      <t xml:space="preserve"> (cca 16% pac.PASI  90 po 4 týdnech) po bimek., brodal. a ixekizumabu,                                                                                                                                         * </t>
    </r>
    <r>
      <rPr>
        <b/>
        <u/>
        <sz val="9"/>
        <rFont val="Arial"/>
        <family val="2"/>
        <charset val="238"/>
      </rPr>
      <t>biobetter REMSIMA lze (po inic. dvou i.v. infuzí) podávat s.c. jako ostatní biologika</t>
    </r>
    <r>
      <rPr>
        <b/>
        <sz val="9"/>
        <rFont val="Arial"/>
        <family val="2"/>
        <charset val="238"/>
      </rPr>
      <t xml:space="preserve">, léčba je ale (společně) s CIMZIÍ nejdražší z TNFi     </t>
    </r>
    <r>
      <rPr>
        <sz val="9"/>
        <rFont val="Arial"/>
        <family val="2"/>
        <charset val="238"/>
      </rPr>
      <t xml:space="preserve">                                         </t>
    </r>
  </si>
  <si>
    <r>
      <rPr>
        <b/>
        <sz val="9"/>
        <rFont val="Arial"/>
        <family val="2"/>
        <charset val="238"/>
      </rPr>
      <t xml:space="preserve">* </t>
    </r>
    <r>
      <rPr>
        <b/>
        <u/>
        <sz val="9"/>
        <rFont val="Arial"/>
        <family val="2"/>
        <charset val="238"/>
      </rPr>
      <t>i.v. infuze (ostatní biolog. mají s.c. aplik.)</t>
    </r>
    <r>
      <rPr>
        <b/>
        <sz val="9"/>
        <rFont val="Arial"/>
        <family val="2"/>
        <charset val="238"/>
      </rPr>
      <t xml:space="preserve">, </t>
    </r>
    <r>
      <rPr>
        <b/>
        <u/>
        <sz val="9"/>
        <rFont val="Arial"/>
        <family val="2"/>
        <charset val="238"/>
      </rPr>
      <t>biobetter REMSIMA</t>
    </r>
    <r>
      <rPr>
        <b/>
        <sz val="9"/>
        <rFont val="Arial"/>
        <family val="2"/>
        <charset val="238"/>
      </rPr>
      <t xml:space="preserve"> lze (po inic. dvou i.v. infuzí) podávat s.c. jako ostatní biologika, </t>
    </r>
    <r>
      <rPr>
        <b/>
        <u/>
        <sz val="9"/>
        <rFont val="Arial"/>
        <family val="2"/>
        <charset val="238"/>
      </rPr>
      <t>léčba je ale (společně) s CIMZIÍ nejdražší z TNFi</t>
    </r>
    <r>
      <rPr>
        <b/>
        <sz val="9"/>
        <rFont val="Arial"/>
        <family val="2"/>
        <charset val="238"/>
      </rPr>
      <t xml:space="preserve"> a podává se pak co 2. týden,                                                                                                                   </t>
    </r>
    <r>
      <rPr>
        <b/>
        <u/>
        <sz val="9"/>
        <rFont val="Arial"/>
        <family val="2"/>
        <charset val="238"/>
      </rPr>
      <t xml:space="preserve">* </t>
    </r>
    <r>
      <rPr>
        <b/>
        <u/>
        <sz val="9"/>
        <color rgb="FF0000FF"/>
        <rFont val="Arial"/>
        <family val="2"/>
        <charset val="238"/>
      </rPr>
      <t>nejvyšší četnost vážných NÚ a vážných infekcí z biolog. (viz pozn. 13</t>
    </r>
    <r>
      <rPr>
        <b/>
        <sz val="9"/>
        <color rgb="FF0000FF"/>
        <rFont val="Arial"/>
        <family val="2"/>
        <charset val="238"/>
      </rPr>
      <t>),</t>
    </r>
    <r>
      <rPr>
        <b/>
        <sz val="9"/>
        <rFont val="Arial"/>
        <family val="2"/>
        <charset val="238"/>
      </rPr>
      <t xml:space="preserve">  </t>
    </r>
    <r>
      <rPr>
        <sz val="9"/>
        <rFont val="Arial"/>
        <family val="2"/>
        <charset val="238"/>
      </rPr>
      <t xml:space="preserve">                                                                                                           * IL-17Ai a IL-23i (kromě tildrak.) jsou účinnější                                                                                                                            *  </t>
    </r>
    <r>
      <rPr>
        <b/>
        <u/>
        <sz val="9"/>
        <rFont val="Arial"/>
        <family val="2"/>
        <charset val="238"/>
      </rPr>
      <t>data o dlouhodobé účinnosti inflix. byla doplněna do srovnání bez adjustace k výsledkům NM</t>
    </r>
    <r>
      <rPr>
        <b/>
        <sz val="9"/>
        <rFont val="Arial"/>
        <family val="2"/>
        <charset val="238"/>
      </rPr>
      <t xml:space="preserve">A (viz pozn. 6)    </t>
    </r>
  </si>
  <si>
    <r>
      <rPr>
        <b/>
        <sz val="9"/>
        <rFont val="Arial"/>
        <family val="2"/>
        <charset val="238"/>
      </rPr>
      <t xml:space="preserve">* </t>
    </r>
    <r>
      <rPr>
        <b/>
        <u/>
        <sz val="9"/>
        <rFont val="Arial"/>
        <family val="2"/>
        <charset val="238"/>
      </rPr>
      <t>ze všech TNFi je v klin. praxi nejkratší dobu</t>
    </r>
    <r>
      <rPr>
        <b/>
        <sz val="9"/>
        <rFont val="Arial"/>
        <family val="2"/>
        <charset val="238"/>
      </rPr>
      <t xml:space="preserve"> (nemá zatím biosimil.)  </t>
    </r>
    <r>
      <rPr>
        <sz val="9"/>
        <rFont val="Arial"/>
        <family val="2"/>
        <charset val="238"/>
      </rPr>
      <t xml:space="preserve">                                                                                                                                                                                                                                                        </t>
    </r>
    <r>
      <rPr>
        <b/>
        <sz val="9"/>
        <rFont val="Arial"/>
        <family val="2"/>
        <charset val="238"/>
      </rPr>
      <t xml:space="preserve">* </t>
    </r>
    <r>
      <rPr>
        <b/>
        <u/>
        <sz val="9"/>
        <rFont val="Arial"/>
        <family val="2"/>
        <charset val="238"/>
      </rPr>
      <t>2. nejvyšší četnost udrž. dávek (co 2. týden) spolu s brodal. a adal. po etanerc</t>
    </r>
    <r>
      <rPr>
        <b/>
        <sz val="9"/>
        <rFont val="Arial"/>
        <family val="2"/>
        <charset val="238"/>
      </rPr>
      <t xml:space="preserve">. ,                                                                            * společně s ustekin. (IL-12/23i), adal. (iTNF) a tildrak. (IL-23i) má cca nejnižší účinnost z biolog. po etaner. (vyšší udrž. dávka certol. je ale účinnější !),                                                                                                                    * </t>
    </r>
    <r>
      <rPr>
        <b/>
        <u/>
        <sz val="9"/>
        <rFont val="Arial"/>
        <family val="2"/>
        <charset val="238"/>
      </rPr>
      <t>data o dlouhodobé účinnosti certol. byla doplněna do srovnání bez adjustace k výsledkům NMA</t>
    </r>
    <r>
      <rPr>
        <b/>
        <sz val="9"/>
        <rFont val="Arial"/>
        <family val="2"/>
        <charset val="238"/>
      </rPr>
      <t xml:space="preserve"> (viz pozn. 6),                                                                                                          * </t>
    </r>
    <r>
      <rPr>
        <b/>
        <u/>
        <sz val="9"/>
        <rFont val="Arial"/>
        <family val="2"/>
        <charset val="238"/>
      </rPr>
      <t>vyšší udrž. dávka certol. je společně s REMSIMOU nejdražší z TNFi</t>
    </r>
    <r>
      <rPr>
        <b/>
        <sz val="9"/>
        <rFont val="Arial"/>
        <family val="2"/>
        <charset val="238"/>
      </rPr>
      <t xml:space="preserve">.                                                                                                                                          </t>
    </r>
  </si>
  <si>
    <r>
      <rPr>
        <u/>
        <sz val="9"/>
        <rFont val="Arial"/>
        <family val="2"/>
        <charset val="238"/>
      </rPr>
      <t>ICER vůči HYRIMOZU</t>
    </r>
    <r>
      <rPr>
        <sz val="9"/>
        <rFont val="Arial"/>
        <family val="2"/>
        <charset val="238"/>
      </rPr>
      <t xml:space="preserve"> tj. kolik Kč vynaložím navíc pro dosažení PASI 100 navíc u 1 pac. za prvních 16 týd. léčby, u etaner. za 12 týdnů     (u Hyrimozu ICER </t>
    </r>
    <r>
      <rPr>
        <sz val="9"/>
        <rFont val="Calibri"/>
        <family val="2"/>
        <charset val="238"/>
      </rPr>
      <t>=</t>
    </r>
    <r>
      <rPr>
        <sz val="9"/>
        <rFont val="Arial"/>
        <family val="2"/>
        <charset val="238"/>
      </rPr>
      <t xml:space="preserve"> CER, protože je porovnán vůči placebu)</t>
    </r>
  </si>
  <si>
    <r>
      <rPr>
        <u/>
        <sz val="9"/>
        <rFont val="Arial"/>
        <family val="2"/>
        <charset val="238"/>
      </rPr>
      <t>násobek poměru cena/ účin. vůči HYRIMOZU</t>
    </r>
    <r>
      <rPr>
        <sz val="9"/>
        <rFont val="Arial"/>
        <family val="2"/>
        <charset val="238"/>
      </rPr>
      <t xml:space="preserve"> pro dosažení PASI 100 za prvních 16 týdnů léčby, u etaner. za 12 týd.   </t>
    </r>
    <r>
      <rPr>
        <b/>
        <sz val="9"/>
        <rFont val="Arial"/>
        <family val="2"/>
        <charset val="238"/>
      </rPr>
      <t xml:space="preserve"> (CER=cena za dosažení PASI 100 u 1 pac. za 16 týdnů léčby)</t>
    </r>
  </si>
  <si>
    <t>ceny LP podléhají utajení z důvodů obchodního tajemství !!!!!</t>
  </si>
  <si>
    <t>REMSIMA</t>
  </si>
  <si>
    <t>OTEZLA tbl</t>
  </si>
  <si>
    <t>1 (při udrž. dávce 40mg co 2 týdny)</t>
  </si>
  <si>
    <t>5. (TNFi) s PsA i bez PsA</t>
  </si>
  <si>
    <t>jen pokud je KI na biologika či neochota parent. aplikace</t>
  </si>
  <si>
    <t xml:space="preserve">BIMZELX   </t>
  </si>
  <si>
    <t xml:space="preserve">ILUMETRI               </t>
  </si>
  <si>
    <t>ILUMETRI 100mg inj. - tildrakizumab (anti IL-23), CAVE! má úhradu až po neúčinnosti, NÚ či KI na iTNF!</t>
  </si>
  <si>
    <r>
      <t>cena za prvních 16 týdnů léčby</t>
    </r>
    <r>
      <rPr>
        <vertAlign val="superscript"/>
        <sz val="9"/>
        <rFont val="Arial"/>
        <family val="2"/>
        <charset val="238"/>
      </rPr>
      <t>22</t>
    </r>
    <r>
      <rPr>
        <sz val="8"/>
        <rFont val="Arial"/>
        <family val="2"/>
        <charset val="238"/>
      </rPr>
      <t xml:space="preserve"> (indukce, u etaner. za 12 týdnů)</t>
    </r>
    <r>
      <rPr>
        <sz val="9"/>
        <rFont val="Arial"/>
        <family val="2"/>
        <charset val="238"/>
      </rPr>
      <t xml:space="preserve"> vč. bonusů</t>
    </r>
  </si>
  <si>
    <r>
      <t>cena roční udržovací léčby</t>
    </r>
    <r>
      <rPr>
        <vertAlign val="superscript"/>
        <sz val="10"/>
        <rFont val="Arial"/>
        <family val="2"/>
        <charset val="238"/>
      </rPr>
      <t>22</t>
    </r>
    <r>
      <rPr>
        <sz val="10"/>
        <rFont val="Arial"/>
        <family val="2"/>
        <charset val="238"/>
      </rPr>
      <t xml:space="preserve"> se započtením bonusů</t>
    </r>
  </si>
  <si>
    <r>
      <t>cena za prvních 16 týdnů</t>
    </r>
    <r>
      <rPr>
        <vertAlign val="superscript"/>
        <sz val="8"/>
        <rFont val="Arial"/>
        <family val="2"/>
        <charset val="238"/>
      </rPr>
      <t>22</t>
    </r>
    <r>
      <rPr>
        <sz val="8"/>
        <rFont val="Arial"/>
        <family val="2"/>
        <charset val="238"/>
      </rPr>
      <t xml:space="preserve"> (u etaner. za 12 týdnů)</t>
    </r>
    <r>
      <rPr>
        <vertAlign val="superscript"/>
        <sz val="8"/>
        <rFont val="Arial"/>
        <family val="2"/>
        <charset val="238"/>
      </rPr>
      <t xml:space="preserve"> </t>
    </r>
    <r>
      <rPr>
        <sz val="8"/>
        <rFont val="Arial"/>
        <family val="2"/>
        <charset val="238"/>
      </rPr>
      <t>se započtením bonusů</t>
    </r>
  </si>
  <si>
    <r>
      <t>cena za 1 rok udrž. léčby</t>
    </r>
    <r>
      <rPr>
        <vertAlign val="superscript"/>
        <sz val="8"/>
        <rFont val="Arial"/>
        <family val="2"/>
        <charset val="238"/>
      </rPr>
      <t xml:space="preserve">22 </t>
    </r>
    <r>
      <rPr>
        <sz val="8"/>
        <rFont val="Arial"/>
        <family val="2"/>
        <charset val="238"/>
      </rPr>
      <t>se započtením bonusů</t>
    </r>
  </si>
  <si>
    <r>
      <t>cena za 1 pacienta (udrž. léčba</t>
    </r>
    <r>
      <rPr>
        <b/>
        <vertAlign val="superscript"/>
        <sz val="10"/>
        <color theme="1"/>
        <rFont val="Arial"/>
        <family val="2"/>
        <charset val="238"/>
      </rPr>
      <t>22</t>
    </r>
    <r>
      <rPr>
        <b/>
        <sz val="10"/>
        <color theme="1"/>
        <rFont val="Arial"/>
        <family val="2"/>
        <charset val="238"/>
      </rPr>
      <t>/rok)</t>
    </r>
  </si>
  <si>
    <r>
      <t>cena udrž.léčby</t>
    </r>
    <r>
      <rPr>
        <vertAlign val="superscript"/>
        <sz val="10"/>
        <rFont val="Arial"/>
        <family val="2"/>
        <charset val="238"/>
      </rPr>
      <t>22</t>
    </r>
    <r>
      <rPr>
        <sz val="10"/>
        <rFont val="Arial"/>
        <family val="2"/>
        <charset val="238"/>
      </rPr>
      <t xml:space="preserve"> na 1 pac./ rok vč. bonusů</t>
    </r>
    <r>
      <rPr>
        <sz val="9"/>
        <rFont val="Arial"/>
        <family val="2"/>
        <charset val="238"/>
      </rPr>
      <t xml:space="preserve"> (dle dávk. v SPC či v závorce u názvu)</t>
    </r>
  </si>
  <si>
    <r>
      <t>cena za 1. 16 týdnů (u etaner. za 12 týdnů) léčby</t>
    </r>
    <r>
      <rPr>
        <vertAlign val="superscript"/>
        <sz val="10"/>
        <rFont val="Arial"/>
        <family val="2"/>
        <charset val="238"/>
      </rPr>
      <t>22</t>
    </r>
    <r>
      <rPr>
        <sz val="10"/>
        <rFont val="Arial"/>
        <family val="2"/>
        <charset val="238"/>
      </rPr>
      <t xml:space="preserve">za 1 pac. vč. bonusů </t>
    </r>
    <r>
      <rPr>
        <sz val="9"/>
        <rFont val="Arial"/>
        <family val="2"/>
        <charset val="238"/>
      </rPr>
      <t>(dle dávk. v SPC)</t>
    </r>
  </si>
  <si>
    <t>REMSIMA 120mg inj.  (ceny pro inic. i.v. dávku ZESSLY u 61-80kg pac.+ aplik., udrž. s.c. dávky jsou bez ohledu na hmot. !!)  - infliximab s.c. (iTNF)</t>
  </si>
  <si>
    <r>
      <t>ZESSLY 100mg inf. (ceny pro 61-80kg pac. + cena za aplik.)</t>
    </r>
    <r>
      <rPr>
        <sz val="8"/>
        <rFont val="Arial"/>
        <family val="2"/>
        <charset val="238"/>
      </rPr>
      <t xml:space="preserve"> - infliximab i.v. (iTNF)</t>
    </r>
  </si>
  <si>
    <r>
      <t xml:space="preserve">ZESSLY 100mg inf. 1x100mg </t>
    </r>
    <r>
      <rPr>
        <sz val="8"/>
        <rFont val="Arial"/>
        <family val="2"/>
        <charset val="238"/>
      </rPr>
      <t xml:space="preserve">(ceny pro 61-80kg pac. </t>
    </r>
    <r>
      <rPr>
        <b/>
        <sz val="8"/>
        <rFont val="Arial"/>
        <family val="2"/>
        <charset val="238"/>
      </rPr>
      <t>+ cena za aplik.</t>
    </r>
    <r>
      <rPr>
        <sz val="8"/>
        <rFont val="Arial"/>
        <family val="2"/>
        <charset val="238"/>
      </rPr>
      <t>)</t>
    </r>
  </si>
  <si>
    <r>
      <t xml:space="preserve">INFLECTRA 100mg inf. 1x100mg </t>
    </r>
    <r>
      <rPr>
        <sz val="8"/>
        <rFont val="Arial"/>
        <family val="2"/>
        <charset val="238"/>
      </rPr>
      <t xml:space="preserve">(ceny pro 61-80kg pac. </t>
    </r>
    <r>
      <rPr>
        <b/>
        <sz val="8"/>
        <rFont val="Arial"/>
        <family val="2"/>
        <charset val="238"/>
      </rPr>
      <t>+ cena za aplik.</t>
    </r>
    <r>
      <rPr>
        <sz val="8"/>
        <rFont val="Arial"/>
        <family val="2"/>
        <charset val="238"/>
      </rPr>
      <t>)</t>
    </r>
  </si>
  <si>
    <r>
      <t xml:space="preserve">REMICADE 100mg inf. 1 </t>
    </r>
    <r>
      <rPr>
        <sz val="8"/>
        <rFont val="Arial"/>
        <family val="2"/>
        <charset val="238"/>
      </rPr>
      <t xml:space="preserve"> (ceny pro 61-80kg pac.</t>
    </r>
    <r>
      <rPr>
        <b/>
        <sz val="8"/>
        <rFont val="Arial"/>
        <family val="2"/>
        <charset val="238"/>
      </rPr>
      <t xml:space="preserve"> + cena za aplik.</t>
    </r>
    <r>
      <rPr>
        <sz val="8"/>
        <rFont val="Arial"/>
        <family val="2"/>
        <charset val="238"/>
      </rPr>
      <t>)</t>
    </r>
  </si>
  <si>
    <r>
      <t xml:space="preserve">INFLECTRA inf.             </t>
    </r>
    <r>
      <rPr>
        <sz val="9"/>
        <rFont val="Arial"/>
        <family val="2"/>
        <charset val="238"/>
      </rPr>
      <t>(+ cena za aplik.)</t>
    </r>
  </si>
  <si>
    <r>
      <t xml:space="preserve">ZESSLY inf.                    </t>
    </r>
    <r>
      <rPr>
        <sz val="9"/>
        <rFont val="Arial"/>
        <family val="2"/>
        <charset val="238"/>
      </rPr>
      <t xml:space="preserve"> (+ cena za aplik.)</t>
    </r>
  </si>
  <si>
    <r>
      <t xml:space="preserve">REMICADE inf.               </t>
    </r>
    <r>
      <rPr>
        <sz val="9"/>
        <rFont val="Arial"/>
        <family val="2"/>
        <charset val="238"/>
      </rPr>
      <t xml:space="preserve"> (+ cena za aplik.)</t>
    </r>
  </si>
  <si>
    <r>
      <t xml:space="preserve">INFLECTRA 100mg inf. 1x100mg </t>
    </r>
    <r>
      <rPr>
        <sz val="8"/>
        <rFont val="Arial"/>
        <family val="2"/>
        <charset val="238"/>
      </rPr>
      <t xml:space="preserve"> (ceny pro 61-80kg pac. + cena za aplik.)</t>
    </r>
  </si>
  <si>
    <r>
      <t xml:space="preserve">ZESSLY 100mg inf. 1x100mg  </t>
    </r>
    <r>
      <rPr>
        <sz val="8"/>
        <rFont val="Arial"/>
        <family val="2"/>
        <charset val="238"/>
      </rPr>
      <t>(ceny pro 61-80kg pac.+ cena za aplik.)</t>
    </r>
  </si>
  <si>
    <r>
      <t xml:space="preserve">REMICADE 100mg inf. 1x100mg  </t>
    </r>
    <r>
      <rPr>
        <sz val="8"/>
        <rFont val="Arial"/>
        <family val="2"/>
        <charset val="238"/>
      </rPr>
      <t>(ceny pro 61-80kg pac.+ cena za aplik.)</t>
    </r>
  </si>
  <si>
    <r>
      <rPr>
        <b/>
        <sz val="9"/>
        <rFont val="Arial"/>
        <family val="2"/>
        <charset val="238"/>
      </rPr>
      <t xml:space="preserve">* </t>
    </r>
    <r>
      <rPr>
        <b/>
        <u/>
        <sz val="9"/>
        <rFont val="Arial"/>
        <family val="2"/>
        <charset val="238"/>
      </rPr>
      <t>aktuálně nejdražší udržovací léčba z biologik společně se secukinumabe</t>
    </r>
    <r>
      <rPr>
        <b/>
        <sz val="9"/>
        <rFont val="Arial"/>
        <family val="2"/>
        <charset val="238"/>
      </rPr>
      <t>m</t>
    </r>
    <r>
      <rPr>
        <sz val="9"/>
        <rFont val="Arial"/>
        <family val="2"/>
        <charset val="238"/>
      </rPr>
      <t xml:space="preserve">                                                                                                                                                    </t>
    </r>
    <r>
      <rPr>
        <b/>
        <sz val="9"/>
        <rFont val="Arial"/>
        <family val="2"/>
        <charset val="238"/>
      </rPr>
      <t xml:space="preserve">* má pomalejší nástup účinku než brodal., ixek. (asi 8x menší PASI 90 ve 4 týdnu) a bimek., má proto </t>
    </r>
    <r>
      <rPr>
        <b/>
        <u/>
        <sz val="9"/>
        <rFont val="Arial"/>
        <family val="2"/>
        <charset val="238"/>
      </rPr>
      <t>nižší účin. po indukci než brodal., risank., bimek. a ixek.</t>
    </r>
    <r>
      <rPr>
        <b/>
        <sz val="9"/>
        <rFont val="Arial"/>
        <family val="2"/>
        <charset val="238"/>
      </rPr>
      <t>)</t>
    </r>
  </si>
  <si>
    <t>TREMFYA 100mg inj. - guselkumab (antiIL-23) - PRVNÍCH 16 TÝDNŮ</t>
  </si>
  <si>
    <t>TREMFYA 100mg inj. - guselkumab (antiIL-23) - ROK UDRŽOVACÍ LÉČBY</t>
  </si>
  <si>
    <r>
      <t xml:space="preserve">* </t>
    </r>
    <r>
      <rPr>
        <b/>
        <u/>
        <sz val="9"/>
        <rFont val="Arial"/>
        <family val="2"/>
        <charset val="238"/>
      </rPr>
      <t xml:space="preserve">velmi vysoká účinnost v udrž. fázi (pravděpodobně 2. nejvyšší s brodal. a bimek. </t>
    </r>
    <r>
      <rPr>
        <b/>
        <sz val="9"/>
        <rFont val="Arial"/>
        <family val="2"/>
        <charset val="238"/>
      </rPr>
      <t xml:space="preserve">po risank.),  udržovací dávka co 8 týdnů                                                                                                                      * </t>
    </r>
    <r>
      <rPr>
        <b/>
        <u/>
        <sz val="9"/>
        <color rgb="FF0000FF"/>
        <rFont val="Arial"/>
        <family val="2"/>
        <charset val="238"/>
      </rPr>
      <t xml:space="preserve">pravděpod. nejnižší výskyt význam. NÚ z biol. </t>
    </r>
    <r>
      <rPr>
        <sz val="9"/>
        <color rgb="FF0000FF"/>
        <rFont val="Arial"/>
        <family val="2"/>
        <charset val="238"/>
      </rPr>
      <t>(spolu s risank. a tildrak.- IL-23i</t>
    </r>
    <r>
      <rPr>
        <sz val="9"/>
        <rFont val="Arial"/>
        <family val="2"/>
        <charset val="238"/>
      </rPr>
      <t>)</t>
    </r>
    <r>
      <rPr>
        <b/>
        <sz val="9"/>
        <rFont val="Arial"/>
        <family val="2"/>
        <charset val="238"/>
      </rPr>
      <t xml:space="preserve">                                                                                                                                               * </t>
    </r>
    <r>
      <rPr>
        <b/>
        <u/>
        <sz val="9"/>
        <rFont val="Arial"/>
        <family val="2"/>
        <charset val="238"/>
      </rPr>
      <t>aktuálně poměr cena/účinnost z IL-17i a IL-23i je o něco nižší než u bimek., brodal. a risan</t>
    </r>
    <r>
      <rPr>
        <b/>
        <sz val="9"/>
        <rFont val="Arial"/>
        <family val="2"/>
        <charset val="238"/>
      </rPr>
      <t>k.</t>
    </r>
    <r>
      <rPr>
        <b/>
        <u/>
        <sz val="9"/>
        <rFont val="Arial"/>
        <family val="2"/>
        <charset val="238"/>
      </rPr>
      <t xml:space="preserve"> </t>
    </r>
    <r>
      <rPr>
        <b/>
        <sz val="9"/>
        <rFont val="Arial"/>
        <family val="2"/>
        <charset val="238"/>
      </rPr>
      <t xml:space="preserve">                                                                                                                                                                    * možno podat při současné PsA (dle SPC)  </t>
    </r>
    <r>
      <rPr>
        <b/>
        <u/>
        <sz val="9"/>
        <rFont val="Arial"/>
        <family val="2"/>
        <charset val="238"/>
      </rPr>
      <t xml:space="preserve">  </t>
    </r>
    <r>
      <rPr>
        <b/>
        <sz val="9"/>
        <rFont val="Arial"/>
        <family val="2"/>
        <charset val="238"/>
      </rPr>
      <t xml:space="preserve">                                            </t>
    </r>
  </si>
  <si>
    <r>
      <rPr>
        <b/>
        <u/>
        <sz val="9"/>
        <rFont val="Arial"/>
        <family val="2"/>
        <charset val="238"/>
      </rPr>
      <t>* velmi vysoká účinnost jak v induk. tak v udrž. fázi (spolu s risank. a bimek.</t>
    </r>
    <r>
      <rPr>
        <b/>
        <sz val="9"/>
        <rFont val="Arial"/>
        <family val="2"/>
        <charset val="238"/>
      </rPr>
      <t xml:space="preserve">) </t>
    </r>
    <r>
      <rPr>
        <sz val="9"/>
        <rFont val="Arial"/>
        <family val="2"/>
        <charset val="238"/>
      </rPr>
      <t xml:space="preserve">                                              </t>
    </r>
    <r>
      <rPr>
        <b/>
        <u/>
        <sz val="9"/>
        <rFont val="Arial"/>
        <family val="2"/>
        <charset val="238"/>
      </rPr>
      <t>* aktuálně poměr cena/účinnost z IL-17i a IL-23i je spolu s bimek. a risank. nejvyšší</t>
    </r>
    <r>
      <rPr>
        <sz val="9"/>
        <rFont val="Arial"/>
        <family val="2"/>
        <charset val="238"/>
      </rPr>
      <t xml:space="preserve"> (IL-23i (risank.) má pravděp. nejlepší bezpečnost)                                                                                                                   </t>
    </r>
    <r>
      <rPr>
        <b/>
        <sz val="9"/>
        <rFont val="Arial"/>
        <family val="2"/>
        <charset val="238"/>
      </rPr>
      <t>*</t>
    </r>
    <r>
      <rPr>
        <b/>
        <u/>
        <sz val="9"/>
        <rFont val="Arial"/>
        <family val="2"/>
        <charset val="238"/>
      </rPr>
      <t xml:space="preserve"> pravděp. nejrychlejší nástup účinku (cca 29% pac. PASI  90 po 4 týdnech) ze všech biologi</t>
    </r>
    <r>
      <rPr>
        <b/>
        <sz val="9"/>
        <rFont val="Arial"/>
        <family val="2"/>
        <charset val="238"/>
      </rPr>
      <t>k zřejmě spolu s bimekizumabem</t>
    </r>
    <r>
      <rPr>
        <sz val="9"/>
        <rFont val="Arial"/>
        <family val="2"/>
        <charset val="238"/>
      </rPr>
      <t xml:space="preserve">                                                                                                                                                 </t>
    </r>
    <r>
      <rPr>
        <b/>
        <sz val="9"/>
        <rFont val="Arial"/>
        <family val="2"/>
        <charset val="238"/>
      </rPr>
      <t xml:space="preserve">* </t>
    </r>
    <r>
      <rPr>
        <b/>
        <u/>
        <sz val="9"/>
        <rFont val="Arial"/>
        <family val="2"/>
        <charset val="238"/>
      </rPr>
      <t xml:space="preserve">v induk. fázi je výrazně levnější než podobně úč. risank. a nejúčinnější bimek. </t>
    </r>
  </si>
  <si>
    <r>
      <rPr>
        <b/>
        <u/>
        <sz val="9"/>
        <rFont val="Arial"/>
        <family val="2"/>
        <charset val="238"/>
      </rPr>
      <t>* velmi vysoká účinnost jak v induk. tak v udrž. fázi (spolu s brodal. a bimek.</t>
    </r>
    <r>
      <rPr>
        <b/>
        <sz val="9"/>
        <rFont val="Arial"/>
        <family val="2"/>
        <charset val="238"/>
      </rPr>
      <t>)</t>
    </r>
    <r>
      <rPr>
        <b/>
        <u/>
        <sz val="9"/>
        <rFont val="Arial"/>
        <family val="2"/>
        <charset val="238"/>
      </rPr>
      <t xml:space="preserve">, </t>
    </r>
    <r>
      <rPr>
        <b/>
        <u/>
        <sz val="9"/>
        <color rgb="FF0000FF"/>
        <rFont val="Arial"/>
        <family val="2"/>
        <charset val="238"/>
      </rPr>
      <t>v udrž. léčbě je pravděpodobně nejúčinnější biologiku</t>
    </r>
    <r>
      <rPr>
        <b/>
        <sz val="9"/>
        <color rgb="FF0000FF"/>
        <rFont val="Arial"/>
        <family val="2"/>
        <charset val="238"/>
      </rPr>
      <t>m</t>
    </r>
    <r>
      <rPr>
        <sz val="9"/>
        <color rgb="FF0000FF"/>
        <rFont val="Arial"/>
        <family val="2"/>
        <charset val="238"/>
      </rPr>
      <t xml:space="preserve"> </t>
    </r>
    <r>
      <rPr>
        <sz val="9"/>
        <rFont val="Arial"/>
        <family val="2"/>
        <charset val="238"/>
      </rPr>
      <t xml:space="preserve">                                                                                 </t>
    </r>
    <r>
      <rPr>
        <b/>
        <u/>
        <sz val="9"/>
        <rFont val="Arial"/>
        <family val="2"/>
        <charset val="238"/>
      </rPr>
      <t xml:space="preserve">* aktuálně poměr cena/účinnost z IL-17Ai a IL-23i je spolu s brodal. a bimek. nejvyšší </t>
    </r>
    <r>
      <rPr>
        <sz val="9"/>
        <rFont val="Arial"/>
        <family val="2"/>
        <charset val="238"/>
      </rPr>
      <t xml:space="preserve">(IL-23i (risank.) má pravděp. nejlepší bezpečnost),                                                                                                                          * </t>
    </r>
    <r>
      <rPr>
        <b/>
        <u/>
        <sz val="9"/>
        <rFont val="Arial"/>
        <family val="2"/>
        <charset val="238"/>
      </rPr>
      <t>udrž. dávka co 12 týdnů</t>
    </r>
    <r>
      <rPr>
        <sz val="9"/>
        <rFont val="Arial"/>
        <family val="2"/>
        <charset val="238"/>
      </rPr>
      <t xml:space="preserve"> (spolu s ustekin. a tildrak. nejdelší interval z biologik),                                                                                                                                  * </t>
    </r>
    <r>
      <rPr>
        <b/>
        <u/>
        <sz val="9"/>
        <color rgb="FF0000FF"/>
        <rFont val="Arial"/>
        <family val="2"/>
        <charset val="238"/>
      </rPr>
      <t>pravděpod. nejnižší výskyt význam. NÚ z biologik</t>
    </r>
    <r>
      <rPr>
        <sz val="9"/>
        <color rgb="FF0000FF"/>
        <rFont val="Arial"/>
        <family val="2"/>
        <charset val="238"/>
      </rPr>
      <t xml:space="preserve"> (spolu s guselk. a tildrak.)</t>
    </r>
    <r>
      <rPr>
        <sz val="9"/>
        <rFont val="Arial"/>
        <family val="2"/>
        <charset val="238"/>
      </rPr>
      <t>,                                         *</t>
    </r>
    <r>
      <rPr>
        <b/>
        <sz val="9"/>
        <rFont val="Arial"/>
        <family val="2"/>
        <charset val="238"/>
      </rPr>
      <t xml:space="preserve"> možno podat při současné PsA (dle SPC) </t>
    </r>
  </si>
  <si>
    <r>
      <t xml:space="preserve">* </t>
    </r>
    <r>
      <rPr>
        <b/>
        <u/>
        <sz val="9"/>
        <rFont val="Arial"/>
        <family val="2"/>
        <charset val="238"/>
      </rPr>
      <t>velmi vysoká účinnost jak v induk. tak v udrž. fázi (spolu s risank. a brodal.</t>
    </r>
    <r>
      <rPr>
        <b/>
        <sz val="9"/>
        <rFont val="Arial"/>
        <family val="2"/>
        <charset val="238"/>
      </rPr>
      <t xml:space="preserve">)  </t>
    </r>
    <r>
      <rPr>
        <sz val="9"/>
        <rFont val="Arial"/>
        <family val="2"/>
        <charset val="238"/>
      </rPr>
      <t xml:space="preserve">                                             * </t>
    </r>
    <r>
      <rPr>
        <b/>
        <u/>
        <sz val="9"/>
        <rFont val="Arial"/>
        <family val="2"/>
        <charset val="238"/>
      </rPr>
      <t xml:space="preserve">aktuálně poměr cena/účinnost z IL-17i a IL-23i je spolu s brodal. a risank. nejvyšší </t>
    </r>
    <r>
      <rPr>
        <sz val="9"/>
        <rFont val="Arial"/>
        <family val="2"/>
        <charset val="238"/>
      </rPr>
      <t>(IL-23i (risank.) má pravděp. nejlepší bezpečnost)</t>
    </r>
    <r>
      <rPr>
        <b/>
        <sz val="9"/>
        <rFont val="Arial"/>
        <family val="2"/>
        <charset val="238"/>
      </rPr>
      <t xml:space="preserve"> </t>
    </r>
    <r>
      <rPr>
        <sz val="9"/>
        <rFont val="Arial"/>
        <family val="2"/>
        <charset val="238"/>
      </rPr>
      <t xml:space="preserve">                                                                                                                  * </t>
    </r>
    <r>
      <rPr>
        <b/>
        <u/>
        <sz val="9"/>
        <rFont val="Arial"/>
        <family val="2"/>
        <charset val="238"/>
      </rPr>
      <t xml:space="preserve">pravděpodobně nejrychlejší nástup účinku </t>
    </r>
    <r>
      <rPr>
        <sz val="9"/>
        <rFont val="Arial"/>
        <family val="2"/>
        <charset val="238"/>
      </rPr>
      <t xml:space="preserve">(spolu s brodalumabem) </t>
    </r>
    <r>
      <rPr>
        <b/>
        <u/>
        <sz val="9"/>
        <rFont val="Arial"/>
        <family val="2"/>
        <charset val="238"/>
      </rPr>
      <t xml:space="preserve">z biologik </t>
    </r>
    <r>
      <rPr>
        <b/>
        <u/>
        <sz val="9"/>
        <color rgb="FF0000FF"/>
        <rFont val="Arial"/>
        <family val="2"/>
        <charset val="238"/>
      </rPr>
      <t>(po induk. době je nejúčinnější biologikum!</t>
    </r>
    <r>
      <rPr>
        <b/>
        <sz val="9"/>
        <color rgb="FF0000FF"/>
        <rFont val="Arial"/>
        <family val="2"/>
        <charset val="238"/>
      </rPr>
      <t>)</t>
    </r>
    <r>
      <rPr>
        <b/>
        <sz val="9"/>
        <rFont val="Arial"/>
        <family val="2"/>
        <charset val="238"/>
      </rPr>
      <t>, udržovací dávka co 8 týdnů</t>
    </r>
    <r>
      <rPr>
        <sz val="9"/>
        <rFont val="Arial"/>
        <family val="2"/>
        <charset val="238"/>
      </rPr>
      <t xml:space="preserve">                                                                                                                                         </t>
    </r>
  </si>
  <si>
    <r>
      <rPr>
        <b/>
        <sz val="9"/>
        <rFont val="Arial"/>
        <family val="2"/>
        <charset val="238"/>
      </rPr>
      <t xml:space="preserve">* </t>
    </r>
    <r>
      <rPr>
        <b/>
        <u/>
        <sz val="9"/>
        <rFont val="Arial"/>
        <family val="2"/>
        <charset val="238"/>
      </rPr>
      <t>z 4 nejúčinnějších biolog. (tj. risank.,  guselk., bimek., brodal.) má spolu s guselk. (oba IL-23i) nejhorší poměr cena/ účinnost za prvních 16 týdnů léčb</t>
    </r>
    <r>
      <rPr>
        <b/>
        <sz val="9"/>
        <rFont val="Arial"/>
        <family val="2"/>
        <charset val="238"/>
      </rPr>
      <t xml:space="preserve">y </t>
    </r>
    <r>
      <rPr>
        <sz val="9"/>
        <rFont val="Arial"/>
        <family val="2"/>
        <charset val="238"/>
      </rPr>
      <t xml:space="preserve">                                                                                                                                                                                                                   * </t>
    </r>
    <r>
      <rPr>
        <b/>
        <sz val="9"/>
        <rFont val="Arial"/>
        <family val="2"/>
        <charset val="238"/>
      </rPr>
      <t>pomalejší nástup úč. než brodal., ixek. (asi 4x menší PASI 90 ve 4 týd.) a bimek.</t>
    </r>
  </si>
  <si>
    <r>
      <t xml:space="preserve">* </t>
    </r>
    <r>
      <rPr>
        <b/>
        <u/>
        <sz val="9"/>
        <rFont val="Arial"/>
        <family val="2"/>
        <charset val="238"/>
      </rPr>
      <t>z nejúčinnějších biolog. (tj. risank.,  guselk., ixek., brodal., bimek.) má numericky nejhorší poměr cena/ účinnost za prvních 16 týdnů léčb</t>
    </r>
    <r>
      <rPr>
        <b/>
        <sz val="9"/>
        <rFont val="Arial"/>
        <family val="2"/>
        <charset val="238"/>
      </rPr>
      <t xml:space="preserve">y                                                                                                                             * v uvodním dávk. má celkem 7 dávek (jedna dávka každý 2. týden)                                                                 * IL-23i (guselk., tildrak. a risank.) mají pravděp. lepší bezpečnost </t>
    </r>
  </si>
  <si>
    <t>cena za prvních 16 týdnů + 1 rok udrž. léčby</t>
  </si>
  <si>
    <t xml:space="preserve">1. (non TNFi, non IL-23i) bez PsA                                                           </t>
  </si>
  <si>
    <t>1. (non TNFi, IL-23i) s PsA  (samotná PsA nehrazena)                                                     1. (non TNFi, IL-23i) bez PsA</t>
  </si>
  <si>
    <t xml:space="preserve">2. (non TNFi, IL-23i) s PsA  (samotná PsA nehrazena)                                                     2. (non TNFi, IL-23i) bez PsA                                                           </t>
  </si>
  <si>
    <t>3. (non TNFi, IL-12/23i) s PsA  (samotná PsA nehrazena)                                                     4. (non TNFi, IL-12/23i) bez PsA</t>
  </si>
  <si>
    <t>1. vyjímečně jen při určitých form. psoriázy,                                  jinak 1. s PsA i bez PsA  při preferenci inf. aplik. ve ZZ</t>
  </si>
  <si>
    <t>1 (66 562 Kč)</t>
  </si>
  <si>
    <t>cena za 2x prvních 16 týdnů + 1 rok udržovací</t>
  </si>
  <si>
    <t>sekvence (IL-17i pak na IL-23i)</t>
  </si>
  <si>
    <t>KYNTHEUM - TREMFYA</t>
  </si>
  <si>
    <t>KYNTHEUM - SKYRIZI</t>
  </si>
  <si>
    <t>BIMZELX - SKYRIZI</t>
  </si>
  <si>
    <t>BIMZELX - TREMFYA</t>
  </si>
  <si>
    <t>TALTZ - SKYRIZI</t>
  </si>
  <si>
    <t>TALTZ - TREMFYA</t>
  </si>
  <si>
    <t xml:space="preserve">1. pac. s KI na TNFi, IL-17i jimž stačí méně účinný LP,                   jinak 3. (non TNFi, IL-23i) bez PsA                                                           </t>
  </si>
  <si>
    <r>
      <rPr>
        <vertAlign val="superscript"/>
        <sz val="8"/>
        <rFont val="Arial"/>
        <family val="2"/>
        <charset val="238"/>
      </rPr>
      <t>4</t>
    </r>
    <r>
      <rPr>
        <sz val="8"/>
        <rFont val="Arial"/>
        <family val="2"/>
        <charset val="238"/>
      </rPr>
      <t xml:space="preserve"> Armstrong A, et al. Efficacy of Bimekizumab and Other Biologics in Moderate to Severe Plaque Psoriasis: A Systematic Literature Review and a Network Meta-Analysis. Dermatol Ther (Heidelb) (2022) 12:1777–1792</t>
    </r>
  </si>
  <si>
    <r>
      <rPr>
        <b/>
        <sz val="9"/>
        <rFont val="Arial"/>
        <family val="2"/>
        <charset val="238"/>
      </rPr>
      <t>účinnost</t>
    </r>
    <r>
      <rPr>
        <sz val="9"/>
        <rFont val="Arial"/>
        <family val="2"/>
        <charset val="238"/>
      </rPr>
      <t xml:space="preserve">                       (četnost dosažení PASI 75 u biolog. naiv. </t>
    </r>
    <r>
      <rPr>
        <sz val="8"/>
        <rFont val="Arial"/>
        <family val="2"/>
        <charset val="238"/>
      </rPr>
      <t>- dle</t>
    </r>
    <r>
      <rPr>
        <vertAlign val="superscript"/>
        <sz val="8"/>
        <rFont val="Arial"/>
        <family val="2"/>
        <charset val="238"/>
      </rPr>
      <t>4</t>
    </r>
    <r>
      <rPr>
        <sz val="8"/>
        <rFont val="Arial"/>
        <family val="2"/>
        <charset val="238"/>
      </rPr>
      <t>, u placeba dle</t>
    </r>
    <r>
      <rPr>
        <vertAlign val="superscript"/>
        <sz val="8"/>
        <rFont val="Arial"/>
        <family val="2"/>
        <charset val="238"/>
      </rPr>
      <t>9</t>
    </r>
    <r>
      <rPr>
        <sz val="9"/>
        <rFont val="Arial"/>
        <family val="2"/>
        <charset val="238"/>
      </rPr>
      <t>)</t>
    </r>
  </si>
  <si>
    <r>
      <t xml:space="preserve">účinnost </t>
    </r>
    <r>
      <rPr>
        <sz val="8"/>
        <rFont val="Arial"/>
        <family val="2"/>
        <charset val="238"/>
      </rPr>
      <t xml:space="preserve"> (PASI-75 NNT - dle</t>
    </r>
    <r>
      <rPr>
        <vertAlign val="superscript"/>
        <sz val="8"/>
        <rFont val="Arial"/>
        <family val="2"/>
        <charset val="238"/>
      </rPr>
      <t>4</t>
    </r>
    <r>
      <rPr>
        <sz val="8"/>
        <rFont val="Arial"/>
        <family val="2"/>
        <charset val="238"/>
      </rPr>
      <t>, u placeba dle</t>
    </r>
    <r>
      <rPr>
        <vertAlign val="superscript"/>
        <sz val="8"/>
        <rFont val="Arial"/>
        <family val="2"/>
        <charset val="238"/>
      </rPr>
      <t>9</t>
    </r>
    <r>
      <rPr>
        <sz val="8"/>
        <rFont val="Arial"/>
        <family val="2"/>
        <charset val="238"/>
      </rPr>
      <t>)</t>
    </r>
  </si>
  <si>
    <r>
      <rPr>
        <b/>
        <sz val="7.5"/>
        <rFont val="Arial"/>
        <family val="2"/>
        <charset val="238"/>
      </rPr>
      <t>dimethyl-fumarát</t>
    </r>
    <r>
      <rPr>
        <b/>
        <sz val="8"/>
        <rFont val="Arial"/>
        <family val="2"/>
        <charset val="238"/>
      </rPr>
      <t xml:space="preserve">  </t>
    </r>
    <r>
      <rPr>
        <b/>
        <sz val="7"/>
        <rFont val="Arial"/>
        <family val="2"/>
        <charset val="238"/>
      </rPr>
      <t>(není to biologikum)</t>
    </r>
  </si>
  <si>
    <r>
      <rPr>
        <u/>
        <sz val="8"/>
        <rFont val="Arial"/>
        <family val="2"/>
        <charset val="238"/>
      </rPr>
      <t xml:space="preserve">kteří již podstoupili jeden </t>
    </r>
    <r>
      <rPr>
        <sz val="8"/>
        <rFont val="Arial"/>
        <family val="2"/>
        <charset val="238"/>
      </rPr>
      <t>z následujících způsobů konvenční systémové léčby: acitretin, cyklosporin, methotrexát, DMF nebo fototerapii (PUVA či NBUVB)</t>
    </r>
  </si>
  <si>
    <r>
      <t xml:space="preserve">* nedosažení hodnoty </t>
    </r>
    <r>
      <rPr>
        <u/>
        <sz val="8"/>
        <rFont val="Arial"/>
        <family val="2"/>
        <charset val="238"/>
      </rPr>
      <t>PASI 75</t>
    </r>
    <r>
      <rPr>
        <sz val="8"/>
        <rFont val="Arial"/>
        <family val="2"/>
        <charset val="238"/>
      </rPr>
      <t xml:space="preserve"> po 4 měsících úvodní léčby, * poklesu účinnosti zavedené léčby pod PASI 50 nebo v intervalu PASI 50 - 75, ale se současnou hodnotou DLQI větší nebo rovno 5.</t>
    </r>
  </si>
  <si>
    <t>* nedosažení hodnoty PASI 50 po 16 týdnech léčby tildrakizumabem, * poklesu účinnosti zavedené biologické léčby tildrakizumabem pod PASI 50 nebo v intervalu PASI 50 - 75, ale se současnou hodnotou DLQI větší nebo rovno 5</t>
  </si>
  <si>
    <r>
      <rPr>
        <u/>
        <sz val="8"/>
        <rFont val="Arial"/>
        <family val="2"/>
        <charset val="238"/>
      </rPr>
      <t>CAVE! lze použít jako 1. centr. léčbu</t>
    </r>
    <r>
      <rPr>
        <sz val="8"/>
        <rFont val="Arial"/>
        <family val="2"/>
        <charset val="238"/>
      </rPr>
      <t>: "*  kteří nemají odpověď na topickou léčbu a fototerapii, nebo * mají současně aktivní PsA, kde nelze použít MTX z důvodů nedostatečné účinnosti, intolerance či kontraindikace.</t>
    </r>
  </si>
  <si>
    <r>
      <rPr>
        <u/>
        <sz val="8"/>
        <rFont val="Arial"/>
        <family val="2"/>
        <charset val="238"/>
      </rPr>
      <t xml:space="preserve">kteří již podstoupili jeden </t>
    </r>
    <r>
      <rPr>
        <sz val="8"/>
        <rFont val="Arial"/>
        <family val="2"/>
        <charset val="238"/>
      </rPr>
      <t xml:space="preserve">z následujících způsobů konv. syst. léčby: acitretin, cyklosporin, MTX  nebo fototerapii (PUVA či NBUVB) </t>
    </r>
    <r>
      <rPr>
        <u/>
        <sz val="8"/>
        <rFont val="Arial"/>
        <family val="2"/>
        <charset val="238"/>
      </rPr>
      <t>a nejsou vhodní pro MTX</t>
    </r>
    <r>
      <rPr>
        <sz val="8"/>
        <rFont val="Arial"/>
        <family val="2"/>
        <charset val="238"/>
      </rPr>
      <t xml:space="preserve"> (zejména z důvodu KI)</t>
    </r>
  </si>
  <si>
    <t>Almirall, S.A.</t>
  </si>
  <si>
    <t>imunomodulátor (reakce s glutathionem)</t>
  </si>
  <si>
    <r>
      <t xml:space="preserve">1. týden: 1x denně 30mg, 2. týden: 2x denně 30mg, 3. týden: 3x denně 30mg, 4. týden: 1x denně 120 mg, 5. týden:  2x denně 120mg, 6. týden: 3x denně 120mg, 7. týden: 4x 120mg denně, 8. týden: 5x 120mg denně, </t>
    </r>
    <r>
      <rPr>
        <u/>
        <sz val="8"/>
        <rFont val="Arial"/>
        <family val="2"/>
        <charset val="238"/>
      </rPr>
      <t xml:space="preserve">od 9. týdne 6x 120mg denně - pokud nebude určitá dávka snášena, je možné ji dočasně snížit na poslední snášenou dávku, pokud je léčba úspěšná před dosažením nejvyšší dávky, žádné další zvyšování dávky není nutné, po dosažení klinicky významného zlepšení kožních lézí má být zváženo postupné snižování denní dávky na individuálně požadovanou udrž. dávku. </t>
    </r>
  </si>
  <si>
    <r>
      <t xml:space="preserve">dávkování </t>
    </r>
    <r>
      <rPr>
        <vertAlign val="superscript"/>
        <sz val="10"/>
        <rFont val="Arial"/>
        <family val="2"/>
        <charset val="238"/>
      </rPr>
      <t>4</t>
    </r>
    <r>
      <rPr>
        <sz val="10"/>
        <rFont val="Arial"/>
        <family val="2"/>
        <charset val="238"/>
      </rPr>
      <t xml:space="preserve"> u psoriázy u dospělých dle SPC, případně dle studie </t>
    </r>
    <r>
      <rPr>
        <sz val="9"/>
        <rFont val="Arial"/>
        <family val="2"/>
        <charset val="238"/>
      </rPr>
      <t>(viz odkaz na příslušnou poznámku)</t>
    </r>
    <r>
      <rPr>
        <sz val="10"/>
        <rFont val="Arial"/>
        <family val="2"/>
        <charset val="238"/>
      </rPr>
      <t>:</t>
    </r>
  </si>
  <si>
    <t>TREXAN NEO 10mg tbl 100</t>
  </si>
  <si>
    <t>Orion</t>
  </si>
  <si>
    <r>
      <t xml:space="preserve">podmínky ukončení léčby nebo přímé převedení na další biologikum                                                  </t>
    </r>
    <r>
      <rPr>
        <sz val="8"/>
        <rFont val="Arial"/>
        <family val="2"/>
        <charset val="238"/>
      </rPr>
      <t xml:space="preserve">  (dle úhradových podmínek)</t>
    </r>
    <r>
      <rPr>
        <sz val="9"/>
        <rFont val="Arial"/>
        <family val="2"/>
        <charset val="238"/>
      </rPr>
      <t>:</t>
    </r>
  </si>
  <si>
    <t xml:space="preserve"> * nedosažení hodnoty PASI 50 po 4 měs. úvodní léčby,               * poklesu účinnosti zavedené léčby pod PASI 50 nebo v intervalu PASI 50 - 75, ale se současnou hodnotou DLQI větší nebo rovno 5.</t>
  </si>
  <si>
    <r>
      <t xml:space="preserve">1. úhradové omezení v ČR: </t>
    </r>
    <r>
      <rPr>
        <u/>
        <sz val="9"/>
        <rFont val="Arial"/>
        <family val="2"/>
        <charset val="238"/>
      </rPr>
      <t xml:space="preserve">léčba psoriázy s PASI více než 10 u dosp. </t>
    </r>
    <r>
      <rPr>
        <sz val="9"/>
        <rFont val="Arial"/>
        <family val="2"/>
        <charset val="238"/>
      </rPr>
      <t xml:space="preserve">za podmínek:      </t>
    </r>
    <r>
      <rPr>
        <sz val="8"/>
        <rFont val="Arial"/>
        <family val="2"/>
        <charset val="238"/>
      </rPr>
      <t xml:space="preserve">  (</t>
    </r>
    <r>
      <rPr>
        <b/>
        <sz val="8"/>
        <rFont val="Arial"/>
        <family val="2"/>
        <charset val="238"/>
      </rPr>
      <t>NETÝKÁ SE KONVEČNÍ LÉČBY !</t>
    </r>
    <r>
      <rPr>
        <sz val="8"/>
        <rFont val="Arial"/>
        <family val="2"/>
        <charset val="238"/>
      </rPr>
      <t>)</t>
    </r>
  </si>
  <si>
    <r>
      <t>Preskripční omezení centrových léků (dle SUKLu</t>
    </r>
    <r>
      <rPr>
        <b/>
        <sz val="11"/>
        <rFont val="Arial"/>
        <family val="2"/>
        <charset val="238"/>
      </rPr>
      <t>) na psoriázu u dospělých pac. - k 1.6.2023</t>
    </r>
  </si>
  <si>
    <r>
      <rPr>
        <vertAlign val="superscript"/>
        <sz val="9"/>
        <rFont val="Arial"/>
        <family val="2"/>
        <charset val="238"/>
      </rPr>
      <t xml:space="preserve">1  </t>
    </r>
    <r>
      <rPr>
        <sz val="9"/>
        <rFont val="Arial"/>
        <family val="2"/>
        <charset val="238"/>
      </rPr>
      <t>dle zahraničních guidelinů při splnění 1. indikačního omezení v ČR dle SUKLu (viz sloupec E)</t>
    </r>
  </si>
  <si>
    <r>
      <rPr>
        <vertAlign val="superscript"/>
        <sz val="9"/>
        <rFont val="Arial"/>
        <family val="2"/>
        <charset val="238"/>
      </rPr>
      <t>2</t>
    </r>
    <r>
      <rPr>
        <sz val="9"/>
        <rFont val="Arial"/>
        <family val="2"/>
        <charset val="238"/>
      </rPr>
      <t xml:space="preserve"> po dočasném přerušení léčby biologikem (např. komplikované infekční onem.) je nutno podávat opětovně úvodní dávkování v případě, že od poslední dávky uběhly 3 - 4 biolog.poločasy</t>
    </r>
  </si>
  <si>
    <r>
      <rPr>
        <vertAlign val="superscript"/>
        <sz val="9"/>
        <rFont val="Arial"/>
        <family val="2"/>
        <charset val="238"/>
      </rPr>
      <t>3</t>
    </r>
    <r>
      <rPr>
        <sz val="9"/>
        <rFont val="Arial"/>
        <family val="2"/>
        <charset val="238"/>
      </rPr>
      <t xml:space="preserve"> některé autority doporučují switching bez wash-out periody, jiní (mj. také anglický guideline) doporučují zvážit 1 měsíční wash-out periodu nebo délku léčebného cyklu (podle toho co je delší), jiní zase doporučují převod po uplynutí 3 - 4 biolog.poločasů - dle amerického guidelinu chybí pro zvolení optimálního managementu validní data</t>
    </r>
  </si>
  <si>
    <r>
      <rPr>
        <vertAlign val="superscript"/>
        <sz val="9"/>
        <rFont val="Arial"/>
        <family val="2"/>
        <charset val="238"/>
      </rPr>
      <t>4</t>
    </r>
    <r>
      <rPr>
        <sz val="9"/>
        <rFont val="Arial"/>
        <family val="2"/>
        <charset val="238"/>
      </rPr>
      <t xml:space="preserve"> v zahraničních guidelinech (např. anglický, americký) existují doporučení navýšení dávek u některých biologik v případě nedosažení účinnosti či vyšší tělesné hmotnosti - v ČR je to off-label nebo mimo úhradové podmínky (viz např. ustekinumab)</t>
    </r>
  </si>
  <si>
    <r>
      <rPr>
        <vertAlign val="superscript"/>
        <sz val="9"/>
        <rFont val="Arial"/>
        <family val="2"/>
        <charset val="238"/>
      </rPr>
      <t>5</t>
    </r>
    <r>
      <rPr>
        <sz val="9"/>
        <rFont val="Arial"/>
        <family val="2"/>
        <charset val="238"/>
      </rPr>
      <t xml:space="preserve"> dle amerického guidelinu je toto dávkování doporučeno pro pacienty s těl.hmotností menší než 90kg, pro ostatní dospělé je doporučeno dávkování 400mg každý druhý týden.</t>
    </r>
  </si>
  <si>
    <r>
      <rPr>
        <vertAlign val="superscript"/>
        <sz val="9"/>
        <rFont val="Arial"/>
        <family val="2"/>
        <charset val="238"/>
      </rPr>
      <t xml:space="preserve">13 </t>
    </r>
    <r>
      <rPr>
        <b/>
        <u/>
        <sz val="9"/>
        <rFont val="Arial"/>
        <family val="2"/>
        <charset val="238"/>
      </rPr>
      <t>NÚ je nutno vždy posuzovat v kontextu rizik řady chorob následekem psoriázy a v kontextu s riziky ostatních léčiv (nebiologik !!) používaných při léčbě psoriázy - dle níže uvedeného zdroje je incidence NÚ na 100 pacientoroků následující:</t>
    </r>
    <r>
      <rPr>
        <u/>
        <sz val="9"/>
        <rFont val="Arial"/>
        <family val="2"/>
        <charset val="238"/>
      </rPr>
      <t xml:space="preserve"> </t>
    </r>
  </si>
  <si>
    <r>
      <rPr>
        <vertAlign val="superscript"/>
        <sz val="9"/>
        <rFont val="Arial"/>
        <family val="2"/>
        <charset val="238"/>
      </rPr>
      <t>9</t>
    </r>
    <r>
      <rPr>
        <sz val="9"/>
        <rFont val="Arial"/>
        <family val="2"/>
        <charset val="238"/>
      </rPr>
      <t xml:space="preserve"> Strukturované podání HUMIRA, systémová léčba psoriázy od AbbVie z 18.3.2020 - ze spisu zn. SUKLS237340/2020 k HUMIRA z www.sukl.cz</t>
    </r>
  </si>
  <si>
    <r>
      <rPr>
        <vertAlign val="superscript"/>
        <sz val="9"/>
        <rFont val="Arial"/>
        <family val="2"/>
        <charset val="238"/>
      </rPr>
      <t>30</t>
    </r>
    <r>
      <rPr>
        <sz val="9"/>
        <rFont val="Arial"/>
        <family val="2"/>
        <charset val="238"/>
      </rPr>
      <t xml:space="preserve"> Mrowietz U, et al. Efficacy and safety of LAS41008 (dimethyl fumarate) in adults with moderate-to-severe chronic plaque psoriasis: a randomized, double-blind, Fumaderm®- and placebo-controlled trial (BRIDGE). </t>
    </r>
    <r>
      <rPr>
        <i/>
        <sz val="9"/>
        <rFont val="Arial"/>
        <family val="2"/>
        <charset val="238"/>
      </rPr>
      <t>British Journal of Dermatology</t>
    </r>
    <r>
      <rPr>
        <sz val="9"/>
        <rFont val="Arial"/>
        <family val="2"/>
        <charset val="238"/>
      </rPr>
      <t xml:space="preserve"> (2017) 176: 615–623</t>
    </r>
  </si>
  <si>
    <r>
      <rPr>
        <vertAlign val="superscript"/>
        <sz val="9"/>
        <rFont val="Arial"/>
        <family val="2"/>
        <charset val="238"/>
      </rPr>
      <t>31</t>
    </r>
    <r>
      <rPr>
        <sz val="9"/>
        <rFont val="Arial"/>
        <family val="2"/>
        <charset val="238"/>
      </rPr>
      <t xml:space="preserve"> Augustin M, et al. Long-Term Treatment with Dimethyl Fumarate for Plaque Psoriasis in Routine Practice: Good Overall Effectiveness and Positive Effect on Impactful Areas. </t>
    </r>
    <r>
      <rPr>
        <i/>
        <sz val="9"/>
        <rFont val="Arial"/>
        <family val="2"/>
        <charset val="238"/>
      </rPr>
      <t>Dermatol Ther (Heidelb)</t>
    </r>
    <r>
      <rPr>
        <sz val="9"/>
        <rFont val="Arial"/>
        <family val="2"/>
        <charset val="238"/>
      </rPr>
      <t xml:space="preserve"> (2022) 12:1121–1131</t>
    </r>
  </si>
  <si>
    <r>
      <rPr>
        <vertAlign val="superscript"/>
        <sz val="9"/>
        <rFont val="Arial"/>
        <family val="2"/>
        <charset val="238"/>
      </rPr>
      <t xml:space="preserve">32 </t>
    </r>
    <r>
      <rPr>
        <sz val="9"/>
        <rFont val="Arial"/>
        <family val="2"/>
        <charset val="238"/>
      </rPr>
      <t xml:space="preserve"> Pellacani G, et al. Efficacy and Safety of Dimethyl Fumarate in Patients with Moderate-to-Severe Plaque Psoriasis: DIMESKIN-2, a Multicentre Single-Arm Phase IIIb Study. </t>
    </r>
    <r>
      <rPr>
        <i/>
        <sz val="9"/>
        <rFont val="Arial"/>
        <family val="2"/>
        <charset val="238"/>
      </rPr>
      <t>J. Clin. Med.</t>
    </r>
    <r>
      <rPr>
        <sz val="9"/>
        <rFont val="Arial"/>
        <family val="2"/>
        <charset val="238"/>
      </rPr>
      <t xml:space="preserve"> 2022, 11, 4778. https://doi.org/10.3390/jcm11164778</t>
    </r>
  </si>
  <si>
    <r>
      <t xml:space="preserve">SKILARENCE  120mg tbl ent 90                                                    </t>
    </r>
    <r>
      <rPr>
        <sz val="9"/>
        <rFont val="Arial"/>
        <family val="2"/>
        <charset val="238"/>
      </rPr>
      <t>(</t>
    </r>
    <r>
      <rPr>
        <u/>
        <sz val="9"/>
        <rFont val="Arial"/>
        <family val="2"/>
        <charset val="238"/>
      </rPr>
      <t>při průměr. udrž.dávce 120mg/den v 52. týdnu dle</t>
    </r>
    <r>
      <rPr>
        <u/>
        <vertAlign val="superscript"/>
        <sz val="9"/>
        <rFont val="Arial"/>
        <family val="2"/>
        <charset val="238"/>
      </rPr>
      <t>31</t>
    </r>
    <r>
      <rPr>
        <sz val="9"/>
        <rFont val="Arial"/>
        <family val="2"/>
        <charset val="238"/>
      </rPr>
      <t>)</t>
    </r>
  </si>
  <si>
    <r>
      <t xml:space="preserve">SKILARENCE  120mg tbl ent 90                                                    </t>
    </r>
    <r>
      <rPr>
        <sz val="9"/>
        <rFont val="Arial"/>
        <family val="2"/>
        <charset val="238"/>
      </rPr>
      <t>(</t>
    </r>
    <r>
      <rPr>
        <u/>
        <sz val="9"/>
        <rFont val="Arial"/>
        <family val="2"/>
        <charset val="238"/>
      </rPr>
      <t>při průměr. udrž.dávce 480mg/den v 52. týdnu dle</t>
    </r>
    <r>
      <rPr>
        <u/>
        <vertAlign val="superscript"/>
        <sz val="9"/>
        <rFont val="Arial"/>
        <family val="2"/>
        <charset val="238"/>
      </rPr>
      <t>31,32</t>
    </r>
    <r>
      <rPr>
        <sz val="9"/>
        <rFont val="Arial"/>
        <family val="2"/>
        <charset val="238"/>
      </rPr>
      <t>)</t>
    </r>
  </si>
  <si>
    <t>SKILARENCE  120mg tbl ent 90   (při postupné titraci do dávky 600mg/den v 8.-16. týdnu dle30) - dimethylfumarát</t>
  </si>
  <si>
    <r>
      <t>SKILARENCE  120mg tbl ent 90   (při postupné titraci do dávky 600mg/den v 8.-16. týdnu dle</t>
    </r>
    <r>
      <rPr>
        <vertAlign val="superscript"/>
        <sz val="9"/>
        <rFont val="Arial"/>
        <family val="2"/>
        <charset val="238"/>
      </rPr>
      <t>30</t>
    </r>
    <r>
      <rPr>
        <sz val="9"/>
        <rFont val="Arial"/>
        <family val="2"/>
        <charset val="238"/>
      </rPr>
      <t>) - DMF - PRVNÍCH 16 TÝDNŮ</t>
    </r>
  </si>
  <si>
    <r>
      <t xml:space="preserve">SKILARENCE  120mg tbl ent 90                                                    </t>
    </r>
    <r>
      <rPr>
        <sz val="9"/>
        <rFont val="Arial"/>
        <family val="2"/>
        <charset val="238"/>
      </rPr>
      <t xml:space="preserve">(u 42x 30mg  je NCSD 635,00 Kč, </t>
    </r>
    <r>
      <rPr>
        <u/>
        <sz val="9"/>
        <rFont val="Arial"/>
        <family val="2"/>
        <charset val="238"/>
      </rPr>
      <t>při postupné titraci do dávky 600mg/den v 8.-16. týdnu dle</t>
    </r>
    <r>
      <rPr>
        <u/>
        <vertAlign val="superscript"/>
        <sz val="9"/>
        <rFont val="Arial"/>
        <family val="2"/>
        <charset val="238"/>
      </rPr>
      <t>30</t>
    </r>
    <r>
      <rPr>
        <sz val="9"/>
        <rFont val="Arial"/>
        <family val="2"/>
        <charset val="238"/>
      </rPr>
      <t>)</t>
    </r>
  </si>
  <si>
    <r>
      <rPr>
        <vertAlign val="superscript"/>
        <sz val="8"/>
        <rFont val="Arial"/>
        <family val="2"/>
        <charset val="238"/>
      </rPr>
      <t>30</t>
    </r>
    <r>
      <rPr>
        <sz val="8"/>
        <rFont val="Arial"/>
        <family val="2"/>
        <charset val="238"/>
      </rPr>
      <t xml:space="preserve"> Mrowietz U, et al. Efficacy and safety of LAS41008 (dimethyl fumarate) in adults with moderate-to-severe chronic plaque psoriasis: a randomized, double-blind, Fumaderm®- and placebo-controlled trial (BRIDGE). </t>
    </r>
    <r>
      <rPr>
        <i/>
        <sz val="8"/>
        <rFont val="Arial"/>
        <family val="2"/>
        <charset val="238"/>
      </rPr>
      <t>British Journal of Dermatology</t>
    </r>
    <r>
      <rPr>
        <sz val="8"/>
        <rFont val="Arial"/>
        <family val="2"/>
        <charset val="238"/>
      </rPr>
      <t xml:space="preserve"> (2017) 176: 615–623</t>
    </r>
  </si>
  <si>
    <r>
      <rPr>
        <vertAlign val="superscript"/>
        <sz val="8"/>
        <rFont val="Arial"/>
        <family val="2"/>
        <charset val="238"/>
      </rPr>
      <t>31</t>
    </r>
    <r>
      <rPr>
        <sz val="8"/>
        <rFont val="Arial"/>
        <family val="2"/>
        <charset val="238"/>
      </rPr>
      <t xml:space="preserve"> Augustin M, et al. Long-Term Treatment with Dimethyl Fumarate for Plaque Psoriasis in Routine Practice: Good Overall Effectiveness and Positive Effect on Impactful Areas. </t>
    </r>
    <r>
      <rPr>
        <i/>
        <sz val="8"/>
        <rFont val="Arial"/>
        <family val="2"/>
        <charset val="238"/>
      </rPr>
      <t>Dermatol Ther (Heidelb)</t>
    </r>
    <r>
      <rPr>
        <sz val="8"/>
        <rFont val="Arial"/>
        <family val="2"/>
        <charset val="238"/>
      </rPr>
      <t xml:space="preserve"> (2022) 12:1121–1131</t>
    </r>
  </si>
  <si>
    <r>
      <rPr>
        <vertAlign val="superscript"/>
        <sz val="8"/>
        <rFont val="Arial"/>
        <family val="2"/>
        <charset val="238"/>
      </rPr>
      <t xml:space="preserve">32 </t>
    </r>
    <r>
      <rPr>
        <sz val="8"/>
        <rFont val="Arial"/>
        <family val="2"/>
        <charset val="238"/>
      </rPr>
      <t xml:space="preserve"> Pellacani G, et al. Efficacy and Safety of Dimethyl Fumarate in Patients with Moderate-to-Severe Plaque Psoriasis: DIMESKIN-2, a Multicentre Single-Arm Phase IIIb Study. </t>
    </r>
    <r>
      <rPr>
        <i/>
        <sz val="8"/>
        <rFont val="Arial"/>
        <family val="2"/>
        <charset val="238"/>
      </rPr>
      <t>J. Clin. Med.</t>
    </r>
    <r>
      <rPr>
        <sz val="8"/>
        <rFont val="Arial"/>
        <family val="2"/>
        <charset val="238"/>
      </rPr>
      <t xml:space="preserve"> 2022, 11, 4778. https://doi.org/10.3390/jcm11164778</t>
    </r>
  </si>
  <si>
    <r>
      <rPr>
        <b/>
        <u/>
        <sz val="10"/>
        <rFont val="Arial"/>
        <family val="2"/>
        <charset val="238"/>
      </rPr>
      <t>účinnos</t>
    </r>
    <r>
      <rPr>
        <b/>
        <sz val="10"/>
        <rFont val="Arial"/>
        <family val="2"/>
        <charset val="238"/>
      </rPr>
      <t>t</t>
    </r>
    <r>
      <rPr>
        <sz val="10"/>
        <rFont val="Arial"/>
        <family val="2"/>
        <charset val="238"/>
      </rPr>
      <t xml:space="preserve">   </t>
    </r>
    <r>
      <rPr>
        <u/>
        <sz val="10"/>
        <rFont val="Arial"/>
        <family val="2"/>
        <charset val="238"/>
      </rPr>
      <t xml:space="preserve"> </t>
    </r>
    <r>
      <rPr>
        <sz val="10"/>
        <rFont val="Arial"/>
        <family val="2"/>
        <charset val="238"/>
      </rPr>
      <t xml:space="preserve">                      </t>
    </r>
    <r>
      <rPr>
        <sz val="9"/>
        <rFont val="Arial"/>
        <family val="2"/>
        <charset val="238"/>
      </rPr>
      <t xml:space="preserve">         </t>
    </r>
    <r>
      <rPr>
        <b/>
        <sz val="9"/>
        <rFont val="Arial"/>
        <family val="2"/>
        <charset val="238"/>
      </rPr>
      <t>(% dosažení PASI 75 (bod. hodnota) po 16 týdnech)</t>
    </r>
    <r>
      <rPr>
        <sz val="9"/>
        <rFont val="Arial"/>
        <family val="2"/>
        <charset val="238"/>
      </rPr>
      <t xml:space="preserve"> </t>
    </r>
    <r>
      <rPr>
        <sz val="8"/>
        <rFont val="Arial"/>
        <family val="2"/>
        <charset val="238"/>
      </rPr>
      <t>-                                                 dle</t>
    </r>
    <r>
      <rPr>
        <vertAlign val="superscript"/>
        <sz val="8"/>
        <rFont val="Arial"/>
        <family val="2"/>
        <charset val="238"/>
      </rPr>
      <t>4</t>
    </r>
    <r>
      <rPr>
        <sz val="8"/>
        <rFont val="Arial"/>
        <family val="2"/>
        <charset val="238"/>
      </rPr>
      <t>, u placeba dle</t>
    </r>
    <r>
      <rPr>
        <vertAlign val="superscript"/>
        <sz val="8"/>
        <rFont val="Arial"/>
        <family val="2"/>
        <charset val="238"/>
      </rPr>
      <t>9</t>
    </r>
  </si>
  <si>
    <r>
      <t>SKILARENCE  120mg tbl ent 90                                                                 (</t>
    </r>
    <r>
      <rPr>
        <u/>
        <sz val="9"/>
        <rFont val="Arial"/>
        <family val="2"/>
        <charset val="238"/>
      </rPr>
      <t>při průměr. udrž.dávce 480mg/den v 52. týdnu dle</t>
    </r>
    <r>
      <rPr>
        <u/>
        <vertAlign val="superscript"/>
        <sz val="9"/>
        <rFont val="Arial"/>
        <family val="2"/>
        <charset val="238"/>
      </rPr>
      <t>31,32</t>
    </r>
    <r>
      <rPr>
        <sz val="9"/>
        <rFont val="Arial"/>
        <family val="2"/>
        <charset val="238"/>
      </rPr>
      <t>)</t>
    </r>
  </si>
  <si>
    <r>
      <t>SKILARENCE  120mg tbl ent 90                                                                   (</t>
    </r>
    <r>
      <rPr>
        <u/>
        <sz val="9"/>
        <rFont val="Arial"/>
        <family val="2"/>
        <charset val="238"/>
      </rPr>
      <t>při průměr. udrž.dávce 120mg/den v 52. týdnu dle</t>
    </r>
    <r>
      <rPr>
        <u/>
        <vertAlign val="superscript"/>
        <sz val="9"/>
        <rFont val="Arial"/>
        <family val="2"/>
        <charset val="238"/>
      </rPr>
      <t>31</t>
    </r>
    <r>
      <rPr>
        <sz val="9"/>
        <rFont val="Arial"/>
        <family val="2"/>
        <charset val="238"/>
      </rPr>
      <t>)</t>
    </r>
  </si>
  <si>
    <r>
      <t>TREXAN NEO 10mg tbl 100 (při dávce 2x 10mg týdně</t>
    </r>
    <r>
      <rPr>
        <vertAlign val="superscript"/>
        <sz val="9"/>
        <rFont val="Arial"/>
        <family val="2"/>
        <charset val="238"/>
      </rPr>
      <t>9</t>
    </r>
    <r>
      <rPr>
        <sz val="9"/>
        <rFont val="Arial"/>
        <family val="2"/>
        <charset val="238"/>
      </rPr>
      <t>) - methotrexat - ROK UDRŽOVACÍ LÉČBY</t>
    </r>
  </si>
  <si>
    <r>
      <t>EQUORAL 100mg cps 50 (ceny jsou pro 80kg pac., při 2,5mg /kg denně</t>
    </r>
    <r>
      <rPr>
        <vertAlign val="superscript"/>
        <sz val="9"/>
        <rFont val="Arial"/>
        <family val="2"/>
        <charset val="238"/>
      </rPr>
      <t>9</t>
    </r>
    <r>
      <rPr>
        <sz val="9"/>
        <rFont val="Arial"/>
        <family val="2"/>
        <charset val="238"/>
      </rPr>
      <t xml:space="preserve"> - tj. 2x 100mg denně) - ciclosporin - ROK UDRŽOVACÍ LÉČBY</t>
    </r>
  </si>
  <si>
    <r>
      <t>NEOTIGASON 10mg cps dur 30 (při dávce 30mg denně</t>
    </r>
    <r>
      <rPr>
        <vertAlign val="superscript"/>
        <sz val="9"/>
        <rFont val="Arial"/>
        <family val="2"/>
        <charset val="238"/>
      </rPr>
      <t>9</t>
    </r>
    <r>
      <rPr>
        <sz val="9"/>
        <rFont val="Arial"/>
        <family val="2"/>
        <charset val="238"/>
      </rPr>
      <t>) - acitretin - ROK UDRŽOVACÍ LÉČBY</t>
    </r>
  </si>
  <si>
    <r>
      <rPr>
        <b/>
        <u/>
        <sz val="10"/>
        <rFont val="Arial"/>
        <family val="2"/>
        <charset val="238"/>
      </rPr>
      <t>perzistenc</t>
    </r>
    <r>
      <rPr>
        <b/>
        <sz val="10"/>
        <rFont val="Arial"/>
        <family val="2"/>
        <charset val="238"/>
      </rPr>
      <t>e</t>
    </r>
    <r>
      <rPr>
        <sz val="10"/>
        <rFont val="Arial"/>
        <family val="2"/>
        <charset val="238"/>
      </rPr>
      <t xml:space="preserve">   </t>
    </r>
    <r>
      <rPr>
        <u/>
        <sz val="10"/>
        <rFont val="Arial"/>
        <family val="2"/>
        <charset val="238"/>
      </rPr>
      <t xml:space="preserve"> </t>
    </r>
    <r>
      <rPr>
        <sz val="10"/>
        <rFont val="Arial"/>
        <family val="2"/>
        <charset val="238"/>
      </rPr>
      <t xml:space="preserve">                      </t>
    </r>
    <r>
      <rPr>
        <sz val="9"/>
        <rFont val="Arial"/>
        <family val="2"/>
        <charset val="238"/>
      </rPr>
      <t xml:space="preserve">         </t>
    </r>
    <r>
      <rPr>
        <b/>
        <sz val="9"/>
        <rFont val="Arial"/>
        <family val="2"/>
        <charset val="238"/>
      </rPr>
      <t>(udržení (% pacientů) na léčbě po 1 roce)</t>
    </r>
    <r>
      <rPr>
        <sz val="9"/>
        <rFont val="Arial"/>
        <family val="2"/>
        <charset val="238"/>
      </rPr>
      <t xml:space="preserve"> </t>
    </r>
    <r>
      <rPr>
        <sz val="8"/>
        <rFont val="Arial"/>
        <family val="2"/>
        <charset val="238"/>
      </rPr>
      <t>- rozmezí dle min./max. dle zdrojů</t>
    </r>
    <r>
      <rPr>
        <vertAlign val="superscript"/>
        <sz val="8"/>
        <rFont val="Arial"/>
        <family val="2"/>
        <charset val="238"/>
      </rPr>
      <t>33,</t>
    </r>
  </si>
  <si>
    <t>jednotková cena s DPH k 4.4.2024</t>
  </si>
  <si>
    <t>jednotková cena s DPH při zohlednění obratových bonusů k 4.4.2024</t>
  </si>
  <si>
    <t xml:space="preserve"> </t>
  </si>
  <si>
    <t>Od obratu 7 529 823 Kč/Q  je 8%</t>
  </si>
  <si>
    <t>při obratu 4 mil/rok je bonus 13%</t>
  </si>
  <si>
    <t>při předpokl.obratu 7,6-8 mil/HY bonus 5 %</t>
  </si>
  <si>
    <t>při obratu 4,8 mil/rok</t>
  </si>
  <si>
    <r>
      <t xml:space="preserve">1.  s PsA i bez PsA                                                                </t>
    </r>
    <r>
      <rPr>
        <b/>
        <sz val="9"/>
        <rFont val="Arial"/>
        <family val="2"/>
        <charset val="238"/>
      </rPr>
      <t xml:space="preserve">(pokud není TNFi KI)  </t>
    </r>
    <r>
      <rPr>
        <b/>
        <sz val="11"/>
        <rFont val="Arial"/>
        <family val="2"/>
        <charset val="238"/>
      </rPr>
      <t xml:space="preserve"> </t>
    </r>
  </si>
  <si>
    <t>1. vyjímečně jen při určitých form. psoriázy,                                                        jinak 4. (TNFi) s PsA i bez PsA</t>
  </si>
  <si>
    <t>2.-3. (TNFi) s PsA i bez PsA</t>
  </si>
  <si>
    <t>COSENTYX - SKYRIZI</t>
  </si>
  <si>
    <t>COSENTYX - TREMFYA</t>
  </si>
  <si>
    <r>
      <rPr>
        <b/>
        <u/>
        <sz val="8"/>
        <rFont val="Arial"/>
        <family val="2"/>
        <charset val="238"/>
      </rPr>
      <t>CAVE! jen pro 2. linii</t>
    </r>
    <r>
      <rPr>
        <sz val="8"/>
        <rFont val="Arial"/>
        <family val="2"/>
        <charset val="238"/>
      </rPr>
      <t xml:space="preserve">:  "u kterých je zároveň splněno alespoň jedno z násled. kritérií: - </t>
    </r>
    <r>
      <rPr>
        <u/>
        <sz val="8"/>
        <rFont val="Arial"/>
        <family val="2"/>
        <charset val="238"/>
      </rPr>
      <t>nedošlo k dosažení PASI 50 po 3, resp. 4 měsících (podle druhu LP) předchozí biolog. léčby</t>
    </r>
    <r>
      <rPr>
        <sz val="8"/>
        <rFont val="Arial"/>
        <family val="2"/>
        <charset val="238"/>
      </rPr>
      <t>; - došlo k poklesu účinnosti zavedené biolog. léčby pod PASI 50 nebo při účinnosti v intervalu PASI 50 - 75, je-li současně hodnota DLQI větší nebo rovna 5; - je KI jiná biolog. léčba, nebo je předchozí biolog. léčba ukončena z důvodu nežádoucích účinků. Ukončení léčby tildrakizumabem nebo přímé převedení na další biologikum je indikováno v případě: - nedosažení hodnoty PASI 50 po 16 týdnech léčby tildrakizumabem - poklesu účinnosti zavedené biologické léčby tildrakizumabem pod PASI 50 nebo v intervalu PASI 50 - 75, ale se současnou hodnotou DLQI větší nebo rovno 5.</t>
    </r>
  </si>
  <si>
    <t xml:space="preserve">1. (non TNFi, non IL-23i) s PsA  (samotná PsA nehrazena)             2. (non TNFi, non-IL-23i) bez PsA                                                           </t>
  </si>
  <si>
    <r>
      <t>2. (non TNFi, non IL-23i) s PsA  (</t>
    </r>
    <r>
      <rPr>
        <sz val="9"/>
        <color rgb="FF0000FF"/>
        <rFont val="Arial"/>
        <family val="2"/>
        <charset val="238"/>
      </rPr>
      <t>samotná PsA také hrazena!</t>
    </r>
    <r>
      <rPr>
        <sz val="9"/>
        <rFont val="Arial"/>
        <family val="2"/>
        <charset val="238"/>
      </rPr>
      <t>)                                                                                     3. (non TNFi, non IL-23i) bez PsA</t>
    </r>
  </si>
  <si>
    <r>
      <t>3. (non TNFi, non IL-23i) s PsA  (</t>
    </r>
    <r>
      <rPr>
        <sz val="9"/>
        <color rgb="FF0000FF"/>
        <rFont val="Arial"/>
        <family val="2"/>
        <charset val="238"/>
      </rPr>
      <t>samotná PsA také hrazena!</t>
    </r>
    <r>
      <rPr>
        <sz val="9"/>
        <rFont val="Arial"/>
        <family val="2"/>
        <charset val="238"/>
      </rPr>
      <t>)                                                                                 4. (non TNFi, non IL-23i) bez PsA</t>
    </r>
  </si>
  <si>
    <t>počet pacientů k 15.3.2024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</si>
</sst>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č&quot;_-;\-* #,##0.00\ &quot;Kč&quot;_-;_-* &quot;-&quot;??\ &quot;Kč&quot;_-;_-@_-"/>
    <numFmt numFmtId="43" formatCode="_-* #,##0.00\ _K_č_-;\-* #,##0.00\ _K_č_-;_-* &quot;-&quot;??\ _K_č_-;_-@_-"/>
    <numFmt numFmtId="164" formatCode="#,##0\ &quot;Kč&quot;"/>
    <numFmt numFmtId="165" formatCode="_-* #,##0\ [$Kč-405]_-;\-* #,##0\ [$Kč-405]_-;_-* &quot;-&quot;??\ [$Kč-405]_-;_-@_-"/>
    <numFmt numFmtId="166" formatCode="0.0"/>
    <numFmt numFmtId="167" formatCode="0.000"/>
    <numFmt numFmtId="168" formatCode="_-* #,##0\ &quot;Kč&quot;_-;\-* #,##0\ &quot;Kč&quot;_-;_-* &quot;-&quot;??\ &quot;Kč&quot;_-;_-@_-"/>
    <numFmt numFmtId="169" formatCode="0.0%"/>
  </numFmts>
  <fonts count="67" x14ac:knownFonts="1">
    <font>
      <sz val="10"/>
      <name val="Arial"/>
      <charset val="238"/>
    </font>
    <font>
      <sz val="8"/>
      <name val="Arial"/>
      <family val="2"/>
      <charset val="238"/>
    </font>
    <font>
      <sz val="9"/>
      <name val="Arial"/>
      <family val="2"/>
      <charset val="238"/>
    </font>
    <font>
      <sz val="9"/>
      <color indexed="12"/>
      <name val="Arial"/>
      <family val="2"/>
      <charset val="238"/>
    </font>
    <font>
      <b/>
      <sz val="9"/>
      <name val="Arial"/>
      <family val="2"/>
      <charset val="238"/>
    </font>
    <font>
      <sz val="11"/>
      <name val="Arial"/>
      <family val="2"/>
      <charset val="238"/>
    </font>
    <font>
      <sz val="10"/>
      <name val="Arial"/>
      <family val="2"/>
      <charset val="238"/>
    </font>
    <font>
      <sz val="12"/>
      <name val="Arial"/>
      <family val="2"/>
      <charset val="238"/>
    </font>
    <font>
      <sz val="14"/>
      <name val="Arial"/>
      <family val="2"/>
      <charset val="238"/>
    </font>
    <font>
      <b/>
      <sz val="12"/>
      <name val="Arial"/>
      <family val="2"/>
      <charset val="238"/>
    </font>
    <font>
      <b/>
      <sz val="8"/>
      <name val="Arial"/>
      <family val="2"/>
      <charset val="238"/>
    </font>
    <font>
      <b/>
      <sz val="10"/>
      <name val="Arial"/>
      <family val="2"/>
      <charset val="238"/>
    </font>
    <font>
      <sz val="10"/>
      <name val="Arial"/>
      <family val="2"/>
      <charset val="238"/>
    </font>
    <font>
      <sz val="10"/>
      <color indexed="12"/>
      <name val="Arial"/>
      <family val="2"/>
      <charset val="238"/>
    </font>
    <font>
      <strike/>
      <sz val="10"/>
      <name val="Arial"/>
      <family val="2"/>
      <charset val="238"/>
    </font>
    <font>
      <b/>
      <sz val="10"/>
      <name val="Arial Black"/>
      <family val="2"/>
      <charset val="238"/>
    </font>
    <font>
      <i/>
      <sz val="10"/>
      <name val="Stencil"/>
      <family val="5"/>
    </font>
    <font>
      <i/>
      <strike/>
      <sz val="10"/>
      <name val="Stencil"/>
      <family val="5"/>
    </font>
    <font>
      <b/>
      <sz val="10"/>
      <name val="Batang"/>
      <family val="1"/>
      <charset val="238"/>
    </font>
    <font>
      <b/>
      <strike/>
      <sz val="10"/>
      <name val="Arial Black"/>
      <family val="2"/>
      <charset val="238"/>
    </font>
    <font>
      <i/>
      <u/>
      <sz val="10"/>
      <name val="Stencil"/>
      <family val="5"/>
    </font>
    <font>
      <b/>
      <strike/>
      <sz val="10"/>
      <name val="Batang"/>
      <family val="1"/>
      <charset val="238"/>
    </font>
    <font>
      <strike/>
      <sz val="10"/>
      <name val="Arial Black"/>
      <family val="2"/>
      <charset val="238"/>
    </font>
    <font>
      <vertAlign val="superscript"/>
      <sz val="10"/>
      <name val="Arial"/>
      <family val="2"/>
      <charset val="238"/>
    </font>
    <font>
      <u/>
      <sz val="8"/>
      <name val="Arial"/>
      <family val="2"/>
      <charset val="238"/>
    </font>
    <font>
      <i/>
      <u/>
      <sz val="8"/>
      <name val="Arial"/>
      <family val="2"/>
      <charset val="238"/>
    </font>
    <font>
      <b/>
      <u/>
      <sz val="8"/>
      <name val="Arial"/>
      <family val="2"/>
      <charset val="238"/>
    </font>
    <font>
      <b/>
      <sz val="11"/>
      <name val="Arial"/>
      <family val="2"/>
      <charset val="238"/>
    </font>
    <font>
      <b/>
      <sz val="10"/>
      <color theme="3" tint="0.39997558519241921"/>
      <name val="Arial"/>
      <family val="2"/>
      <charset val="238"/>
    </font>
    <font>
      <sz val="10"/>
      <color rgb="FFFF0000"/>
      <name val="Arial"/>
      <family val="2"/>
      <charset val="238"/>
    </font>
    <font>
      <i/>
      <u/>
      <vertAlign val="superscript"/>
      <sz val="8"/>
      <name val="Arial"/>
      <family val="2"/>
      <charset val="238"/>
    </font>
    <font>
      <i/>
      <sz val="8"/>
      <name val="Arial"/>
      <family val="2"/>
      <charset val="238"/>
    </font>
    <font>
      <vertAlign val="superscript"/>
      <sz val="9"/>
      <name val="Arial"/>
      <family val="2"/>
      <charset val="238"/>
    </font>
    <font>
      <u/>
      <sz val="10"/>
      <name val="Arial"/>
      <family val="2"/>
      <charset val="238"/>
    </font>
    <font>
      <u/>
      <sz val="9"/>
      <name val="Arial"/>
      <family val="2"/>
      <charset val="238"/>
    </font>
    <font>
      <b/>
      <sz val="16"/>
      <color rgb="FF000000"/>
      <name val="Calibri"/>
      <family val="2"/>
      <charset val="238"/>
    </font>
    <font>
      <b/>
      <u/>
      <sz val="10"/>
      <name val="Arial"/>
      <family val="2"/>
      <charset val="238"/>
    </font>
    <font>
      <b/>
      <sz val="10"/>
      <color theme="1"/>
      <name val="Arial"/>
      <family val="2"/>
      <charset val="238"/>
    </font>
    <font>
      <b/>
      <sz val="8"/>
      <color theme="1"/>
      <name val="Arial"/>
      <family val="2"/>
      <charset val="238"/>
    </font>
    <font>
      <sz val="10"/>
      <color theme="1"/>
      <name val="Arial"/>
      <family val="2"/>
      <charset val="238"/>
    </font>
    <font>
      <sz val="10"/>
      <name val="Calibri"/>
      <family val="2"/>
      <charset val="238"/>
    </font>
    <font>
      <i/>
      <sz val="11"/>
      <name val="Arial"/>
      <family val="2"/>
      <charset val="238"/>
    </font>
    <font>
      <b/>
      <i/>
      <sz val="10"/>
      <name val="Arial"/>
      <family val="2"/>
      <charset val="238"/>
    </font>
    <font>
      <sz val="10"/>
      <name val="Arial"/>
      <family val="2"/>
      <charset val="238"/>
    </font>
    <font>
      <sz val="10"/>
      <color theme="5" tint="-0.249977111117893"/>
      <name val="Arial"/>
      <family val="2"/>
      <charset val="238"/>
    </font>
    <font>
      <vertAlign val="superscript"/>
      <sz val="8"/>
      <name val="Arial"/>
      <family val="2"/>
      <charset val="238"/>
    </font>
    <font>
      <sz val="10"/>
      <color theme="1"/>
      <name val="Calibri"/>
      <family val="2"/>
      <charset val="238"/>
      <scheme val="minor"/>
    </font>
    <font>
      <sz val="9"/>
      <color theme="1"/>
      <name val="Calibri"/>
      <family val="2"/>
      <charset val="238"/>
      <scheme val="minor"/>
    </font>
    <font>
      <b/>
      <sz val="9"/>
      <color theme="1"/>
      <name val="Calibri"/>
      <family val="2"/>
      <charset val="238"/>
      <scheme val="minor"/>
    </font>
    <font>
      <b/>
      <u/>
      <sz val="9"/>
      <name val="Arial"/>
      <family val="2"/>
      <charset val="238"/>
    </font>
    <font>
      <sz val="9"/>
      <name val="Calibri"/>
      <family val="2"/>
      <charset val="238"/>
    </font>
    <font>
      <b/>
      <u/>
      <sz val="12"/>
      <name val="Arial"/>
      <family val="2"/>
      <charset val="238"/>
    </font>
    <font>
      <sz val="9"/>
      <color rgb="FF000000"/>
      <name val="Arial"/>
      <family val="2"/>
      <charset val="238"/>
    </font>
    <font>
      <sz val="6"/>
      <name val="Arial"/>
      <family val="2"/>
      <charset val="238"/>
    </font>
    <font>
      <u/>
      <vertAlign val="superscript"/>
      <sz val="8"/>
      <name val="Arial"/>
      <family val="2"/>
      <charset val="238"/>
    </font>
    <font>
      <b/>
      <sz val="14"/>
      <color rgb="FF000000"/>
      <name val="Calibri"/>
      <family val="2"/>
      <charset val="238"/>
    </font>
    <font>
      <b/>
      <sz val="7"/>
      <name val="Arial"/>
      <family val="2"/>
      <charset val="238"/>
    </font>
    <font>
      <b/>
      <sz val="14"/>
      <name val="Arial"/>
      <family val="2"/>
      <charset val="238"/>
    </font>
    <font>
      <b/>
      <u/>
      <sz val="9"/>
      <color rgb="FF0000FF"/>
      <name val="Arial"/>
      <family val="2"/>
      <charset val="238"/>
    </font>
    <font>
      <b/>
      <sz val="9"/>
      <color rgb="FF0000FF"/>
      <name val="Arial"/>
      <family val="2"/>
      <charset val="238"/>
    </font>
    <font>
      <sz val="9"/>
      <color rgb="FF0000FF"/>
      <name val="Arial"/>
      <family val="2"/>
      <charset val="238"/>
    </font>
    <font>
      <b/>
      <vertAlign val="superscript"/>
      <sz val="10"/>
      <color theme="1"/>
      <name val="Arial"/>
      <family val="2"/>
      <charset val="238"/>
    </font>
    <font>
      <b/>
      <sz val="7.5"/>
      <name val="Arial"/>
      <family val="2"/>
      <charset val="238"/>
    </font>
    <font>
      <u/>
      <vertAlign val="superscript"/>
      <sz val="9"/>
      <name val="Arial"/>
      <family val="2"/>
      <charset val="238"/>
    </font>
    <font>
      <sz val="7.5"/>
      <name val="Arial"/>
      <family val="2"/>
      <charset val="238"/>
    </font>
    <font>
      <i/>
      <sz val="9"/>
      <name val="Arial"/>
      <family val="2"/>
      <charset val="238"/>
    </font>
    <font>
      <sz val="9"/>
      <color indexed="81"/>
      <name val="Tahoma"/>
      <charset val="1"/>
    </font>
  </fonts>
  <fills count="2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3" tint="0.59996337778862885"/>
        <bgColor indexed="64"/>
      </patternFill>
    </fill>
    <fill>
      <patternFill patternType="solid">
        <fgColor theme="9" tint="0.3999450666829432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42E2F8"/>
        <bgColor indexed="64"/>
      </patternFill>
    </fill>
    <fill>
      <patternFill patternType="solid">
        <fgColor rgb="FF2CCCEC"/>
        <bgColor indexed="64"/>
      </patternFill>
    </fill>
    <fill>
      <patternFill patternType="solid">
        <fgColor rgb="FF00B050"/>
        <bgColor indexed="64"/>
      </patternFill>
    </fill>
    <fill>
      <patternFill patternType="solid">
        <fgColor rgb="FFFF66FF"/>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4F25"/>
        <bgColor indexed="64"/>
      </patternFill>
    </fill>
    <fill>
      <patternFill patternType="solid">
        <fgColor theme="4"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right/>
      <top style="thin">
        <color indexed="64"/>
      </top>
      <bottom style="thick">
        <color auto="1"/>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s>
  <cellStyleXfs count="5">
    <xf numFmtId="0" fontId="0" fillId="0" borderId="0"/>
    <xf numFmtId="43" fontId="12" fillId="0" borderId="0" applyFont="0" applyFill="0" applyBorder="0" applyAlignment="0" applyProtection="0"/>
    <xf numFmtId="9" fontId="6" fillId="0" borderId="0" applyFont="0" applyFill="0" applyBorder="0" applyAlignment="0" applyProtection="0"/>
    <xf numFmtId="44" fontId="43" fillId="0" borderId="0" applyFont="0" applyFill="0" applyBorder="0" applyAlignment="0" applyProtection="0"/>
    <xf numFmtId="0" fontId="6" fillId="0" borderId="0"/>
  </cellStyleXfs>
  <cellXfs count="511">
    <xf numFmtId="0" fontId="0" fillId="0" borderId="0" xfId="0"/>
    <xf numFmtId="0" fontId="5" fillId="0" borderId="0" xfId="0" applyFont="1"/>
    <xf numFmtId="0" fontId="7" fillId="0" borderId="0" xfId="0" applyFont="1"/>
    <xf numFmtId="0" fontId="6" fillId="0" borderId="0" xfId="0" applyFont="1"/>
    <xf numFmtId="0" fontId="7" fillId="0" borderId="0" xfId="0" applyFont="1" applyAlignment="1">
      <alignment horizontal="center"/>
    </xf>
    <xf numFmtId="0" fontId="0" fillId="0" borderId="0" xfId="0" applyBorder="1"/>
    <xf numFmtId="0" fontId="5" fillId="0" borderId="0" xfId="0" applyFont="1" applyBorder="1"/>
    <xf numFmtId="0" fontId="5" fillId="0" borderId="3" xfId="0" applyFont="1" applyBorder="1"/>
    <xf numFmtId="0" fontId="5" fillId="0" borderId="4" xfId="0" applyFont="1" applyBorder="1"/>
    <xf numFmtId="0" fontId="6" fillId="2" borderId="5" xfId="0" applyFont="1" applyFill="1" applyBorder="1"/>
    <xf numFmtId="0" fontId="9" fillId="0" borderId="0" xfId="0" applyFont="1" applyAlignment="1">
      <alignment horizontal="center"/>
    </xf>
    <xf numFmtId="0" fontId="9" fillId="0" borderId="8"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8" xfId="0" applyNumberFormat="1" applyFont="1" applyBorder="1" applyAlignment="1">
      <alignment horizontal="center" vertical="center"/>
    </xf>
    <xf numFmtId="0" fontId="9" fillId="2" borderId="6" xfId="0" applyFont="1" applyFill="1" applyBorder="1" applyAlignment="1">
      <alignment vertical="center"/>
    </xf>
    <xf numFmtId="0" fontId="9" fillId="0" borderId="7" xfId="0" applyNumberFormat="1" applyFont="1" applyBorder="1" applyAlignment="1">
      <alignment horizontal="center" vertical="center"/>
    </xf>
    <xf numFmtId="0" fontId="7" fillId="0" borderId="7" xfId="0" applyFont="1" applyBorder="1" applyAlignment="1">
      <alignment vertical="center"/>
    </xf>
    <xf numFmtId="0" fontId="7" fillId="0" borderId="8" xfId="0" applyFont="1" applyFill="1" applyBorder="1" applyAlignment="1">
      <alignment vertical="center"/>
    </xf>
    <xf numFmtId="0" fontId="7" fillId="0" borderId="8" xfId="0" applyFont="1" applyBorder="1" applyAlignment="1">
      <alignment vertical="center"/>
    </xf>
    <xf numFmtId="0" fontId="7" fillId="0" borderId="9" xfId="0" applyFont="1" applyFill="1" applyBorder="1" applyAlignment="1">
      <alignment vertical="center"/>
    </xf>
    <xf numFmtId="0" fontId="8" fillId="0" borderId="2" xfId="0" applyFont="1" applyFill="1" applyBorder="1" applyAlignment="1">
      <alignment vertical="center"/>
    </xf>
    <xf numFmtId="9" fontId="0" fillId="0" borderId="0" xfId="2" applyFont="1"/>
    <xf numFmtId="0" fontId="0" fillId="0" borderId="0" xfId="0" applyAlignment="1">
      <alignment wrapText="1"/>
    </xf>
    <xf numFmtId="0" fontId="0" fillId="0" borderId="0" xfId="0" applyBorder="1" applyAlignment="1">
      <alignment wrapText="1"/>
    </xf>
    <xf numFmtId="0" fontId="13" fillId="0" borderId="0" xfId="0" applyFont="1" applyBorder="1"/>
    <xf numFmtId="0" fontId="13" fillId="0" borderId="0" xfId="0" applyFont="1" applyBorder="1" applyAlignment="1">
      <alignment wrapText="1"/>
    </xf>
    <xf numFmtId="0" fontId="6" fillId="0" borderId="0" xfId="0" applyFont="1" applyBorder="1" applyAlignment="1">
      <alignment wrapText="1"/>
    </xf>
    <xf numFmtId="0" fontId="6" fillId="0" borderId="0" xfId="0" applyFont="1" applyFill="1" applyBorder="1" applyAlignment="1">
      <alignment wrapText="1"/>
    </xf>
    <xf numFmtId="0" fontId="0" fillId="0" borderId="0" xfId="0" applyBorder="1" applyAlignment="1">
      <alignment horizontal="center"/>
    </xf>
    <xf numFmtId="0" fontId="0" fillId="0" borderId="0" xfId="0" applyFill="1" applyBorder="1" applyAlignment="1">
      <alignment wrapText="1"/>
    </xf>
    <xf numFmtId="0" fontId="0" fillId="0" borderId="0" xfId="0"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0" xfId="0" applyFont="1" applyBorder="1" applyAlignment="1">
      <alignment horizontal="center" wrapText="1"/>
    </xf>
    <xf numFmtId="0" fontId="2" fillId="0" borderId="0" xfId="0" applyFont="1" applyBorder="1"/>
    <xf numFmtId="0" fontId="3" fillId="0" borderId="0" xfId="0" applyFont="1" applyBorder="1"/>
    <xf numFmtId="0" fontId="6" fillId="0" borderId="0" xfId="0" applyFont="1" applyBorder="1" applyAlignment="1">
      <alignment vertical="top" wrapText="1"/>
    </xf>
    <xf numFmtId="0" fontId="2" fillId="0" borderId="0" xfId="0" applyFont="1" applyBorder="1" applyAlignment="1">
      <alignment wrapText="1"/>
    </xf>
    <xf numFmtId="0" fontId="3" fillId="0" borderId="0" xfId="0" applyFont="1" applyBorder="1" applyAlignment="1">
      <alignment wrapText="1"/>
    </xf>
    <xf numFmtId="0" fontId="6" fillId="0" borderId="0" xfId="0" applyFont="1" applyBorder="1" applyAlignment="1">
      <alignment horizontal="center"/>
    </xf>
    <xf numFmtId="0" fontId="0" fillId="0" borderId="0" xfId="0" applyFont="1" applyBorder="1" applyAlignment="1">
      <alignment horizontal="center" wrapText="1"/>
    </xf>
    <xf numFmtId="0" fontId="6" fillId="0" borderId="0" xfId="0" applyFont="1" applyBorder="1" applyAlignment="1">
      <alignment horizontal="center" wrapText="1"/>
    </xf>
    <xf numFmtId="9" fontId="6" fillId="0" borderId="0" xfId="2" applyFont="1" applyFill="1" applyBorder="1" applyAlignment="1">
      <alignment wrapText="1"/>
    </xf>
    <xf numFmtId="0" fontId="14" fillId="0" borderId="0" xfId="0" applyFont="1" applyBorder="1" applyAlignment="1">
      <alignment wrapText="1"/>
    </xf>
    <xf numFmtId="0" fontId="6" fillId="0" borderId="0" xfId="0" applyFont="1" applyBorder="1"/>
    <xf numFmtId="0" fontId="15" fillId="0" borderId="0" xfId="0" applyFont="1" applyBorder="1" applyAlignment="1">
      <alignment horizontal="center"/>
    </xf>
    <xf numFmtId="0" fontId="15" fillId="0" borderId="0" xfId="0" applyFont="1" applyBorder="1" applyAlignment="1">
      <alignment wrapText="1"/>
    </xf>
    <xf numFmtId="0" fontId="14" fillId="0" borderId="0" xfId="0" applyFont="1" applyBorder="1" applyAlignment="1">
      <alignment horizontal="center"/>
    </xf>
    <xf numFmtId="0" fontId="14" fillId="0" borderId="0" xfId="0" applyFont="1" applyBorder="1" applyAlignment="1">
      <alignment horizontal="center" wrapText="1"/>
    </xf>
    <xf numFmtId="0" fontId="16" fillId="0" borderId="0" xfId="0" applyFont="1" applyBorder="1" applyAlignment="1">
      <alignment horizontal="center"/>
    </xf>
    <xf numFmtId="0" fontId="16" fillId="0" borderId="0" xfId="0" applyFont="1" applyBorder="1" applyAlignment="1">
      <alignment wrapText="1"/>
    </xf>
    <xf numFmtId="0" fontId="17" fillId="0" borderId="0" xfId="0" applyFont="1" applyBorder="1" applyAlignment="1">
      <alignment wrapText="1"/>
    </xf>
    <xf numFmtId="0" fontId="18" fillId="0" borderId="0" xfId="0" applyFont="1" applyBorder="1" applyAlignment="1">
      <alignment horizontal="center" wrapText="1"/>
    </xf>
    <xf numFmtId="0" fontId="18" fillId="0" borderId="0" xfId="0" applyFont="1" applyBorder="1" applyAlignment="1">
      <alignment wrapText="1"/>
    </xf>
    <xf numFmtId="0" fontId="18" fillId="0" borderId="0" xfId="0" applyFont="1" applyFill="1" applyBorder="1" applyAlignment="1">
      <alignment wrapText="1"/>
    </xf>
    <xf numFmtId="0" fontId="6" fillId="0" borderId="0" xfId="0" applyFont="1" applyBorder="1" applyAlignment="1">
      <alignment horizontal="left" wrapText="1"/>
    </xf>
    <xf numFmtId="0" fontId="15" fillId="0" borderId="0" xfId="0" applyFont="1" applyBorder="1" applyAlignment="1">
      <alignment horizontal="center" wrapText="1"/>
    </xf>
    <xf numFmtId="0" fontId="19" fillId="0" borderId="0" xfId="0" applyFont="1" applyBorder="1" applyAlignment="1">
      <alignment wrapText="1"/>
    </xf>
    <xf numFmtId="0" fontId="20" fillId="0" borderId="0" xfId="0" applyFont="1" applyBorder="1" applyAlignment="1">
      <alignment horizontal="center" wrapText="1"/>
    </xf>
    <xf numFmtId="0" fontId="6" fillId="0" borderId="0" xfId="0" applyFont="1" applyBorder="1" applyAlignment="1">
      <alignment wrapText="1" readingOrder="1"/>
    </xf>
    <xf numFmtId="0" fontId="1" fillId="0" borderId="0" xfId="0" applyFont="1" applyBorder="1" applyAlignment="1">
      <alignment wrapText="1"/>
    </xf>
    <xf numFmtId="0" fontId="1" fillId="0" borderId="0" xfId="0" applyFont="1" applyBorder="1" applyAlignment="1">
      <alignment horizontal="left" wrapText="1"/>
    </xf>
    <xf numFmtId="0" fontId="14" fillId="0" borderId="0" xfId="0" applyFont="1" applyBorder="1" applyAlignment="1">
      <alignment horizontal="left" wrapText="1"/>
    </xf>
    <xf numFmtId="0" fontId="18" fillId="0" borderId="0" xfId="0" applyFont="1" applyBorder="1" applyAlignment="1">
      <alignment horizontal="left" wrapText="1"/>
    </xf>
    <xf numFmtId="0" fontId="18" fillId="0" borderId="0" xfId="0" applyFont="1" applyBorder="1" applyAlignment="1">
      <alignment horizontal="center"/>
    </xf>
    <xf numFmtId="0" fontId="21" fillId="0" borderId="0" xfId="0" applyFont="1" applyBorder="1" applyAlignment="1">
      <alignment wrapText="1"/>
    </xf>
    <xf numFmtId="0" fontId="6" fillId="0" borderId="0" xfId="0" applyFont="1" applyFill="1" applyBorder="1"/>
    <xf numFmtId="0" fontId="6" fillId="0" borderId="0" xfId="0" applyFont="1" applyFill="1" applyBorder="1" applyAlignment="1">
      <alignment horizontal="center"/>
    </xf>
    <xf numFmtId="0" fontId="16" fillId="0" borderId="0" xfId="0" applyFont="1" applyFill="1" applyBorder="1" applyAlignment="1">
      <alignment horizontal="center"/>
    </xf>
    <xf numFmtId="0" fontId="16" fillId="0" borderId="0" xfId="0" applyFont="1" applyFill="1" applyBorder="1" applyAlignment="1">
      <alignment wrapText="1"/>
    </xf>
    <xf numFmtId="0" fontId="22" fillId="0" borderId="0" xfId="0" applyFont="1" applyBorder="1" applyAlignment="1">
      <alignment wrapText="1"/>
    </xf>
    <xf numFmtId="0" fontId="16" fillId="0" borderId="0" xfId="0" applyFont="1" applyBorder="1" applyAlignment="1">
      <alignment horizontal="center" wrapText="1"/>
    </xf>
    <xf numFmtId="0" fontId="0" fillId="0" borderId="0" xfId="0" applyFill="1" applyBorder="1" applyAlignment="1">
      <alignment horizontal="center"/>
    </xf>
    <xf numFmtId="0" fontId="0" fillId="0" borderId="0" xfId="0" applyFont="1" applyBorder="1" applyAlignment="1">
      <alignment wrapText="1"/>
    </xf>
    <xf numFmtId="0" fontId="1" fillId="0" borderId="0" xfId="0" applyFont="1" applyBorder="1" applyAlignment="1">
      <alignment horizontal="center" wrapText="1"/>
    </xf>
    <xf numFmtId="0" fontId="6" fillId="0" borderId="0" xfId="0" applyFont="1" applyBorder="1" applyAlignment="1"/>
    <xf numFmtId="9" fontId="0" fillId="0" borderId="0" xfId="2" applyFont="1" applyBorder="1"/>
    <xf numFmtId="0" fontId="0" fillId="0" borderId="10" xfId="0" applyBorder="1" applyAlignment="1">
      <alignment horizontal="center"/>
    </xf>
    <xf numFmtId="0" fontId="6" fillId="0" borderId="10" xfId="0" applyFont="1" applyBorder="1"/>
    <xf numFmtId="0" fontId="6" fillId="0" borderId="10" xfId="0" applyFont="1" applyBorder="1" applyAlignment="1">
      <alignment horizontal="center"/>
    </xf>
    <xf numFmtId="0" fontId="2" fillId="0" borderId="10" xfId="0" applyFont="1" applyBorder="1"/>
    <xf numFmtId="0" fontId="6" fillId="0" borderId="10" xfId="0" applyFont="1" applyBorder="1" applyAlignment="1">
      <alignment wrapText="1"/>
    </xf>
    <xf numFmtId="0" fontId="6" fillId="0" borderId="1" xfId="0" applyFont="1" applyBorder="1"/>
    <xf numFmtId="0" fontId="6"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1" fillId="0" borderId="1" xfId="0" applyFont="1" applyBorder="1" applyAlignment="1">
      <alignment horizontal="left" wrapText="1"/>
    </xf>
    <xf numFmtId="0" fontId="1" fillId="0" borderId="1" xfId="0" applyNumberFormat="1" applyFont="1" applyBorder="1" applyAlignment="1">
      <alignment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29" fillId="0" borderId="1" xfId="0" applyNumberFormat="1" applyFont="1" applyBorder="1" applyAlignment="1">
      <alignment horizontal="center" vertical="center" wrapText="1"/>
    </xf>
    <xf numFmtId="0" fontId="6" fillId="0" borderId="1" xfId="0" applyFont="1" applyBorder="1" applyAlignment="1">
      <alignment wrapText="1"/>
    </xf>
    <xf numFmtId="0" fontId="1" fillId="0" borderId="1" xfId="0" applyFont="1" applyBorder="1" applyAlignment="1">
      <alignment wrapText="1"/>
    </xf>
    <xf numFmtId="0" fontId="1" fillId="0" borderId="0" xfId="0" applyNumberFormat="1" applyFont="1" applyBorder="1" applyAlignment="1">
      <alignment wrapText="1"/>
    </xf>
    <xf numFmtId="0" fontId="1" fillId="0" borderId="1" xfId="0" applyFont="1" applyBorder="1" applyAlignment="1">
      <alignment horizontal="left" wrapText="1" shrinkToFit="1"/>
    </xf>
    <xf numFmtId="0" fontId="6" fillId="0" borderId="1" xfId="0" applyNumberFormat="1" applyFont="1" applyBorder="1" applyAlignment="1">
      <alignment horizontal="left" vertical="center" wrapText="1"/>
    </xf>
    <xf numFmtId="0" fontId="2" fillId="0" borderId="1" xfId="0" applyFont="1" applyBorder="1" applyAlignment="1">
      <alignment vertical="center" wrapText="1"/>
    </xf>
    <xf numFmtId="0" fontId="11" fillId="0" borderId="1" xfId="0" applyNumberFormat="1" applyFont="1" applyBorder="1" applyAlignment="1">
      <alignment horizontal="left" vertical="center" wrapText="1"/>
    </xf>
    <xf numFmtId="0" fontId="6" fillId="3" borderId="1"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3" borderId="1" xfId="0" applyFont="1" applyFill="1" applyBorder="1" applyAlignment="1">
      <alignment horizontal="center" vertical="center" textRotation="90" wrapText="1"/>
    </xf>
    <xf numFmtId="166" fontId="6" fillId="2"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2" fontId="6"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5" fillId="2" borderId="0" xfId="0" applyFont="1" applyFill="1"/>
    <xf numFmtId="0" fontId="0" fillId="2" borderId="0" xfId="0" applyFill="1"/>
    <xf numFmtId="167" fontId="0" fillId="2" borderId="0" xfId="1" applyNumberFormat="1" applyFont="1" applyFill="1"/>
    <xf numFmtId="0" fontId="37" fillId="2" borderId="6" xfId="0" applyFont="1" applyFill="1" applyBorder="1" applyAlignment="1">
      <alignment horizontal="center" vertical="center" wrapText="1"/>
    </xf>
    <xf numFmtId="0" fontId="38" fillId="2" borderId="6" xfId="0" applyFont="1" applyFill="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27" fillId="2" borderId="6" xfId="0" applyFont="1" applyFill="1" applyBorder="1" applyAlignment="1">
      <alignment horizontal="center" vertical="center" wrapText="1"/>
    </xf>
    <xf numFmtId="0" fontId="1" fillId="0" borderId="6" xfId="0" applyNumberFormat="1" applyFont="1" applyBorder="1" applyAlignment="1">
      <alignment horizontal="center" vertical="center" wrapText="1"/>
    </xf>
    <xf numFmtId="166" fontId="6" fillId="0" borderId="6" xfId="0" applyNumberFormat="1" applyFont="1" applyBorder="1" applyAlignment="1">
      <alignment horizontal="center" vertical="center" wrapText="1"/>
    </xf>
    <xf numFmtId="166" fontId="6" fillId="13" borderId="1"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165" fontId="6" fillId="0" borderId="13"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9" fillId="0" borderId="6" xfId="0" applyNumberFormat="1" applyFont="1" applyFill="1" applyBorder="1" applyAlignment="1">
      <alignment horizontal="center" vertical="center"/>
    </xf>
    <xf numFmtId="0" fontId="7" fillId="0" borderId="6" xfId="0" applyFont="1" applyBorder="1"/>
    <xf numFmtId="0" fontId="0" fillId="0" borderId="6" xfId="0" applyBorder="1"/>
    <xf numFmtId="0" fontId="9" fillId="0" borderId="15" xfId="0" applyFont="1" applyBorder="1" applyAlignment="1">
      <alignment horizontal="center"/>
    </xf>
    <xf numFmtId="168" fontId="9" fillId="0" borderId="15" xfId="0" applyNumberFormat="1" applyFont="1" applyBorder="1" applyAlignment="1">
      <alignment horizontal="center"/>
    </xf>
    <xf numFmtId="0" fontId="7" fillId="0" borderId="16" xfId="0" applyFont="1" applyBorder="1"/>
    <xf numFmtId="0" fontId="7" fillId="0" borderId="6" xfId="0" applyNumberFormat="1" applyFont="1" applyBorder="1" applyAlignment="1">
      <alignment horizontal="center" vertical="center"/>
    </xf>
    <xf numFmtId="0" fontId="7" fillId="0" borderId="6" xfId="0" applyNumberFormat="1" applyFont="1" applyFill="1" applyBorder="1" applyAlignment="1">
      <alignment horizontal="center" vertical="center"/>
    </xf>
    <xf numFmtId="164" fontId="38" fillId="13" borderId="0" xfId="0" applyNumberFormat="1" applyFont="1" applyFill="1" applyBorder="1" applyAlignment="1">
      <alignment horizontal="center" vertical="center" wrapText="1"/>
    </xf>
    <xf numFmtId="0" fontId="38" fillId="13" borderId="0" xfId="0" applyFont="1" applyFill="1" applyBorder="1" applyAlignment="1">
      <alignment horizontal="center" vertical="center" wrapText="1"/>
    </xf>
    <xf numFmtId="0" fontId="6" fillId="13" borderId="0" xfId="0" applyFont="1" applyFill="1" applyBorder="1" applyAlignment="1">
      <alignment horizontal="center" vertical="center" wrapText="1"/>
    </xf>
    <xf numFmtId="164" fontId="39" fillId="13" borderId="0" xfId="0" applyNumberFormat="1" applyFont="1" applyFill="1" applyBorder="1" applyAlignment="1">
      <alignment vertical="center"/>
    </xf>
    <xf numFmtId="0" fontId="6" fillId="13" borderId="0" xfId="0" applyFont="1" applyFill="1" applyBorder="1" applyAlignment="1">
      <alignment horizontal="center" vertical="center"/>
    </xf>
    <xf numFmtId="0" fontId="5" fillId="13" borderId="0" xfId="0" applyFont="1" applyFill="1" applyBorder="1" applyAlignment="1">
      <alignment horizontal="center" vertical="center"/>
    </xf>
    <xf numFmtId="0" fontId="5" fillId="13" borderId="0" xfId="0" applyFont="1" applyFill="1" applyBorder="1" applyAlignment="1">
      <alignment vertical="center"/>
    </xf>
    <xf numFmtId="164" fontId="0" fillId="13" borderId="0" xfId="0" applyNumberFormat="1" applyFill="1" applyBorder="1" applyAlignment="1">
      <alignment vertical="center"/>
    </xf>
    <xf numFmtId="0" fontId="0" fillId="13" borderId="0" xfId="0" applyFill="1" applyBorder="1" applyAlignment="1">
      <alignment vertical="center"/>
    </xf>
    <xf numFmtId="164" fontId="0" fillId="13" borderId="0" xfId="0" applyNumberFormat="1" applyFill="1" applyBorder="1"/>
    <xf numFmtId="164" fontId="39" fillId="13" borderId="0" xfId="0" applyNumberFormat="1" applyFont="1" applyFill="1" applyBorder="1" applyAlignment="1">
      <alignment horizontal="left" vertical="center"/>
    </xf>
    <xf numFmtId="0" fontId="0" fillId="13" borderId="0" xfId="0" applyFill="1" applyBorder="1" applyAlignment="1">
      <alignment horizontal="center" vertical="center"/>
    </xf>
    <xf numFmtId="0" fontId="38" fillId="13" borderId="17" xfId="0" applyFont="1" applyFill="1" applyBorder="1" applyAlignment="1">
      <alignment horizontal="center" vertical="center" wrapText="1"/>
    </xf>
    <xf numFmtId="0" fontId="1" fillId="13" borderId="17" xfId="0" applyFont="1" applyFill="1" applyBorder="1" applyAlignment="1">
      <alignment horizontal="center" vertical="center" wrapText="1"/>
    </xf>
    <xf numFmtId="0" fontId="1" fillId="13" borderId="17" xfId="0" applyNumberFormat="1" applyFont="1" applyFill="1" applyBorder="1" applyAlignment="1">
      <alignment horizontal="center" vertical="center" wrapText="1"/>
    </xf>
    <xf numFmtId="166" fontId="6" fillId="0" borderId="18"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 xfId="0" applyFont="1" applyBorder="1" applyAlignment="1">
      <alignment horizontal="left" vertical="center" wrapText="1"/>
    </xf>
    <xf numFmtId="2" fontId="6" fillId="14" borderId="1" xfId="0" applyNumberFormat="1" applyFont="1" applyFill="1" applyBorder="1" applyAlignment="1">
      <alignment horizontal="center" vertical="center" wrapText="1"/>
    </xf>
    <xf numFmtId="0" fontId="1" fillId="0" borderId="6" xfId="0" applyFont="1" applyBorder="1" applyAlignment="1" applyProtection="1">
      <alignment horizontal="center" vertical="center" wrapText="1"/>
      <protection locked="0"/>
    </xf>
    <xf numFmtId="9" fontId="6" fillId="0" borderId="0" xfId="2" applyFont="1"/>
    <xf numFmtId="0" fontId="2" fillId="15" borderId="1" xfId="0" applyFont="1" applyFill="1" applyBorder="1" applyAlignment="1">
      <alignment vertical="center" wrapText="1"/>
    </xf>
    <xf numFmtId="0" fontId="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44" fillId="0" borderId="0" xfId="0" applyFont="1"/>
    <xf numFmtId="164" fontId="44" fillId="0" borderId="0" xfId="0" applyNumberFormat="1" applyFont="1"/>
    <xf numFmtId="0" fontId="44" fillId="0" borderId="0" xfId="0" applyFont="1" applyBorder="1"/>
    <xf numFmtId="0" fontId="44" fillId="0" borderId="0" xfId="0" applyFont="1" applyBorder="1" applyAlignment="1">
      <alignment horizontal="center" wrapText="1"/>
    </xf>
    <xf numFmtId="3" fontId="0" fillId="0" borderId="0" xfId="0" applyNumberFormat="1"/>
    <xf numFmtId="44" fontId="0" fillId="0" borderId="0" xfId="3" applyFont="1"/>
    <xf numFmtId="169" fontId="0" fillId="0" borderId="0" xfId="2" applyNumberFormat="1" applyFont="1"/>
    <xf numFmtId="169" fontId="6" fillId="0" borderId="0" xfId="2" applyNumberFormat="1" applyFont="1"/>
    <xf numFmtId="0" fontId="11"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46" fillId="15" borderId="1" xfId="0" applyFont="1" applyFill="1" applyBorder="1" applyAlignment="1">
      <alignment vertical="center" wrapText="1"/>
    </xf>
    <xf numFmtId="0" fontId="46" fillId="15" borderId="1" xfId="0" applyFont="1" applyFill="1" applyBorder="1" applyAlignment="1">
      <alignment horizontal="center" vertical="center" wrapText="1"/>
    </xf>
    <xf numFmtId="0" fontId="47" fillId="15" borderId="12" xfId="0" applyFont="1" applyFill="1" applyBorder="1" applyAlignment="1">
      <alignment horizontal="center" vertical="center" wrapText="1"/>
    </xf>
    <xf numFmtId="168" fontId="46" fillId="15" borderId="27" xfId="0" applyNumberFormat="1" applyFont="1" applyFill="1" applyBorder="1" applyAlignment="1">
      <alignment horizontal="center" vertical="center" wrapText="1"/>
    </xf>
    <xf numFmtId="0" fontId="46" fillId="15" borderId="28" xfId="0" applyFont="1" applyFill="1" applyBorder="1" applyAlignment="1">
      <alignment horizontal="center" vertical="center" wrapText="1"/>
    </xf>
    <xf numFmtId="0" fontId="46" fillId="15" borderId="25" xfId="0" applyFont="1" applyFill="1" applyBorder="1" applyAlignment="1">
      <alignment horizontal="center" vertical="center" wrapText="1"/>
    </xf>
    <xf numFmtId="0" fontId="46" fillId="8" borderId="1" xfId="0" applyFont="1" applyFill="1" applyBorder="1" applyAlignment="1">
      <alignment vertical="center" wrapText="1"/>
    </xf>
    <xf numFmtId="0" fontId="46" fillId="8" borderId="1" xfId="0" applyFont="1" applyFill="1" applyBorder="1" applyAlignment="1">
      <alignment horizontal="center" vertical="center" wrapText="1"/>
    </xf>
    <xf numFmtId="0" fontId="47" fillId="8" borderId="12" xfId="0" applyFont="1" applyFill="1" applyBorder="1" applyAlignment="1">
      <alignment horizontal="center" vertical="center" wrapText="1"/>
    </xf>
    <xf numFmtId="168" fontId="46" fillId="8" borderId="27" xfId="0" applyNumberFormat="1" applyFont="1" applyFill="1" applyBorder="1" applyAlignment="1">
      <alignment horizontal="center" vertical="center" wrapText="1"/>
    </xf>
    <xf numFmtId="0" fontId="46" fillId="8" borderId="28"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46" fillId="0" borderId="0" xfId="0" applyFont="1" applyFill="1" applyBorder="1" applyAlignment="1">
      <alignment vertical="center" wrapText="1"/>
    </xf>
    <xf numFmtId="0" fontId="46"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168" fontId="46" fillId="0" borderId="0" xfId="0" applyNumberFormat="1" applyFont="1" applyFill="1" applyBorder="1" applyAlignment="1">
      <alignment horizontal="center" vertical="center" wrapText="1"/>
    </xf>
    <xf numFmtId="167" fontId="0" fillId="0" borderId="0" xfId="0" applyNumberFormat="1" applyFill="1" applyBorder="1" applyAlignment="1">
      <alignment horizontal="center" vertical="center"/>
    </xf>
    <xf numFmtId="0" fontId="0" fillId="0" borderId="0" xfId="0" applyFill="1" applyBorder="1"/>
    <xf numFmtId="0" fontId="48"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68" fontId="47" fillId="0" borderId="0" xfId="0" applyNumberFormat="1" applyFont="1" applyFill="1" applyBorder="1" applyAlignment="1">
      <alignment horizontal="center" vertical="center" wrapText="1"/>
    </xf>
    <xf numFmtId="0" fontId="2" fillId="16" borderId="1" xfId="0" applyFont="1" applyFill="1" applyBorder="1" applyAlignment="1">
      <alignment vertical="center" wrapText="1"/>
    </xf>
    <xf numFmtId="0" fontId="2" fillId="16" borderId="1" xfId="0" applyFont="1" applyFill="1" applyBorder="1" applyAlignment="1">
      <alignment horizontal="center" vertical="center" wrapText="1"/>
    </xf>
    <xf numFmtId="168" fontId="46" fillId="16" borderId="27" xfId="0" applyNumberFormat="1" applyFont="1" applyFill="1" applyBorder="1" applyAlignment="1">
      <alignment horizontal="center" vertical="center" wrapText="1"/>
    </xf>
    <xf numFmtId="0" fontId="46" fillId="16" borderId="28" xfId="0" applyFont="1" applyFill="1" applyBorder="1" applyAlignment="1">
      <alignment horizontal="center" vertical="center" wrapText="1"/>
    </xf>
    <xf numFmtId="0" fontId="46" fillId="16" borderId="1" xfId="0" applyFont="1" applyFill="1" applyBorder="1" applyAlignment="1">
      <alignment vertical="center" wrapText="1"/>
    </xf>
    <xf numFmtId="0" fontId="46" fillId="16" borderId="1" xfId="0" applyFont="1" applyFill="1" applyBorder="1" applyAlignment="1">
      <alignment horizontal="center" vertical="center" wrapText="1"/>
    </xf>
    <xf numFmtId="0" fontId="47" fillId="16" borderId="12"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8" fontId="46" fillId="5" borderId="27" xfId="0" applyNumberFormat="1" applyFont="1" applyFill="1" applyBorder="1" applyAlignment="1">
      <alignment horizontal="center" vertical="center" wrapText="1"/>
    </xf>
    <xf numFmtId="0" fontId="46" fillId="5" borderId="25" xfId="0" applyFont="1" applyFill="1" applyBorder="1" applyAlignment="1">
      <alignment horizontal="center" vertical="center" wrapText="1"/>
    </xf>
    <xf numFmtId="0" fontId="46" fillId="5" borderId="1" xfId="0" applyFont="1" applyFill="1" applyBorder="1" applyAlignment="1">
      <alignment vertical="center" wrapText="1"/>
    </xf>
    <xf numFmtId="0" fontId="46" fillId="5" borderId="1" xfId="0" applyFont="1" applyFill="1" applyBorder="1" applyAlignment="1">
      <alignment horizontal="center" vertical="center" wrapText="1"/>
    </xf>
    <xf numFmtId="0" fontId="47" fillId="5" borderId="12" xfId="0" applyFont="1" applyFill="1" applyBorder="1" applyAlignment="1">
      <alignment horizontal="center" vertical="center" wrapText="1"/>
    </xf>
    <xf numFmtId="0" fontId="2" fillId="17" borderId="1" xfId="0" applyFont="1" applyFill="1" applyBorder="1" applyAlignment="1">
      <alignment vertical="center" wrapText="1"/>
    </xf>
    <xf numFmtId="0" fontId="2" fillId="17"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168" fontId="46" fillId="17" borderId="27" xfId="0" applyNumberFormat="1" applyFont="1" applyFill="1" applyBorder="1" applyAlignment="1">
      <alignment horizontal="center" vertical="center" wrapText="1"/>
    </xf>
    <xf numFmtId="0" fontId="46" fillId="17" borderId="28" xfId="0" applyFont="1" applyFill="1" applyBorder="1" applyAlignment="1">
      <alignment horizontal="center" vertical="center" wrapText="1"/>
    </xf>
    <xf numFmtId="0" fontId="46" fillId="17" borderId="1" xfId="0" applyFont="1" applyFill="1" applyBorder="1" applyAlignment="1">
      <alignment vertical="center" wrapText="1"/>
    </xf>
    <xf numFmtId="0" fontId="46" fillId="17" borderId="1" xfId="0" applyFont="1" applyFill="1" applyBorder="1" applyAlignment="1">
      <alignment horizontal="center" vertical="center" wrapText="1"/>
    </xf>
    <xf numFmtId="0" fontId="47" fillId="17" borderId="12" xfId="0" applyFont="1" applyFill="1" applyBorder="1" applyAlignment="1">
      <alignment horizontal="center" vertical="center" wrapText="1"/>
    </xf>
    <xf numFmtId="0" fontId="2" fillId="18" borderId="1" xfId="0" applyFont="1" applyFill="1" applyBorder="1" applyAlignment="1">
      <alignment vertical="center" wrapText="1"/>
    </xf>
    <xf numFmtId="0" fontId="2" fillId="18" borderId="1" xfId="0" applyFont="1" applyFill="1" applyBorder="1" applyAlignment="1">
      <alignment horizontal="center" vertical="center" wrapText="1"/>
    </xf>
    <xf numFmtId="168" fontId="46" fillId="18" borderId="27" xfId="0" applyNumberFormat="1" applyFont="1" applyFill="1" applyBorder="1" applyAlignment="1">
      <alignment horizontal="center" vertical="center" wrapText="1"/>
    </xf>
    <xf numFmtId="0" fontId="46" fillId="18" borderId="28" xfId="0" applyFont="1" applyFill="1" applyBorder="1" applyAlignment="1">
      <alignment horizontal="center" vertical="center" wrapText="1"/>
    </xf>
    <xf numFmtId="0" fontId="46" fillId="18" borderId="1" xfId="0" applyFont="1" applyFill="1" applyBorder="1" applyAlignment="1">
      <alignment vertical="center" wrapText="1"/>
    </xf>
    <xf numFmtId="0" fontId="46" fillId="18" borderId="1" xfId="0" applyFont="1" applyFill="1" applyBorder="1" applyAlignment="1">
      <alignment horizontal="center" vertical="center" wrapText="1"/>
    </xf>
    <xf numFmtId="0" fontId="47" fillId="18" borderId="12" xfId="0" applyFont="1" applyFill="1" applyBorder="1" applyAlignment="1">
      <alignment horizontal="center" vertical="center" wrapText="1"/>
    </xf>
    <xf numFmtId="164" fontId="0" fillId="15" borderId="12" xfId="0" applyNumberForma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9" fillId="5" borderId="1" xfId="0" applyFont="1" applyFill="1" applyBorder="1" applyAlignment="1">
      <alignment horizontal="center" vertical="center" wrapText="1"/>
    </xf>
    <xf numFmtId="166" fontId="51" fillId="2" borderId="1" xfId="0" applyNumberFormat="1" applyFont="1" applyFill="1" applyBorder="1" applyAlignment="1">
      <alignment horizontal="center" vertical="center" wrapText="1"/>
    </xf>
    <xf numFmtId="166" fontId="51" fillId="13" borderId="1" xfId="0" applyNumberFormat="1" applyFont="1" applyFill="1" applyBorder="1" applyAlignment="1">
      <alignment horizontal="center" vertical="center" wrapText="1"/>
    </xf>
    <xf numFmtId="0" fontId="1" fillId="0" borderId="1" xfId="0" applyFont="1" applyBorder="1" applyAlignment="1">
      <alignment horizontal="left" shrinkToFit="1"/>
    </xf>
    <xf numFmtId="3" fontId="52" fillId="0" borderId="1" xfId="0" applyNumberFormat="1" applyFont="1" applyBorder="1" applyAlignment="1">
      <alignment horizontal="left" wrapText="1" shrinkToFit="1"/>
    </xf>
    <xf numFmtId="0" fontId="2" fillId="0" borderId="1" xfId="0" applyFont="1" applyBorder="1" applyAlignment="1">
      <alignment horizontal="left" wrapText="1" shrinkToFit="1"/>
    </xf>
    <xf numFmtId="0" fontId="2" fillId="0" borderId="1" xfId="0" applyFont="1" applyBorder="1" applyAlignment="1">
      <alignment horizontal="left" shrinkToFit="1"/>
    </xf>
    <xf numFmtId="0" fontId="6" fillId="0" borderId="1" xfId="0" applyFont="1" applyBorder="1" applyAlignment="1">
      <alignment vertical="top" wrapText="1"/>
    </xf>
    <xf numFmtId="0" fontId="6" fillId="0" borderId="0"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166" fontId="9" fillId="15"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2" fillId="0" borderId="0" xfId="0" applyFont="1" applyBorder="1" applyAlignment="1"/>
    <xf numFmtId="0" fontId="2" fillId="0" borderId="0" xfId="0" applyFont="1" applyBorder="1" applyAlignment="1">
      <alignment horizontal="left"/>
    </xf>
    <xf numFmtId="0" fontId="7" fillId="3" borderId="1" xfId="0" applyFont="1" applyFill="1" applyBorder="1" applyAlignment="1">
      <alignment horizontal="center" vertical="center" wrapText="1"/>
    </xf>
    <xf numFmtId="168" fontId="6" fillId="13"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168" fontId="46" fillId="2" borderId="27" xfId="0" applyNumberFormat="1" applyFont="1" applyFill="1" applyBorder="1" applyAlignment="1">
      <alignment horizontal="center" vertical="center" wrapText="1"/>
    </xf>
    <xf numFmtId="168" fontId="46" fillId="4" borderId="27" xfId="0" applyNumberFormat="1" applyFont="1" applyFill="1" applyBorder="1" applyAlignment="1">
      <alignment horizontal="center" vertical="center" wrapText="1"/>
    </xf>
    <xf numFmtId="168" fontId="46" fillId="4" borderId="32" xfId="0" applyNumberFormat="1" applyFont="1" applyFill="1" applyBorder="1" applyAlignment="1">
      <alignment horizontal="center" vertical="center" wrapText="1"/>
    </xf>
    <xf numFmtId="168" fontId="46" fillId="2" borderId="36" xfId="0" applyNumberFormat="1" applyFont="1" applyFill="1" applyBorder="1" applyAlignment="1">
      <alignment horizontal="center" vertical="center" wrapText="1"/>
    </xf>
    <xf numFmtId="168" fontId="46" fillId="4" borderId="35" xfId="0" applyNumberFormat="1" applyFont="1" applyFill="1" applyBorder="1" applyAlignment="1">
      <alignment horizontal="center" vertical="center" wrapText="1"/>
    </xf>
    <xf numFmtId="168" fontId="46" fillId="2" borderId="40" xfId="0" applyNumberFormat="1" applyFont="1" applyFill="1" applyBorder="1" applyAlignment="1">
      <alignment horizontal="center" vertical="center" wrapText="1"/>
    </xf>
    <xf numFmtId="0" fontId="11" fillId="3" borderId="15" xfId="0" applyFont="1" applyFill="1" applyBorder="1" applyAlignment="1">
      <alignment horizontal="center" vertical="center" wrapText="1"/>
    </xf>
    <xf numFmtId="0" fontId="6" fillId="15" borderId="15" xfId="0" applyFont="1" applyFill="1" applyBorder="1" applyAlignment="1">
      <alignment horizontal="center" vertical="center" wrapText="1"/>
    </xf>
    <xf numFmtId="166" fontId="46" fillId="2" borderId="25" xfId="0" applyNumberFormat="1" applyFont="1" applyFill="1" applyBorder="1" applyAlignment="1">
      <alignment horizontal="center" vertical="center" wrapText="1"/>
    </xf>
    <xf numFmtId="166" fontId="46" fillId="4" borderId="38" xfId="0" applyNumberFormat="1" applyFont="1" applyFill="1" applyBorder="1" applyAlignment="1">
      <alignment horizontal="center" vertical="center" wrapText="1"/>
    </xf>
    <xf numFmtId="166" fontId="46" fillId="4" borderId="28"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6" fillId="0" borderId="0" xfId="0" applyFont="1" applyFill="1" applyBorder="1" applyAlignment="1"/>
    <xf numFmtId="0" fontId="7" fillId="2" borderId="0" xfId="0" applyFont="1" applyFill="1" applyAlignment="1">
      <alignment horizontal="center"/>
    </xf>
    <xf numFmtId="165" fontId="6" fillId="0" borderId="6" xfId="0" applyNumberFormat="1" applyFont="1" applyFill="1" applyBorder="1" applyAlignment="1">
      <alignment horizontal="center" vertical="center" wrapText="1"/>
    </xf>
    <xf numFmtId="0" fontId="9" fillId="2" borderId="0" xfId="0" applyNumberFormat="1" applyFont="1" applyFill="1" applyAlignment="1">
      <alignment horizontal="center"/>
    </xf>
    <xf numFmtId="0" fontId="7" fillId="0" borderId="6" xfId="0" applyNumberFormat="1" applyFont="1" applyBorder="1" applyAlignment="1">
      <alignment horizontal="center" vertical="center" wrapText="1"/>
    </xf>
    <xf numFmtId="0" fontId="11" fillId="3" borderId="15" xfId="4" applyFont="1" applyFill="1" applyBorder="1" applyAlignment="1">
      <alignment horizontal="center" vertical="center" wrapText="1"/>
    </xf>
    <xf numFmtId="0" fontId="6" fillId="15" borderId="15" xfId="4" applyFont="1" applyFill="1" applyBorder="1" applyAlignment="1">
      <alignment horizontal="center" vertical="center" wrapText="1"/>
    </xf>
    <xf numFmtId="0" fontId="6" fillId="0" borderId="0" xfId="4"/>
    <xf numFmtId="0" fontId="2" fillId="2" borderId="31" xfId="4" applyFont="1" applyFill="1" applyBorder="1" applyAlignment="1">
      <alignment vertical="center" wrapText="1"/>
    </xf>
    <xf numFmtId="166" fontId="46" fillId="2" borderId="39" xfId="4" applyNumberFormat="1" applyFont="1" applyFill="1" applyBorder="1" applyAlignment="1">
      <alignment horizontal="center" vertical="center" wrapText="1"/>
    </xf>
    <xf numFmtId="168" fontId="46" fillId="2" borderId="40" xfId="4" applyNumberFormat="1" applyFont="1" applyFill="1" applyBorder="1" applyAlignment="1">
      <alignment horizontal="center" vertical="center" wrapText="1"/>
    </xf>
    <xf numFmtId="0" fontId="2" fillId="2" borderId="1" xfId="4" applyFont="1" applyFill="1" applyBorder="1" applyAlignment="1">
      <alignment vertical="center" wrapText="1"/>
    </xf>
    <xf numFmtId="166" fontId="46" fillId="2" borderId="28" xfId="4" applyNumberFormat="1" applyFont="1" applyFill="1" applyBorder="1" applyAlignment="1">
      <alignment horizontal="center" vertical="center" wrapText="1"/>
    </xf>
    <xf numFmtId="168" fontId="46" fillId="2" borderId="27" xfId="4" applyNumberFormat="1" applyFont="1" applyFill="1" applyBorder="1" applyAlignment="1">
      <alignment horizontal="center" vertical="center" wrapText="1"/>
    </xf>
    <xf numFmtId="0" fontId="2" fillId="2" borderId="29" xfId="4" applyFont="1" applyFill="1" applyBorder="1" applyAlignment="1">
      <alignment vertical="center" wrapText="1"/>
    </xf>
    <xf numFmtId="168" fontId="46" fillId="2" borderId="36" xfId="4" applyNumberFormat="1" applyFont="1" applyFill="1" applyBorder="1" applyAlignment="1">
      <alignment horizontal="center" vertical="center" wrapText="1"/>
    </xf>
    <xf numFmtId="0" fontId="2" fillId="2" borderId="41" xfId="4" applyFont="1" applyFill="1" applyBorder="1" applyAlignment="1">
      <alignment vertical="center" wrapText="1"/>
    </xf>
    <xf numFmtId="166" fontId="46" fillId="2" borderId="34" xfId="4" applyNumberFormat="1" applyFont="1" applyFill="1" applyBorder="1" applyAlignment="1">
      <alignment horizontal="center" vertical="center" wrapText="1"/>
    </xf>
    <xf numFmtId="164" fontId="46" fillId="2" borderId="32" xfId="4" applyNumberFormat="1" applyFont="1" applyFill="1" applyBorder="1" applyAlignment="1">
      <alignment horizontal="right" vertical="center" wrapText="1"/>
    </xf>
    <xf numFmtId="0" fontId="2" fillId="4" borderId="38" xfId="4" applyFont="1" applyFill="1" applyBorder="1" applyAlignment="1">
      <alignment vertical="center" wrapText="1"/>
    </xf>
    <xf numFmtId="166" fontId="46" fillId="4" borderId="39" xfId="4" applyNumberFormat="1" applyFont="1" applyFill="1" applyBorder="1" applyAlignment="1">
      <alignment horizontal="center" vertical="center" wrapText="1"/>
    </xf>
    <xf numFmtId="168" fontId="46" fillId="4" borderId="35" xfId="4" applyNumberFormat="1" applyFont="1" applyFill="1" applyBorder="1" applyAlignment="1">
      <alignment horizontal="center" vertical="center" wrapText="1"/>
    </xf>
    <xf numFmtId="0" fontId="2" fillId="4" borderId="25" xfId="4" applyFont="1" applyFill="1" applyBorder="1" applyAlignment="1">
      <alignment vertical="center" wrapText="1"/>
    </xf>
    <xf numFmtId="166" fontId="46" fillId="4" borderId="28" xfId="4" applyNumberFormat="1" applyFont="1" applyFill="1" applyBorder="1" applyAlignment="1">
      <alignment horizontal="center" vertical="center" wrapText="1"/>
    </xf>
    <xf numFmtId="168" fontId="46" fillId="4" borderId="27" xfId="4" applyNumberFormat="1" applyFont="1" applyFill="1" applyBorder="1" applyAlignment="1">
      <alignment horizontal="center" vertical="center" wrapText="1"/>
    </xf>
    <xf numFmtId="0" fontId="1" fillId="0" borderId="0" xfId="4" applyFont="1"/>
    <xf numFmtId="0" fontId="2" fillId="4" borderId="28" xfId="4" applyFont="1" applyFill="1" applyBorder="1" applyAlignment="1">
      <alignment vertical="center" wrapText="1"/>
    </xf>
    <xf numFmtId="168" fontId="46" fillId="4" borderId="36" xfId="4" applyNumberFormat="1" applyFont="1" applyFill="1" applyBorder="1" applyAlignment="1">
      <alignment horizontal="center" vertical="center" wrapText="1"/>
    </xf>
    <xf numFmtId="0" fontId="2" fillId="4" borderId="42" xfId="4" applyFont="1" applyFill="1" applyBorder="1" applyAlignment="1">
      <alignment vertical="center" wrapText="1"/>
    </xf>
    <xf numFmtId="166" fontId="46" fillId="4" borderId="34" xfId="4" applyNumberFormat="1" applyFont="1" applyFill="1" applyBorder="1" applyAlignment="1">
      <alignment horizontal="center" vertical="center" wrapText="1"/>
    </xf>
    <xf numFmtId="164" fontId="46" fillId="4" borderId="32" xfId="4" applyNumberFormat="1" applyFont="1" applyFill="1" applyBorder="1" applyAlignment="1">
      <alignment horizontal="right" vertical="center" wrapText="1"/>
    </xf>
    <xf numFmtId="0" fontId="1" fillId="0" borderId="0" xfId="4" applyFont="1" applyFill="1" applyBorder="1" applyAlignment="1"/>
    <xf numFmtId="0" fontId="11" fillId="3" borderId="1" xfId="4" applyFont="1" applyFill="1" applyBorder="1" applyAlignment="1">
      <alignment horizontal="center" vertical="center" wrapText="1"/>
    </xf>
    <xf numFmtId="0" fontId="1" fillId="13" borderId="1" xfId="4" applyFont="1" applyFill="1" applyBorder="1" applyAlignment="1">
      <alignment horizontal="center" vertical="center" wrapText="1"/>
    </xf>
    <xf numFmtId="0" fontId="2" fillId="2" borderId="15" xfId="4" applyFont="1" applyFill="1" applyBorder="1" applyAlignment="1">
      <alignment horizontal="center" vertical="center" wrapText="1"/>
    </xf>
    <xf numFmtId="0" fontId="1" fillId="5" borderId="26" xfId="4" applyFont="1" applyFill="1" applyBorder="1" applyAlignment="1">
      <alignment horizontal="center" vertical="center" wrapText="1"/>
    </xf>
    <xf numFmtId="0" fontId="6" fillId="5" borderId="1" xfId="4" applyFill="1" applyBorder="1" applyAlignment="1">
      <alignment horizontal="center" vertical="center" wrapText="1"/>
    </xf>
    <xf numFmtId="0" fontId="4" fillId="15" borderId="1" xfId="4" applyFont="1" applyFill="1" applyBorder="1" applyAlignment="1">
      <alignment vertical="center" wrapText="1"/>
    </xf>
    <xf numFmtId="164" fontId="46" fillId="15" borderId="27" xfId="4" applyNumberFormat="1" applyFont="1" applyFill="1" applyBorder="1" applyAlignment="1">
      <alignment horizontal="center" vertical="center" wrapText="1"/>
    </xf>
    <xf numFmtId="0" fontId="46" fillId="15" borderId="28" xfId="4" applyFont="1" applyFill="1" applyBorder="1" applyAlignment="1">
      <alignment horizontal="center" vertical="center" wrapText="1"/>
    </xf>
    <xf numFmtId="164" fontId="6" fillId="15" borderId="12" xfId="4" applyNumberFormat="1" applyFill="1" applyBorder="1" applyAlignment="1">
      <alignment horizontal="center" vertical="center"/>
    </xf>
    <xf numFmtId="0" fontId="6" fillId="0" borderId="1" xfId="4" applyBorder="1"/>
    <xf numFmtId="0" fontId="46" fillId="15" borderId="1" xfId="4" applyFont="1" applyFill="1" applyBorder="1" applyAlignment="1">
      <alignment vertical="center" wrapText="1"/>
    </xf>
    <xf numFmtId="168" fontId="46" fillId="15" borderId="27" xfId="4" applyNumberFormat="1" applyFont="1" applyFill="1" applyBorder="1" applyAlignment="1">
      <alignment horizontal="center" vertical="center" wrapText="1"/>
    </xf>
    <xf numFmtId="0" fontId="2" fillId="16" borderId="31" xfId="4" applyFont="1" applyFill="1" applyBorder="1" applyAlignment="1">
      <alignment vertical="center" wrapText="1"/>
    </xf>
    <xf numFmtId="168" fontId="46" fillId="16" borderId="27" xfId="4" applyNumberFormat="1" applyFont="1" applyFill="1" applyBorder="1" applyAlignment="1">
      <alignment horizontal="center" vertical="center" wrapText="1"/>
    </xf>
    <xf numFmtId="0" fontId="46" fillId="16" borderId="28" xfId="4" applyFont="1" applyFill="1" applyBorder="1" applyAlignment="1">
      <alignment horizontal="center" vertical="center" wrapText="1"/>
    </xf>
    <xf numFmtId="0" fontId="46" fillId="16" borderId="1" xfId="4" applyFont="1" applyFill="1" applyBorder="1" applyAlignment="1">
      <alignment vertical="center" wrapText="1"/>
    </xf>
    <xf numFmtId="0" fontId="2" fillId="15" borderId="1" xfId="4" applyFont="1" applyFill="1" applyBorder="1" applyAlignment="1">
      <alignment vertical="center" wrapText="1"/>
    </xf>
    <xf numFmtId="0" fontId="2" fillId="19" borderId="1" xfId="4" applyFont="1" applyFill="1" applyBorder="1" applyAlignment="1">
      <alignment vertical="center" wrapText="1"/>
    </xf>
    <xf numFmtId="168" fontId="46" fillId="17" borderId="27" xfId="4" applyNumberFormat="1" applyFont="1" applyFill="1" applyBorder="1" applyAlignment="1">
      <alignment horizontal="center" vertical="center" wrapText="1"/>
    </xf>
    <xf numFmtId="0" fontId="46" fillId="17" borderId="28" xfId="4" applyFont="1" applyFill="1" applyBorder="1" applyAlignment="1">
      <alignment horizontal="center" vertical="center" wrapText="1"/>
    </xf>
    <xf numFmtId="0" fontId="46" fillId="17" borderId="1" xfId="4" applyFont="1" applyFill="1" applyBorder="1" applyAlignment="1">
      <alignment vertical="center" wrapText="1"/>
    </xf>
    <xf numFmtId="0" fontId="2" fillId="6" borderId="1" xfId="4" applyFont="1" applyFill="1" applyBorder="1" applyAlignment="1">
      <alignment vertical="center" wrapText="1"/>
    </xf>
    <xf numFmtId="168" fontId="46" fillId="8" borderId="27" xfId="4" applyNumberFormat="1" applyFont="1" applyFill="1" applyBorder="1" applyAlignment="1">
      <alignment horizontal="center" vertical="center" wrapText="1"/>
    </xf>
    <xf numFmtId="0" fontId="46" fillId="8" borderId="28" xfId="4" applyFont="1" applyFill="1" applyBorder="1" applyAlignment="1">
      <alignment horizontal="center" vertical="center" wrapText="1"/>
    </xf>
    <xf numFmtId="0" fontId="46" fillId="8" borderId="1" xfId="4" applyFont="1" applyFill="1" applyBorder="1" applyAlignment="1">
      <alignment vertical="center" wrapText="1"/>
    </xf>
    <xf numFmtId="0" fontId="2" fillId="17" borderId="29" xfId="4" applyFont="1" applyFill="1" applyBorder="1" applyAlignment="1">
      <alignment vertical="center" wrapText="1"/>
    </xf>
    <xf numFmtId="0" fontId="46" fillId="0" borderId="0" xfId="4" applyFont="1" applyFill="1" applyBorder="1" applyAlignment="1">
      <alignment vertical="center" wrapText="1"/>
    </xf>
    <xf numFmtId="168" fontId="46" fillId="0" borderId="0" xfId="4" applyNumberFormat="1" applyFont="1" applyFill="1" applyBorder="1" applyAlignment="1">
      <alignment horizontal="center" vertical="center" wrapText="1"/>
    </xf>
    <xf numFmtId="0" fontId="46" fillId="0" borderId="0" xfId="4" applyFont="1" applyFill="1" applyBorder="1" applyAlignment="1">
      <alignment horizontal="center" vertical="center" wrapText="1"/>
    </xf>
    <xf numFmtId="167" fontId="6" fillId="0" borderId="0" xfId="4" applyNumberFormat="1" applyFill="1" applyBorder="1" applyAlignment="1">
      <alignment horizontal="center" vertical="center"/>
    </xf>
    <xf numFmtId="0" fontId="6" fillId="0" borderId="0" xfId="4" applyFill="1" applyBorder="1"/>
    <xf numFmtId="0" fontId="48" fillId="0" borderId="0" xfId="4" applyFont="1" applyFill="1" applyBorder="1" applyAlignment="1">
      <alignment horizontal="center" vertical="center" wrapText="1"/>
    </xf>
    <xf numFmtId="0" fontId="2" fillId="0" borderId="0" xfId="4" applyFont="1" applyFill="1" applyBorder="1" applyAlignment="1">
      <alignment vertical="center" wrapText="1"/>
    </xf>
    <xf numFmtId="168" fontId="47" fillId="0" borderId="0" xfId="4" applyNumberFormat="1" applyFont="1" applyFill="1" applyBorder="1" applyAlignment="1">
      <alignment horizontal="center" vertical="center" wrapText="1"/>
    </xf>
    <xf numFmtId="0" fontId="2" fillId="0" borderId="1" xfId="0" applyFont="1" applyBorder="1" applyAlignment="1">
      <alignment horizontal="left" vertical="center" wrapText="1" shrinkToFit="1"/>
    </xf>
    <xf numFmtId="0" fontId="1" fillId="0" borderId="1" xfId="0" applyFont="1" applyBorder="1" applyAlignment="1">
      <alignment horizontal="left" vertical="top" wrapText="1"/>
    </xf>
    <xf numFmtId="0" fontId="2" fillId="0" borderId="1" xfId="0" applyFont="1" applyBorder="1" applyAlignment="1">
      <alignment horizontal="left" vertical="center" wrapText="1"/>
    </xf>
    <xf numFmtId="0" fontId="35" fillId="11" borderId="0" xfId="0" applyFont="1" applyFill="1" applyAlignment="1">
      <alignment horizontal="center"/>
    </xf>
    <xf numFmtId="0" fontId="1" fillId="0" borderId="1" xfId="0" applyFont="1" applyBorder="1" applyAlignment="1">
      <alignment vertical="top" wrapText="1"/>
    </xf>
    <xf numFmtId="165" fontId="2" fillId="0" borderId="1" xfId="0" applyNumberFormat="1" applyFont="1" applyBorder="1" applyAlignment="1">
      <alignment horizontal="center" vertical="center" wrapText="1"/>
    </xf>
    <xf numFmtId="0" fontId="1" fillId="10" borderId="1" xfId="0" applyFont="1" applyFill="1" applyBorder="1" applyAlignment="1">
      <alignment horizontal="center" vertical="center" wrapText="1"/>
    </xf>
    <xf numFmtId="0" fontId="1" fillId="20" borderId="1" xfId="0" applyFont="1" applyFill="1" applyBorder="1" applyAlignment="1">
      <alignment horizontal="left" vertical="top" wrapText="1"/>
    </xf>
    <xf numFmtId="0" fontId="1" fillId="20" borderId="1" xfId="0" applyFont="1" applyFill="1" applyBorder="1" applyAlignment="1">
      <alignment horizontal="center" vertical="top" wrapText="1"/>
    </xf>
    <xf numFmtId="0" fontId="2" fillId="20" borderId="1" xfId="0" applyFont="1" applyFill="1" applyBorder="1" applyAlignment="1">
      <alignment horizontal="center" vertical="center" wrapText="1"/>
    </xf>
    <xf numFmtId="165" fontId="6" fillId="15" borderId="1" xfId="0" applyNumberFormat="1" applyFont="1" applyFill="1" applyBorder="1" applyAlignment="1">
      <alignment horizontal="center" vertical="center" wrapText="1"/>
    </xf>
    <xf numFmtId="165" fontId="53" fillId="15" borderId="1" xfId="0" applyNumberFormat="1" applyFont="1" applyFill="1" applyBorder="1" applyAlignment="1">
      <alignment horizontal="center" vertical="center" wrapText="1"/>
    </xf>
    <xf numFmtId="164" fontId="6" fillId="0" borderId="1" xfId="0" applyNumberFormat="1" applyFont="1" applyBorder="1" applyAlignment="1">
      <alignment horizontal="right" vertical="center" wrapText="1"/>
    </xf>
    <xf numFmtId="2" fontId="6" fillId="2" borderId="1" xfId="0" applyNumberFormat="1" applyFont="1" applyFill="1" applyBorder="1" applyAlignment="1">
      <alignment horizontal="center" vertical="center"/>
    </xf>
    <xf numFmtId="2" fontId="6" fillId="14" borderId="1" xfId="0" applyNumberFormat="1" applyFont="1" applyFill="1" applyBorder="1" applyAlignment="1">
      <alignment horizontal="center" vertical="center"/>
    </xf>
    <xf numFmtId="168" fontId="6" fillId="13" borderId="1"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65" fontId="27" fillId="0" borderId="14" xfId="0" applyNumberFormat="1" applyFont="1" applyBorder="1" applyAlignment="1">
      <alignment horizontal="center" vertical="center" wrapText="1"/>
    </xf>
    <xf numFmtId="165" fontId="27" fillId="0" borderId="6" xfId="0" applyNumberFormat="1" applyFont="1" applyBorder="1" applyAlignment="1">
      <alignment horizontal="center" vertical="center" wrapText="1"/>
    </xf>
    <xf numFmtId="165" fontId="27" fillId="0" borderId="6" xfId="0" applyNumberFormat="1" applyFont="1" applyFill="1" applyBorder="1" applyAlignment="1">
      <alignment horizontal="center" vertical="center" wrapText="1"/>
    </xf>
    <xf numFmtId="168" fontId="57" fillId="2" borderId="0" xfId="0" applyNumberFormat="1" applyFont="1" applyFill="1" applyAlignment="1">
      <alignment horizontal="center" vertical="center"/>
    </xf>
    <xf numFmtId="9" fontId="57" fillId="2" borderId="0" xfId="0" applyNumberFormat="1" applyFont="1" applyFill="1" applyAlignment="1">
      <alignment horizontal="center" vertical="center"/>
    </xf>
    <xf numFmtId="0" fontId="38" fillId="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7"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2" fillId="8" borderId="6" xfId="0" applyFont="1" applyFill="1" applyBorder="1" applyAlignment="1">
      <alignment horizontal="center" vertical="center" wrapText="1"/>
    </xf>
    <xf numFmtId="9" fontId="27" fillId="17" borderId="6" xfId="0" applyNumberFormat="1" applyFont="1" applyFill="1" applyBorder="1" applyAlignment="1">
      <alignment horizontal="center" vertical="center"/>
    </xf>
    <xf numFmtId="9" fontId="5" fillId="17" borderId="6" xfId="0" applyNumberFormat="1" applyFont="1" applyFill="1" applyBorder="1" applyAlignment="1">
      <alignment horizontal="center" vertical="center"/>
    </xf>
    <xf numFmtId="9" fontId="8" fillId="2" borderId="0" xfId="0" applyNumberFormat="1" applyFont="1" applyFill="1" applyAlignment="1">
      <alignment horizontal="center" vertical="center"/>
    </xf>
    <xf numFmtId="169" fontId="5" fillId="17" borderId="6" xfId="0" applyNumberFormat="1" applyFont="1" applyFill="1" applyBorder="1" applyAlignment="1">
      <alignment horizontal="center" vertical="center"/>
    </xf>
    <xf numFmtId="169" fontId="27" fillId="17" borderId="6"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6" fillId="0" borderId="28" xfId="0" applyFont="1" applyFill="1" applyBorder="1" applyAlignment="1">
      <alignment horizontal="center" vertical="center" wrapText="1"/>
    </xf>
    <xf numFmtId="2" fontId="6" fillId="21" borderId="1" xfId="0" applyNumberFormat="1" applyFont="1" applyFill="1" applyBorder="1" applyAlignment="1">
      <alignment horizontal="center" vertical="center" wrapText="1"/>
    </xf>
    <xf numFmtId="166" fontId="46" fillId="15" borderId="28" xfId="0" applyNumberFormat="1" applyFont="1" applyFill="1" applyBorder="1" applyAlignment="1">
      <alignment horizontal="center" vertical="center" wrapText="1"/>
    </xf>
    <xf numFmtId="166" fontId="46" fillId="16" borderId="28" xfId="0" applyNumberFormat="1" applyFont="1" applyFill="1" applyBorder="1" applyAlignment="1">
      <alignment horizontal="center" vertical="center" wrapText="1"/>
    </xf>
    <xf numFmtId="166" fontId="46" fillId="0" borderId="28" xfId="0" applyNumberFormat="1" applyFont="1" applyFill="1" applyBorder="1" applyAlignment="1">
      <alignment horizontal="center" vertical="center" wrapText="1"/>
    </xf>
    <xf numFmtId="166" fontId="46" fillId="17" borderId="28" xfId="0" applyNumberFormat="1" applyFont="1" applyFill="1" applyBorder="1" applyAlignment="1">
      <alignment horizontal="center" vertical="center" wrapText="1"/>
    </xf>
    <xf numFmtId="0" fontId="2" fillId="2" borderId="31" xfId="0" applyFont="1" applyFill="1" applyBorder="1" applyAlignment="1">
      <alignment vertical="top" wrapText="1"/>
    </xf>
    <xf numFmtId="0" fontId="2" fillId="2" borderId="1" xfId="0" applyFont="1" applyFill="1" applyBorder="1" applyAlignment="1">
      <alignment vertical="top" wrapText="1"/>
    </xf>
    <xf numFmtId="0" fontId="2" fillId="2" borderId="29" xfId="0" applyFont="1" applyFill="1" applyBorder="1" applyAlignment="1">
      <alignment vertical="top" wrapText="1"/>
    </xf>
    <xf numFmtId="0" fontId="2" fillId="4" borderId="37" xfId="0" applyFont="1" applyFill="1" applyBorder="1" applyAlignment="1">
      <alignment vertical="top" wrapText="1"/>
    </xf>
    <xf numFmtId="0" fontId="2" fillId="4" borderId="1" xfId="0" applyFont="1" applyFill="1" applyBorder="1" applyAlignment="1">
      <alignment vertical="top" wrapText="1"/>
    </xf>
    <xf numFmtId="0" fontId="2" fillId="4" borderId="33" xfId="0" applyFont="1" applyFill="1" applyBorder="1" applyAlignment="1">
      <alignment vertical="top" wrapText="1"/>
    </xf>
    <xf numFmtId="2" fontId="46" fillId="2" borderId="40" xfId="0" applyNumberFormat="1" applyFont="1" applyFill="1" applyBorder="1" applyAlignment="1">
      <alignment horizontal="center" vertical="center" wrapText="1"/>
    </xf>
    <xf numFmtId="166" fontId="46" fillId="2" borderId="38" xfId="0" applyNumberFormat="1" applyFont="1" applyFill="1" applyBorder="1" applyAlignment="1">
      <alignment horizontal="center" vertical="center" wrapText="1"/>
    </xf>
    <xf numFmtId="166" fontId="46" fillId="2" borderId="34" xfId="0" applyNumberFormat="1" applyFont="1" applyFill="1" applyBorder="1" applyAlignment="1">
      <alignment horizontal="center" vertical="center" wrapText="1"/>
    </xf>
    <xf numFmtId="0" fontId="2" fillId="22" borderId="1" xfId="0" applyFont="1" applyFill="1" applyBorder="1" applyAlignment="1">
      <alignment vertical="center" wrapText="1"/>
    </xf>
    <xf numFmtId="0" fontId="2" fillId="22" borderId="1" xfId="0" applyFont="1" applyFill="1" applyBorder="1" applyAlignment="1">
      <alignment vertical="top" wrapText="1"/>
    </xf>
    <xf numFmtId="2" fontId="46" fillId="4" borderId="44" xfId="0" applyNumberFormat="1" applyFont="1" applyFill="1" applyBorder="1" applyAlignment="1">
      <alignment horizontal="center" vertical="center" wrapText="1"/>
    </xf>
    <xf numFmtId="2" fontId="46" fillId="4" borderId="43" xfId="0" applyNumberFormat="1" applyFont="1" applyFill="1" applyBorder="1" applyAlignment="1">
      <alignment horizontal="center" vertical="center" wrapText="1"/>
    </xf>
    <xf numFmtId="0" fontId="11" fillId="0" borderId="0" xfId="0" applyFont="1"/>
    <xf numFmtId="0" fontId="35" fillId="0" borderId="0" xfId="0" applyFont="1" applyFill="1"/>
    <xf numFmtId="0" fontId="27" fillId="15" borderId="1" xfId="0" applyFont="1" applyFill="1" applyBorder="1" applyAlignment="1">
      <alignment horizontal="center" vertical="center" wrapText="1"/>
    </xf>
    <xf numFmtId="0" fontId="2" fillId="0" borderId="1" xfId="0" applyFont="1" applyBorder="1" applyAlignment="1">
      <alignment horizontal="center" vertical="center"/>
    </xf>
    <xf numFmtId="0" fontId="11" fillId="0" borderId="6" xfId="0" applyFont="1" applyBorder="1" applyAlignment="1">
      <alignment horizontal="center" vertical="center" wrapText="1"/>
    </xf>
    <xf numFmtId="165" fontId="6" fillId="0" borderId="13" xfId="0" applyNumberFormat="1" applyFont="1" applyFill="1" applyBorder="1" applyAlignment="1">
      <alignment horizontal="center" vertical="center" wrapText="1"/>
    </xf>
    <xf numFmtId="166" fontId="6" fillId="0" borderId="6" xfId="0" applyNumberFormat="1" applyFont="1" applyFill="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169" fontId="5" fillId="23" borderId="6" xfId="0" applyNumberFormat="1" applyFont="1" applyFill="1" applyBorder="1" applyAlignment="1">
      <alignment horizontal="center" vertical="center"/>
    </xf>
    <xf numFmtId="169" fontId="27" fillId="23" borderId="6" xfId="0" applyNumberFormat="1" applyFont="1" applyFill="1" applyBorder="1" applyAlignment="1">
      <alignment horizontal="center" vertical="center"/>
    </xf>
    <xf numFmtId="0" fontId="2" fillId="24" borderId="1" xfId="0" applyFont="1" applyFill="1" applyBorder="1" applyAlignment="1">
      <alignment horizontal="center" vertical="center" wrapText="1"/>
    </xf>
    <xf numFmtId="0" fontId="2" fillId="25"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164" fontId="9" fillId="0" borderId="1" xfId="0" applyNumberFormat="1" applyFont="1" applyBorder="1" applyAlignment="1">
      <alignment horizontal="center" vertical="center"/>
    </xf>
    <xf numFmtId="0" fontId="6" fillId="25" borderId="1" xfId="0" applyFont="1" applyFill="1" applyBorder="1" applyAlignment="1">
      <alignment horizontal="center" vertical="center" wrapText="1"/>
    </xf>
    <xf numFmtId="164" fontId="9" fillId="24" borderId="1"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8" fontId="2" fillId="13" borderId="1"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0" fontId="6" fillId="0" borderId="0" xfId="0" applyFont="1" applyAlignment="1">
      <alignment horizontal="center" vertical="center"/>
    </xf>
    <xf numFmtId="0" fontId="6" fillId="20" borderId="0" xfId="0" applyFont="1" applyFill="1" applyAlignment="1">
      <alignment horizontal="center" vertical="center" wrapText="1"/>
    </xf>
    <xf numFmtId="0" fontId="0" fillId="0" borderId="0" xfId="0" applyAlignment="1">
      <alignment horizontal="center" vertical="center"/>
    </xf>
    <xf numFmtId="164" fontId="7" fillId="0" borderId="0" xfId="0" applyNumberFormat="1" applyFont="1" applyAlignment="1">
      <alignment horizontal="center" vertical="center"/>
    </xf>
    <xf numFmtId="0" fontId="4" fillId="15" borderId="12" xfId="4" applyFont="1" applyFill="1" applyBorder="1" applyAlignment="1">
      <alignment vertical="center" wrapText="1"/>
    </xf>
    <xf numFmtId="0" fontId="46" fillId="15" borderId="12" xfId="4" applyFont="1" applyFill="1" applyBorder="1" applyAlignment="1">
      <alignment vertical="center" wrapText="1"/>
    </xf>
    <xf numFmtId="0" fontId="11" fillId="2" borderId="1" xfId="4" applyFont="1" applyFill="1" applyBorder="1" applyAlignment="1">
      <alignment horizontal="center" vertical="center" wrapText="1"/>
    </xf>
    <xf numFmtId="2" fontId="46" fillId="16" borderId="28" xfId="4" applyNumberFormat="1" applyFont="1" applyFill="1" applyBorder="1" applyAlignment="1">
      <alignment horizontal="center" vertical="center" wrapText="1"/>
    </xf>
    <xf numFmtId="2" fontId="46" fillId="15" borderId="28" xfId="4" applyNumberFormat="1" applyFont="1" applyFill="1" applyBorder="1" applyAlignment="1">
      <alignment horizontal="center" vertical="center" wrapText="1"/>
    </xf>
    <xf numFmtId="2" fontId="46" fillId="17" borderId="28" xfId="4" applyNumberFormat="1" applyFont="1" applyFill="1" applyBorder="1" applyAlignment="1">
      <alignment horizontal="center" vertical="center" wrapText="1"/>
    </xf>
    <xf numFmtId="2" fontId="46" fillId="8" borderId="28" xfId="4" applyNumberFormat="1" applyFont="1" applyFill="1" applyBorder="1" applyAlignment="1">
      <alignment horizontal="center" vertical="center" wrapText="1"/>
    </xf>
    <xf numFmtId="2" fontId="2" fillId="16" borderId="21" xfId="4" applyNumberFormat="1" applyFont="1" applyFill="1" applyBorder="1" applyAlignment="1">
      <alignment horizontal="center" vertical="center" wrapText="1"/>
    </xf>
    <xf numFmtId="2" fontId="46" fillId="16" borderId="12" xfId="4" applyNumberFormat="1" applyFont="1" applyFill="1" applyBorder="1" applyAlignment="1">
      <alignment horizontal="center" vertical="center" wrapText="1"/>
    </xf>
    <xf numFmtId="2" fontId="2" fillId="15" borderId="12" xfId="4" applyNumberFormat="1" applyFont="1" applyFill="1" applyBorder="1" applyAlignment="1">
      <alignment horizontal="center" vertical="center" wrapText="1"/>
    </xf>
    <xf numFmtId="2" fontId="46" fillId="15" borderId="12" xfId="4" applyNumberFormat="1" applyFont="1" applyFill="1" applyBorder="1" applyAlignment="1">
      <alignment horizontal="center" vertical="center" wrapText="1"/>
    </xf>
    <xf numFmtId="2" fontId="2" fillId="19" borderId="12" xfId="4" applyNumberFormat="1" applyFont="1" applyFill="1" applyBorder="1" applyAlignment="1">
      <alignment horizontal="center" vertical="center" wrapText="1"/>
    </xf>
    <xf numFmtId="2" fontId="46" fillId="17" borderId="12" xfId="4" applyNumberFormat="1" applyFont="1" applyFill="1" applyBorder="1" applyAlignment="1">
      <alignment horizontal="center" vertical="center" wrapText="1"/>
    </xf>
    <xf numFmtId="2" fontId="2" fillId="6" borderId="12" xfId="4" applyNumberFormat="1" applyFont="1" applyFill="1" applyBorder="1" applyAlignment="1">
      <alignment horizontal="center" vertical="center" wrapText="1"/>
    </xf>
    <xf numFmtId="2" fontId="46" fillId="8" borderId="12" xfId="4" applyNumberFormat="1" applyFont="1" applyFill="1" applyBorder="1" applyAlignment="1">
      <alignment horizontal="center" vertical="center" wrapText="1"/>
    </xf>
    <xf numFmtId="2" fontId="2" fillId="17" borderId="19" xfId="4" applyNumberFormat="1" applyFont="1" applyFill="1" applyBorder="1" applyAlignment="1">
      <alignment horizontal="center" vertical="center" wrapText="1"/>
    </xf>
    <xf numFmtId="0" fontId="1" fillId="0" borderId="1" xfId="0" applyFont="1" applyBorder="1" applyAlignment="1">
      <alignment horizontal="center" vertical="top" wrapText="1"/>
    </xf>
    <xf numFmtId="0" fontId="10" fillId="20" borderId="1" xfId="0" applyFont="1" applyFill="1" applyBorder="1" applyAlignment="1">
      <alignment horizontal="center" vertical="center" wrapText="1"/>
    </xf>
    <xf numFmtId="0" fontId="1" fillId="26" borderId="1" xfId="0" applyFont="1" applyFill="1" applyBorder="1" applyAlignment="1">
      <alignment horizontal="center" vertical="center" wrapText="1"/>
    </xf>
    <xf numFmtId="0" fontId="1" fillId="26" borderId="1" xfId="0" applyFont="1" applyFill="1" applyBorder="1" applyAlignment="1">
      <alignment horizontal="left" vertical="top" wrapText="1"/>
    </xf>
    <xf numFmtId="0" fontId="1" fillId="26" borderId="1" xfId="0" applyNumberFormat="1" applyFont="1" applyFill="1" applyBorder="1" applyAlignment="1">
      <alignment horizontal="left" vertical="top" wrapText="1"/>
    </xf>
    <xf numFmtId="0" fontId="1" fillId="26" borderId="1" xfId="0" applyNumberFormat="1" applyFont="1" applyFill="1" applyBorder="1" applyAlignment="1">
      <alignment horizontal="left" vertical="center" wrapText="1"/>
    </xf>
    <xf numFmtId="0" fontId="6" fillId="0" borderId="10" xfId="0" applyFont="1" applyFill="1" applyBorder="1" applyAlignment="1">
      <alignment horizontal="center"/>
    </xf>
    <xf numFmtId="0" fontId="1" fillId="14" borderId="1" xfId="0" applyFont="1" applyFill="1" applyBorder="1" applyAlignment="1">
      <alignment horizontal="left" vertical="top" wrapText="1"/>
    </xf>
    <xf numFmtId="0" fontId="2" fillId="26" borderId="1" xfId="0" applyFont="1" applyFill="1" applyBorder="1" applyAlignment="1">
      <alignment horizontal="center" vertical="center" wrapText="1"/>
    </xf>
    <xf numFmtId="0" fontId="64" fillId="0" borderId="1" xfId="0" applyFont="1" applyBorder="1" applyAlignment="1">
      <alignment horizontal="center" vertical="center" wrapText="1"/>
    </xf>
    <xf numFmtId="0" fontId="2" fillId="0" borderId="0" xfId="4" applyFont="1" applyFill="1" applyBorder="1" applyAlignment="1"/>
    <xf numFmtId="0" fontId="2" fillId="0" borderId="0" xfId="0" applyFont="1" applyFill="1" applyBorder="1" applyAlignment="1"/>
    <xf numFmtId="0" fontId="2" fillId="0" borderId="0" xfId="0" applyFont="1" applyBorder="1" applyAlignment="1">
      <alignment vertical="center"/>
    </xf>
    <xf numFmtId="0" fontId="2" fillId="2" borderId="10" xfId="4" applyFont="1" applyFill="1" applyBorder="1" applyAlignment="1">
      <alignment vertical="center" wrapText="1"/>
    </xf>
    <xf numFmtId="0" fontId="6" fillId="4" borderId="1" xfId="0" applyFont="1" applyFill="1" applyBorder="1" applyAlignment="1">
      <alignment vertical="center" wrapText="1"/>
    </xf>
    <xf numFmtId="168" fontId="46" fillId="4" borderId="40" xfId="4" applyNumberFormat="1" applyFont="1" applyFill="1" applyBorder="1" applyAlignment="1">
      <alignment horizontal="center" vertical="center" wrapText="1"/>
    </xf>
    <xf numFmtId="0" fontId="2" fillId="4" borderId="45" xfId="4" applyFont="1" applyFill="1" applyBorder="1" applyAlignment="1">
      <alignment vertical="center" wrapText="1"/>
    </xf>
    <xf numFmtId="166" fontId="46" fillId="4" borderId="25" xfId="4" applyNumberFormat="1" applyFont="1" applyFill="1" applyBorder="1" applyAlignment="1">
      <alignment horizontal="center" vertical="center" wrapText="1"/>
    </xf>
    <xf numFmtId="164" fontId="46" fillId="4" borderId="27" xfId="4" applyNumberFormat="1" applyFont="1" applyFill="1" applyBorder="1" applyAlignment="1">
      <alignment horizontal="right" vertical="center" wrapText="1"/>
    </xf>
    <xf numFmtId="0" fontId="2" fillId="4" borderId="1" xfId="0" applyFont="1" applyFill="1" applyBorder="1" applyAlignment="1">
      <alignment vertical="center" wrapText="1"/>
    </xf>
    <xf numFmtId="0" fontId="6" fillId="0" borderId="1" xfId="0" applyFont="1" applyBorder="1" applyAlignment="1">
      <alignment vertical="top"/>
    </xf>
    <xf numFmtId="0" fontId="35" fillId="11" borderId="0" xfId="0" applyFont="1" applyFill="1" applyAlignment="1">
      <alignment horizontal="center"/>
    </xf>
    <xf numFmtId="0" fontId="27" fillId="0" borderId="11" xfId="0" applyFont="1" applyBorder="1" applyAlignment="1">
      <alignment horizontal="center" vertical="center" wrapText="1"/>
    </xf>
    <xf numFmtId="0" fontId="6" fillId="0" borderId="23" xfId="0" applyFont="1" applyFill="1" applyBorder="1" applyAlignment="1">
      <alignment vertical="center" wrapText="1"/>
    </xf>
    <xf numFmtId="0" fontId="6" fillId="0" borderId="0" xfId="0" applyFont="1" applyFill="1" applyBorder="1" applyAlignment="1">
      <alignment vertical="center" wrapText="1"/>
    </xf>
    <xf numFmtId="0" fontId="6" fillId="0" borderId="24" xfId="0" applyFont="1" applyFill="1" applyBorder="1" applyAlignment="1">
      <alignment vertical="center" wrapText="1"/>
    </xf>
    <xf numFmtId="0" fontId="6" fillId="0" borderId="21" xfId="0" applyFont="1" applyFill="1" applyBorder="1" applyAlignment="1">
      <alignment vertical="center" wrapText="1"/>
    </xf>
    <xf numFmtId="0" fontId="6" fillId="0" borderId="11" xfId="0" applyFont="1" applyFill="1" applyBorder="1" applyAlignment="1">
      <alignment vertical="center" wrapText="1"/>
    </xf>
    <xf numFmtId="0" fontId="6" fillId="0" borderId="22" xfId="0" applyFont="1" applyFill="1" applyBorder="1" applyAlignment="1">
      <alignment vertical="center" wrapText="1"/>
    </xf>
    <xf numFmtId="0" fontId="55" fillId="11" borderId="0" xfId="0" applyFont="1" applyFill="1" applyAlignment="1">
      <alignment horizontal="center" vertical="center" wrapText="1"/>
    </xf>
    <xf numFmtId="0" fontId="27" fillId="0" borderId="0" xfId="0" applyFont="1" applyBorder="1" applyAlignment="1">
      <alignment vertical="top" wrapText="1"/>
    </xf>
    <xf numFmtId="0" fontId="11" fillId="0" borderId="0" xfId="0" applyFont="1" applyFill="1" applyBorder="1" applyAlignment="1"/>
    <xf numFmtId="0" fontId="27" fillId="0" borderId="0" xfId="0" applyFont="1" applyBorder="1" applyAlignment="1">
      <alignment wrapText="1"/>
    </xf>
    <xf numFmtId="0" fontId="2" fillId="15" borderId="29" xfId="0" applyFont="1" applyFill="1" applyBorder="1" applyAlignment="1">
      <alignment horizontal="center" vertical="center" wrapText="1"/>
    </xf>
    <xf numFmtId="0" fontId="2" fillId="15" borderId="30" xfId="0" applyFont="1" applyFill="1" applyBorder="1" applyAlignment="1">
      <alignment horizontal="center" vertical="center" wrapText="1"/>
    </xf>
    <xf numFmtId="0" fontId="2" fillId="15" borderId="31"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15" borderId="29" xfId="0" applyFont="1" applyFill="1" applyBorder="1" applyAlignment="1">
      <alignment horizontal="left" vertical="center" wrapText="1"/>
    </xf>
    <xf numFmtId="0" fontId="2" fillId="15" borderId="30" xfId="0" applyFont="1" applyFill="1" applyBorder="1" applyAlignment="1">
      <alignment horizontal="left" vertical="center" wrapText="1"/>
    </xf>
    <xf numFmtId="0" fontId="2" fillId="15" borderId="31" xfId="0" applyFont="1" applyFill="1" applyBorder="1" applyAlignment="1">
      <alignment horizontal="left" vertical="center" wrapText="1"/>
    </xf>
    <xf numFmtId="0" fontId="2" fillId="0" borderId="29" xfId="0" applyNumberFormat="1" applyFont="1" applyBorder="1" applyAlignment="1">
      <alignment horizontal="left" vertical="center" wrapText="1"/>
    </xf>
    <xf numFmtId="0" fontId="2" fillId="0" borderId="30"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0" fontId="4" fillId="15" borderId="29" xfId="0" applyNumberFormat="1" applyFont="1" applyFill="1" applyBorder="1" applyAlignment="1">
      <alignment horizontal="left" vertical="center" wrapText="1"/>
    </xf>
    <xf numFmtId="0" fontId="4" fillId="15" borderId="30" xfId="0" applyNumberFormat="1" applyFont="1" applyFill="1" applyBorder="1" applyAlignment="1">
      <alignment horizontal="left" vertical="center" wrapText="1"/>
    </xf>
    <xf numFmtId="0" fontId="4" fillId="15" borderId="31" xfId="0" applyNumberFormat="1" applyFont="1" applyFill="1" applyBorder="1" applyAlignment="1">
      <alignment horizontal="left" vertical="center" wrapText="1"/>
    </xf>
    <xf numFmtId="0" fontId="4" fillId="0" borderId="29"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8" borderId="29" xfId="0" applyFont="1" applyFill="1" applyBorder="1" applyAlignment="1">
      <alignment horizontal="left" vertical="center" wrapText="1"/>
    </xf>
    <xf numFmtId="0" fontId="2" fillId="8" borderId="30" xfId="0" applyFont="1" applyFill="1" applyBorder="1" applyAlignment="1">
      <alignment horizontal="left" vertical="center" wrapText="1"/>
    </xf>
    <xf numFmtId="0" fontId="2" fillId="8" borderId="31"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9" fillId="0" borderId="29" xfId="0" applyNumberFormat="1" applyFont="1" applyBorder="1" applyAlignment="1">
      <alignment horizontal="left" vertical="center" wrapText="1"/>
    </xf>
    <xf numFmtId="0" fontId="49" fillId="0" borderId="30" xfId="0" applyNumberFormat="1" applyFont="1" applyBorder="1" applyAlignment="1">
      <alignment horizontal="left" vertical="center" wrapText="1"/>
    </xf>
    <xf numFmtId="0" fontId="49" fillId="0" borderId="31" xfId="0" applyNumberFormat="1" applyFont="1" applyBorder="1" applyAlignment="1">
      <alignment horizontal="left" vertical="center" wrapText="1"/>
    </xf>
    <xf numFmtId="0" fontId="2" fillId="15" borderId="29" xfId="0" applyNumberFormat="1" applyFont="1" applyFill="1" applyBorder="1" applyAlignment="1">
      <alignment horizontal="left" vertical="center" wrapText="1"/>
    </xf>
    <xf numFmtId="0" fontId="2" fillId="15" borderId="30" xfId="0" applyNumberFormat="1" applyFont="1" applyFill="1" applyBorder="1" applyAlignment="1">
      <alignment horizontal="left" vertical="center" wrapText="1"/>
    </xf>
    <xf numFmtId="0" fontId="2" fillId="15" borderId="31" xfId="0" applyNumberFormat="1"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2" xfId="0" applyFont="1" applyFill="1" applyBorder="1" applyAlignment="1">
      <alignment horizontal="left" vertical="center" wrapText="1"/>
    </xf>
  </cellXfs>
  <cellStyles count="5">
    <cellStyle name="Čárka" xfId="1" builtinId="3"/>
    <cellStyle name="Měna" xfId="3" builtinId="4"/>
    <cellStyle name="Normální" xfId="0" builtinId="0"/>
    <cellStyle name="Normální 2" xfId="4" xr:uid="{00000000-0005-0000-0000-000003000000}"/>
    <cellStyle name="procent 2" xfId="2" xr:uid="{00000000-0005-0000-0000-000004000000}"/>
  </cellStyles>
  <dxfs count="124">
    <dxf>
      <font>
        <sz val="11"/>
      </font>
    </dxf>
    <dxf>
      <alignment wrapText="1" readingOrder="0"/>
    </dxf>
    <dxf>
      <font>
        <b val="0"/>
      </font>
    </dxf>
    <dxf>
      <font>
        <i val="0"/>
      </font>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2"/>
      </font>
    </dxf>
    <dxf>
      <font>
        <sz val="12"/>
      </font>
    </dxf>
    <dxf>
      <font>
        <b/>
      </font>
    </dxf>
    <dxf>
      <font>
        <b/>
      </font>
    </dxf>
    <dxf>
      <font>
        <i val="0"/>
      </font>
    </dxf>
    <dxf>
      <font>
        <i val="0"/>
      </font>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i val="0"/>
      </font>
    </dxf>
    <dxf>
      <font>
        <i val="0"/>
      </font>
    </dxf>
    <dxf>
      <font>
        <i val="0"/>
      </font>
    </dxf>
    <dxf>
      <font>
        <i val="0"/>
      </font>
    </dxf>
    <dxf>
      <font>
        <i val="0"/>
      </font>
    </dxf>
    <dxf>
      <font>
        <i val="0"/>
      </font>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none">
          <bgColor auto="1"/>
        </patternFill>
      </fill>
    </dxf>
    <dxf>
      <fill>
        <patternFill patternType="none">
          <bgColor auto="1"/>
        </patternFill>
      </fill>
    </dxf>
    <dxf>
      <font>
        <sz val="8"/>
      </font>
    </dxf>
    <dxf>
      <font>
        <sz val="8"/>
      </font>
    </dxf>
    <dxf>
      <font>
        <color auto="1"/>
      </font>
    </dxf>
    <dxf>
      <font>
        <color auto="1"/>
      </font>
    </dxf>
    <dxf>
      <font>
        <color auto="1"/>
      </font>
    </dxf>
    <dxf>
      <font>
        <color auto="1"/>
      </font>
    </dxf>
    <dxf>
      <alignment vertical="center" readingOrder="0"/>
    </dxf>
    <dxf>
      <alignment vertical="center" readingOrder="0"/>
    </dxf>
    <dxf>
      <alignment vertical="center" readingOrder="0"/>
    </dxf>
    <dxf>
      <alignment vertical="center" readingOrder="0"/>
    </dxf>
    <dxf>
      <alignment vertical="center" readingOrder="0"/>
    </dxf>
    <dxf>
      <fill>
        <patternFill>
          <bgColor rgb="FFFFCC66"/>
        </patternFill>
      </fill>
    </dxf>
    <dxf>
      <fill>
        <patternFill>
          <bgColor rgb="FFFFCC66"/>
        </patternFill>
      </fill>
    </dxf>
    <dxf>
      <fill>
        <patternFill patternType="solid">
          <bgColor rgb="FFC00000"/>
        </patternFill>
      </fill>
    </dxf>
    <dxf>
      <fill>
        <patternFill patternType="none">
          <bgColor auto="1"/>
        </patternFill>
      </fill>
    </dxf>
    <dxf>
      <fill>
        <patternFill>
          <bgColor theme="5" tint="0.59999389629810485"/>
        </patternFill>
      </fill>
    </dxf>
    <dxf>
      <fill>
        <patternFill>
          <bgColor theme="5" tint="0.59999389629810485"/>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patternType="solid">
          <bgColor theme="5" tint="0.39997558519241921"/>
        </patternFill>
      </fill>
    </dxf>
    <dxf>
      <fill>
        <patternFill patternType="none">
          <bgColor auto="1"/>
        </patternFill>
      </fill>
    </dxf>
    <dxf>
      <font>
        <sz val="8"/>
      </font>
    </dxf>
    <dxf>
      <font>
        <sz val="8"/>
      </font>
    </dxf>
    <dxf>
      <font>
        <sz val="12"/>
      </font>
    </dxf>
    <dxf>
      <font>
        <sz val="12"/>
      </font>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fill>
        <patternFill patternType="solid">
          <bgColor theme="0"/>
        </patternFill>
      </fill>
    </dxf>
    <dxf>
      <font>
        <sz val="14"/>
      </font>
    </dxf>
    <dxf>
      <font>
        <sz val="14"/>
      </font>
    </dxf>
    <dxf>
      <fill>
        <patternFill patternType="solid">
          <bgColor rgb="FFFF9999"/>
        </patternFill>
      </fill>
    </dxf>
    <dxf>
      <fill>
        <patternFill>
          <bgColor rgb="FF00B0F0"/>
        </patternFill>
      </fill>
    </dxf>
    <dxf>
      <fill>
        <patternFill>
          <bgColor rgb="FF00B0F0"/>
        </patternFill>
      </fill>
    </dxf>
    <dxf>
      <font>
        <color theme="0"/>
      </font>
    </dxf>
    <dxf>
      <font>
        <color theme="0"/>
      </font>
    </dxf>
    <dxf>
      <font>
        <color theme="0"/>
      </font>
    </dxf>
    <dxf>
      <font>
        <color theme="0"/>
      </font>
    </dxf>
    <dxf>
      <fill>
        <patternFill patternType="solid">
          <bgColor rgb="FFCC00FF"/>
        </patternFill>
      </fill>
    </dxf>
    <dxf>
      <fill>
        <patternFill patternType="solid">
          <bgColor rgb="FFCC00FF"/>
        </patternFill>
      </fill>
    </dxf>
    <dxf>
      <fill>
        <patternFill patternType="solid">
          <bgColor theme="5" tint="0.39997558519241921"/>
        </patternFill>
      </fill>
    </dxf>
    <dxf>
      <fill>
        <patternFill patternType="solid">
          <bgColor theme="5" tint="0.39997558519241921"/>
        </patternFill>
      </fill>
    </dxf>
    <dxf>
      <fill>
        <patternFill patternType="solid">
          <bgColor theme="9" tint="0.59999389629810485"/>
        </patternFill>
      </fill>
    </dxf>
    <dxf>
      <fill>
        <patternFill patternType="solid">
          <bgColor theme="9" tint="0.59999389629810485"/>
        </patternFill>
      </fill>
    </dxf>
    <dxf>
      <alignment horizontal="center" readingOrder="0"/>
    </dxf>
    <dxf>
      <alignment horizontal="center" readingOrder="0"/>
    </dxf>
    <dxf>
      <font>
        <sz val="10"/>
      </font>
    </dxf>
    <dxf>
      <font>
        <sz val="12"/>
      </font>
    </dxf>
    <dxf>
      <font>
        <sz val="12"/>
      </font>
    </dxf>
    <dxf>
      <font>
        <sz val="12"/>
      </font>
    </dxf>
    <dxf>
      <fill>
        <patternFill>
          <bgColor theme="5" tint="0.39997558519241921"/>
        </patternFill>
      </fill>
    </dxf>
    <dxf>
      <fill>
        <patternFill>
          <bgColor theme="5" tint="0.39997558519241921"/>
        </patternFill>
      </fill>
    </dxf>
    <dxf>
      <fill>
        <patternFill patternType="solid">
          <bgColor theme="6" tint="0.39997558519241921"/>
        </patternFill>
      </fill>
    </dxf>
    <dxf>
      <fill>
        <patternFill patternType="none">
          <bgColor auto="1"/>
        </patternFill>
      </fill>
    </dxf>
    <dxf>
      <fill>
        <patternFill patternType="solid">
          <bgColor rgb="FFFFFF00"/>
        </patternFill>
      </fill>
    </dxf>
    <dxf>
      <fill>
        <patternFill patternType="solid">
          <bgColor rgb="FFFFFF00"/>
        </patternFill>
      </fill>
    </dxf>
    <dxf>
      <font>
        <color theme="2"/>
      </font>
    </dxf>
    <dxf>
      <font>
        <color theme="2"/>
      </font>
    </dxf>
    <dxf>
      <font>
        <color auto="1"/>
      </font>
    </dxf>
    <dxf>
      <font>
        <color auto="1"/>
      </font>
    </dxf>
    <dxf>
      <font>
        <i/>
      </font>
    </dxf>
    <dxf>
      <font>
        <i/>
      </font>
    </dxf>
    <dxf>
      <font>
        <i/>
      </font>
    </dxf>
    <dxf>
      <font>
        <i/>
      </font>
    </dxf>
    <dxf>
      <font>
        <i/>
      </font>
    </dxf>
    <dxf>
      <font>
        <b/>
      </font>
    </dxf>
    <dxf>
      <font>
        <b/>
      </font>
    </dxf>
    <dxf>
      <font>
        <b/>
      </font>
    </dxf>
    <dxf>
      <font>
        <b/>
      </font>
    </dxf>
    <dxf>
      <font>
        <b/>
      </font>
    </dxf>
    <dxf>
      <font>
        <sz val="11"/>
      </font>
    </dxf>
    <dxf>
      <font>
        <sz val="11"/>
      </font>
    </dxf>
    <dxf>
      <fill>
        <patternFill patternType="solid">
          <bgColor rgb="FFCC00FF"/>
        </patternFill>
      </fill>
    </dxf>
    <dxf>
      <fill>
        <patternFill patternType="solid">
          <bgColor rgb="FFCC00FF"/>
        </patternFill>
      </fill>
    </dxf>
    <dxf>
      <fill>
        <patternFill patternType="solid">
          <bgColor rgb="FF00B050"/>
        </patternFill>
      </fill>
    </dxf>
    <dxf>
      <fill>
        <patternFill patternType="solid">
          <bgColor rgb="FF00B050"/>
        </patternFill>
      </fill>
    </dxf>
    <dxf>
      <fill>
        <patternFill patternType="solid">
          <bgColor rgb="FFFFC000"/>
        </patternFill>
      </fill>
    </dxf>
    <dxf>
      <fill>
        <patternFill patternType="solid">
          <bgColor rgb="FFFFC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0000FF"/>
      <color rgb="FF2CCCEC"/>
      <color rgb="FFFF00FF"/>
      <color rgb="FFFF4F25"/>
      <color rgb="FFFF66FF"/>
      <color rgb="FFFFFF66"/>
      <color rgb="FFDC88C4"/>
      <color rgb="FF30F030"/>
      <color rgb="FF663300"/>
      <color rgb="FF42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341138744852856"/>
          <c:y val="2.3090159735786774E-2"/>
          <c:w val="0.60665101954105516"/>
          <c:h val="0.84993934415706052"/>
        </c:manualLayout>
      </c:layout>
      <c:scatterChart>
        <c:scatterStyle val="lineMarker"/>
        <c:varyColors val="0"/>
        <c:ser>
          <c:idx val="0"/>
          <c:order val="0"/>
          <c:tx>
            <c:strRef>
              <c:f>'CEA (po indukci)'!$A$32</c:f>
              <c:strCache>
                <c:ptCount val="1"/>
                <c:pt idx="0">
                  <c:v>ENBREL 50mg inj. (při dávce 100mg týdně do 12. týdne) - etanercept (iTNF)</c:v>
                </c:pt>
              </c:strCache>
            </c:strRef>
          </c:tx>
          <c:dPt>
            <c:idx val="1"/>
            <c:marker>
              <c:symbol val="none"/>
            </c:marker>
            <c:bubble3D val="0"/>
            <c:extLst>
              <c:ext xmlns:c16="http://schemas.microsoft.com/office/drawing/2014/chart" uri="{C3380CC4-5D6E-409C-BE32-E72D297353CC}">
                <c16:uniqueId val="{00000000-6564-4552-BFD4-DAFE47380EC0}"/>
              </c:ext>
            </c:extLst>
          </c:dPt>
          <c:dPt>
            <c:idx val="2"/>
            <c:marker>
              <c:symbol val="none"/>
            </c:marker>
            <c:bubble3D val="0"/>
            <c:extLst>
              <c:ext xmlns:c16="http://schemas.microsoft.com/office/drawing/2014/chart" uri="{C3380CC4-5D6E-409C-BE32-E72D297353CC}">
                <c16:uniqueId val="{00000001-6564-4552-BFD4-DAFE47380EC0}"/>
              </c:ext>
            </c:extLst>
          </c:dPt>
          <c:xVal>
            <c:numRef>
              <c:f>'CEA (po indukci)'!$F$32:$F$34</c:f>
              <c:numCache>
                <c:formatCode>#\ ##0\ "Kč"</c:formatCode>
                <c:ptCount val="3"/>
                <c:pt idx="0">
                  <c:v>597280.31999999995</c:v>
                </c:pt>
                <c:pt idx="1">
                  <c:v>466569.6</c:v>
                </c:pt>
                <c:pt idx="2">
                  <c:v>787469.76</c:v>
                </c:pt>
              </c:numCache>
            </c:numRef>
          </c:xVal>
          <c:yVal>
            <c:numRef>
              <c:f>'CEA (po indukci)'!$G$32:$G$34</c:f>
              <c:numCache>
                <c:formatCode>General</c:formatCode>
                <c:ptCount val="3"/>
                <c:pt idx="0">
                  <c:v>13</c:v>
                </c:pt>
                <c:pt idx="1">
                  <c:v>13</c:v>
                </c:pt>
                <c:pt idx="2">
                  <c:v>13</c:v>
                </c:pt>
              </c:numCache>
            </c:numRef>
          </c:yVal>
          <c:smooth val="0"/>
          <c:extLst>
            <c:ext xmlns:c16="http://schemas.microsoft.com/office/drawing/2014/chart" uri="{C3380CC4-5D6E-409C-BE32-E72D297353CC}">
              <c16:uniqueId val="{00000002-6564-4552-BFD4-DAFE47380EC0}"/>
            </c:ext>
          </c:extLst>
        </c:ser>
        <c:ser>
          <c:idx val="1"/>
          <c:order val="1"/>
          <c:tx>
            <c:strRef>
              <c:f>'CEA (po indukci)'!$A$38</c:f>
              <c:strCache>
                <c:ptCount val="1"/>
                <c:pt idx="0">
                  <c:v>CIMZIA 200mg inj.  (při udrž. dávce 400mg) - certolizumab peg. (iTNF)</c:v>
                </c:pt>
              </c:strCache>
            </c:strRef>
          </c:tx>
          <c:dPt>
            <c:idx val="1"/>
            <c:marker>
              <c:symbol val="none"/>
            </c:marker>
            <c:bubble3D val="0"/>
            <c:extLst>
              <c:ext xmlns:c16="http://schemas.microsoft.com/office/drawing/2014/chart" uri="{C3380CC4-5D6E-409C-BE32-E72D297353CC}">
                <c16:uniqueId val="{00000003-6564-4552-BFD4-DAFE47380EC0}"/>
              </c:ext>
            </c:extLst>
          </c:dPt>
          <c:dPt>
            <c:idx val="2"/>
            <c:marker>
              <c:symbol val="none"/>
            </c:marker>
            <c:bubble3D val="0"/>
            <c:extLst>
              <c:ext xmlns:c16="http://schemas.microsoft.com/office/drawing/2014/chart" uri="{C3380CC4-5D6E-409C-BE32-E72D297353CC}">
                <c16:uniqueId val="{00000004-6564-4552-BFD4-DAFE47380EC0}"/>
              </c:ext>
            </c:extLst>
          </c:dPt>
          <c:xVal>
            <c:numRef>
              <c:f>'CEA (po indukci)'!$F$38:$F$40</c:f>
              <c:numCache>
                <c:formatCode>#\ ##0\ "Kč"</c:formatCode>
                <c:ptCount val="3"/>
                <c:pt idx="0">
                  <c:v>520675.66980000003</c:v>
                </c:pt>
                <c:pt idx="1">
                  <c:v>379623.06359999999</c:v>
                </c:pt>
                <c:pt idx="2">
                  <c:v>751409.8713</c:v>
                </c:pt>
              </c:numCache>
            </c:numRef>
          </c:xVal>
          <c:yVal>
            <c:numRef>
              <c:f>'CEA (po indukci)'!$G$38:$G$40</c:f>
              <c:numCache>
                <c:formatCode>General</c:formatCode>
                <c:ptCount val="3"/>
                <c:pt idx="0">
                  <c:v>12</c:v>
                </c:pt>
                <c:pt idx="1">
                  <c:v>12</c:v>
                </c:pt>
                <c:pt idx="2">
                  <c:v>12</c:v>
                </c:pt>
              </c:numCache>
            </c:numRef>
          </c:yVal>
          <c:smooth val="0"/>
          <c:extLst>
            <c:ext xmlns:c16="http://schemas.microsoft.com/office/drawing/2014/chart" uri="{C3380CC4-5D6E-409C-BE32-E72D297353CC}">
              <c16:uniqueId val="{00000005-6564-4552-BFD4-DAFE47380EC0}"/>
            </c:ext>
          </c:extLst>
        </c:ser>
        <c:ser>
          <c:idx val="2"/>
          <c:order val="2"/>
          <c:tx>
            <c:strRef>
              <c:f>'CEA (po indukci)'!$A$35</c:f>
              <c:strCache>
                <c:ptCount val="1"/>
                <c:pt idx="0">
                  <c:v>STELARA 45mg inj. (jen do 100kg) - ustekinumab (antiIL-12 a IL-23)</c:v>
                </c:pt>
              </c:strCache>
            </c:strRef>
          </c:tx>
          <c:dPt>
            <c:idx val="1"/>
            <c:marker>
              <c:symbol val="none"/>
            </c:marker>
            <c:bubble3D val="0"/>
            <c:extLst>
              <c:ext xmlns:c16="http://schemas.microsoft.com/office/drawing/2014/chart" uri="{C3380CC4-5D6E-409C-BE32-E72D297353CC}">
                <c16:uniqueId val="{00000006-6564-4552-BFD4-DAFE47380EC0}"/>
              </c:ext>
            </c:extLst>
          </c:dPt>
          <c:dPt>
            <c:idx val="2"/>
            <c:marker>
              <c:symbol val="none"/>
            </c:marker>
            <c:bubble3D val="0"/>
            <c:extLst>
              <c:ext xmlns:c16="http://schemas.microsoft.com/office/drawing/2014/chart" uri="{C3380CC4-5D6E-409C-BE32-E72D297353CC}">
                <c16:uniqueId val="{00000007-6564-4552-BFD4-DAFE47380EC0}"/>
              </c:ext>
            </c:extLst>
          </c:dPt>
          <c:xVal>
            <c:numRef>
              <c:f>'CEA (po indukci)'!$F$35:$F$37</c:f>
              <c:numCache>
                <c:formatCode>#\ ##0\ "Kč"</c:formatCode>
                <c:ptCount val="3"/>
                <c:pt idx="0">
                  <c:v>1060606.9188000001</c:v>
                </c:pt>
                <c:pt idx="1">
                  <c:v>904853.45519999997</c:v>
                </c:pt>
                <c:pt idx="2">
                  <c:v>1259007.1641000002</c:v>
                </c:pt>
              </c:numCache>
            </c:numRef>
          </c:xVal>
          <c:yVal>
            <c:numRef>
              <c:f>'CEA (po indukci)'!$G$35:$G$37</c:f>
              <c:numCache>
                <c:formatCode>General</c:formatCode>
                <c:ptCount val="3"/>
                <c:pt idx="0">
                  <c:v>11</c:v>
                </c:pt>
                <c:pt idx="1">
                  <c:v>11</c:v>
                </c:pt>
                <c:pt idx="2">
                  <c:v>11</c:v>
                </c:pt>
              </c:numCache>
            </c:numRef>
          </c:yVal>
          <c:smooth val="0"/>
          <c:extLst>
            <c:ext xmlns:c16="http://schemas.microsoft.com/office/drawing/2014/chart" uri="{C3380CC4-5D6E-409C-BE32-E72D297353CC}">
              <c16:uniqueId val="{00000008-6564-4552-BFD4-DAFE47380EC0}"/>
            </c:ext>
          </c:extLst>
        </c:ser>
        <c:ser>
          <c:idx val="3"/>
          <c:order val="3"/>
          <c:tx>
            <c:strRef>
              <c:f>'CEA (po indukci)'!$A$29</c:f>
              <c:strCache>
                <c:ptCount val="1"/>
                <c:pt idx="0">
                  <c:v>COSENTYX 150mg inj. - secukinumab (antiIL-17)</c:v>
                </c:pt>
              </c:strCache>
            </c:strRef>
          </c:tx>
          <c:dPt>
            <c:idx val="1"/>
            <c:marker>
              <c:symbol val="none"/>
            </c:marker>
            <c:bubble3D val="0"/>
            <c:extLst>
              <c:ext xmlns:c16="http://schemas.microsoft.com/office/drawing/2014/chart" uri="{C3380CC4-5D6E-409C-BE32-E72D297353CC}">
                <c16:uniqueId val="{00000009-6564-4552-BFD4-DAFE47380EC0}"/>
              </c:ext>
            </c:extLst>
          </c:dPt>
          <c:dPt>
            <c:idx val="2"/>
            <c:marker>
              <c:symbol val="none"/>
            </c:marker>
            <c:bubble3D val="0"/>
            <c:extLst>
              <c:ext xmlns:c16="http://schemas.microsoft.com/office/drawing/2014/chart" uri="{C3380CC4-5D6E-409C-BE32-E72D297353CC}">
                <c16:uniqueId val="{0000000A-6564-4552-BFD4-DAFE47380EC0}"/>
              </c:ext>
            </c:extLst>
          </c:dPt>
          <c:xVal>
            <c:numRef>
              <c:f>'CEA (po indukci)'!$F$29:$F$31</c:f>
              <c:numCache>
                <c:formatCode>#\ ##0\ "Kč"</c:formatCode>
                <c:ptCount val="3"/>
                <c:pt idx="0">
                  <c:v>450382.63648000004</c:v>
                </c:pt>
                <c:pt idx="1">
                  <c:v>389559.25792000006</c:v>
                </c:pt>
                <c:pt idx="2">
                  <c:v>525687.77184000006</c:v>
                </c:pt>
              </c:numCache>
            </c:numRef>
          </c:xVal>
          <c:yVal>
            <c:numRef>
              <c:f>'CEA (po indukci)'!$G$29:$G$31</c:f>
              <c:numCache>
                <c:formatCode>General</c:formatCode>
                <c:ptCount val="3"/>
                <c:pt idx="0">
                  <c:v>10</c:v>
                </c:pt>
                <c:pt idx="1">
                  <c:v>10</c:v>
                </c:pt>
                <c:pt idx="2">
                  <c:v>10</c:v>
                </c:pt>
              </c:numCache>
            </c:numRef>
          </c:yVal>
          <c:smooth val="0"/>
          <c:extLst>
            <c:ext xmlns:c16="http://schemas.microsoft.com/office/drawing/2014/chart" uri="{C3380CC4-5D6E-409C-BE32-E72D297353CC}">
              <c16:uniqueId val="{0000000B-6564-4552-BFD4-DAFE47380EC0}"/>
            </c:ext>
          </c:extLst>
        </c:ser>
        <c:ser>
          <c:idx val="4"/>
          <c:order val="4"/>
          <c:tx>
            <c:strRef>
              <c:f>'CEA (po indukci)'!$A$26</c:f>
              <c:strCache>
                <c:ptCount val="1"/>
                <c:pt idx="0">
                  <c:v>CIMZIA 200mg inj.  (při udrž. dávce 200mg) - certolizumab peg. (iTNF)</c:v>
                </c:pt>
              </c:strCache>
            </c:strRef>
          </c:tx>
          <c:dPt>
            <c:idx val="1"/>
            <c:marker>
              <c:symbol val="none"/>
            </c:marker>
            <c:bubble3D val="0"/>
            <c:extLst>
              <c:ext xmlns:c16="http://schemas.microsoft.com/office/drawing/2014/chart" uri="{C3380CC4-5D6E-409C-BE32-E72D297353CC}">
                <c16:uniqueId val="{0000000C-6564-4552-BFD4-DAFE47380EC0}"/>
              </c:ext>
            </c:extLst>
          </c:dPt>
          <c:dPt>
            <c:idx val="2"/>
            <c:marker>
              <c:symbol val="none"/>
            </c:marker>
            <c:bubble3D val="0"/>
            <c:extLst>
              <c:ext xmlns:c16="http://schemas.microsoft.com/office/drawing/2014/chart" uri="{C3380CC4-5D6E-409C-BE32-E72D297353CC}">
                <c16:uniqueId val="{0000000D-6564-4552-BFD4-DAFE47380EC0}"/>
              </c:ext>
            </c:extLst>
          </c:dPt>
          <c:xVal>
            <c:numRef>
              <c:f>'CEA (po indukci)'!$F$26:$F$28</c:f>
              <c:numCache>
                <c:formatCode>#\ ##0\ "Kč"</c:formatCode>
                <c:ptCount val="3"/>
                <c:pt idx="0">
                  <c:v>376869.92569379997</c:v>
                </c:pt>
                <c:pt idx="1">
                  <c:v>268369.12650239997</c:v>
                </c:pt>
                <c:pt idx="2">
                  <c:v>555607.95721199992</c:v>
                </c:pt>
              </c:numCache>
            </c:numRef>
          </c:xVal>
          <c:yVal>
            <c:numRef>
              <c:f>'CEA (po indukci)'!$G$26:$G$28</c:f>
              <c:numCache>
                <c:formatCode>General</c:formatCode>
                <c:ptCount val="3"/>
                <c:pt idx="0">
                  <c:v>9</c:v>
                </c:pt>
                <c:pt idx="1">
                  <c:v>9</c:v>
                </c:pt>
                <c:pt idx="2">
                  <c:v>9</c:v>
                </c:pt>
              </c:numCache>
            </c:numRef>
          </c:yVal>
          <c:smooth val="0"/>
          <c:extLst>
            <c:ext xmlns:c16="http://schemas.microsoft.com/office/drawing/2014/chart" uri="{C3380CC4-5D6E-409C-BE32-E72D297353CC}">
              <c16:uniqueId val="{0000000E-6564-4552-BFD4-DAFE47380EC0}"/>
            </c:ext>
          </c:extLst>
        </c:ser>
        <c:ser>
          <c:idx val="5"/>
          <c:order val="5"/>
          <c:tx>
            <c:strRef>
              <c:f>'CEA (po indukci)'!$A$23</c:f>
              <c:strCache>
                <c:ptCount val="1"/>
                <c:pt idx="0">
                  <c:v>BIMZELX 160mg inj. - bimekizumab (anti IL-17A/17F/17AF)</c:v>
                </c:pt>
              </c:strCache>
            </c:strRef>
          </c:tx>
          <c:dPt>
            <c:idx val="1"/>
            <c:marker>
              <c:symbol val="none"/>
            </c:marker>
            <c:bubble3D val="0"/>
            <c:extLst>
              <c:ext xmlns:c16="http://schemas.microsoft.com/office/drawing/2014/chart" uri="{C3380CC4-5D6E-409C-BE32-E72D297353CC}">
                <c16:uniqueId val="{0000000F-6564-4552-BFD4-DAFE47380EC0}"/>
              </c:ext>
            </c:extLst>
          </c:dPt>
          <c:dPt>
            <c:idx val="2"/>
            <c:marker>
              <c:symbol val="none"/>
            </c:marker>
            <c:bubble3D val="0"/>
            <c:extLst>
              <c:ext xmlns:c16="http://schemas.microsoft.com/office/drawing/2014/chart" uri="{C3380CC4-5D6E-409C-BE32-E72D297353CC}">
                <c16:uniqueId val="{00000010-6564-4552-BFD4-DAFE47380EC0}"/>
              </c:ext>
            </c:extLst>
          </c:dPt>
          <c:xVal>
            <c:numRef>
              <c:f>'CEA (po indukci)'!$F$23:$F$25</c:f>
              <c:numCache>
                <c:formatCode>#\ ##0\ "Kč"</c:formatCode>
                <c:ptCount val="3"/>
                <c:pt idx="0">
                  <c:v>333129.75015600002</c:v>
                </c:pt>
                <c:pt idx="1">
                  <c:v>302497.12945200002</c:v>
                </c:pt>
                <c:pt idx="2">
                  <c:v>375249.60362399998</c:v>
                </c:pt>
              </c:numCache>
            </c:numRef>
          </c:xVal>
          <c:yVal>
            <c:numRef>
              <c:f>'CEA (po indukci)'!$G$23:$G$25</c:f>
              <c:numCache>
                <c:formatCode>General</c:formatCode>
                <c:ptCount val="3"/>
                <c:pt idx="0">
                  <c:v>8</c:v>
                </c:pt>
                <c:pt idx="1">
                  <c:v>8</c:v>
                </c:pt>
                <c:pt idx="2">
                  <c:v>8</c:v>
                </c:pt>
              </c:numCache>
            </c:numRef>
          </c:yVal>
          <c:smooth val="0"/>
          <c:extLst>
            <c:ext xmlns:c16="http://schemas.microsoft.com/office/drawing/2014/chart" uri="{C3380CC4-5D6E-409C-BE32-E72D297353CC}">
              <c16:uniqueId val="{00000011-6564-4552-BFD4-DAFE47380EC0}"/>
            </c:ext>
          </c:extLst>
        </c:ser>
        <c:ser>
          <c:idx val="6"/>
          <c:order val="6"/>
          <c:tx>
            <c:strRef>
              <c:f>'CEA (po indukci)'!$A$20</c:f>
              <c:strCache>
                <c:ptCount val="1"/>
                <c:pt idx="0">
                  <c:v>TREMFYA 100mg inj.  - guselkumab (antiIL-23)</c:v>
                </c:pt>
              </c:strCache>
            </c:strRef>
          </c:tx>
          <c:dPt>
            <c:idx val="1"/>
            <c:marker>
              <c:symbol val="none"/>
            </c:marker>
            <c:bubble3D val="0"/>
            <c:extLst>
              <c:ext xmlns:c16="http://schemas.microsoft.com/office/drawing/2014/chart" uri="{C3380CC4-5D6E-409C-BE32-E72D297353CC}">
                <c16:uniqueId val="{00000012-6564-4552-BFD4-DAFE47380EC0}"/>
              </c:ext>
            </c:extLst>
          </c:dPt>
          <c:dPt>
            <c:idx val="2"/>
            <c:marker>
              <c:symbol val="none"/>
            </c:marker>
            <c:bubble3D val="0"/>
            <c:extLst>
              <c:ext xmlns:c16="http://schemas.microsoft.com/office/drawing/2014/chart" uri="{C3380CC4-5D6E-409C-BE32-E72D297353CC}">
                <c16:uniqueId val="{00000013-6564-4552-BFD4-DAFE47380EC0}"/>
              </c:ext>
            </c:extLst>
          </c:dPt>
          <c:xVal>
            <c:numRef>
              <c:f>'CEA (po indukci)'!$F$20:$F$22</c:f>
              <c:numCache>
                <c:formatCode>#\ ##0\ "Kč"</c:formatCode>
                <c:ptCount val="3"/>
                <c:pt idx="0">
                  <c:v>426163.67640000005</c:v>
                </c:pt>
                <c:pt idx="1">
                  <c:v>363899.50290000002</c:v>
                </c:pt>
                <c:pt idx="2">
                  <c:v>507798.92610000004</c:v>
                </c:pt>
              </c:numCache>
            </c:numRef>
          </c:xVal>
          <c:yVal>
            <c:numRef>
              <c:f>'CEA (po indukci)'!$G$20:$G$22</c:f>
              <c:numCache>
                <c:formatCode>General</c:formatCode>
                <c:ptCount val="3"/>
                <c:pt idx="0">
                  <c:v>7</c:v>
                </c:pt>
                <c:pt idx="1">
                  <c:v>7</c:v>
                </c:pt>
                <c:pt idx="2">
                  <c:v>7</c:v>
                </c:pt>
              </c:numCache>
            </c:numRef>
          </c:yVal>
          <c:smooth val="0"/>
          <c:extLst>
            <c:ext xmlns:c16="http://schemas.microsoft.com/office/drawing/2014/chart" uri="{C3380CC4-5D6E-409C-BE32-E72D297353CC}">
              <c16:uniqueId val="{00000014-6564-4552-BFD4-DAFE47380EC0}"/>
            </c:ext>
          </c:extLst>
        </c:ser>
        <c:ser>
          <c:idx val="7"/>
          <c:order val="7"/>
          <c:tx>
            <c:strRef>
              <c:f>'CEA (po indukci)'!$A$17</c:f>
              <c:strCache>
                <c:ptCount val="1"/>
                <c:pt idx="0">
                  <c:v>TALTZ 80mg inj. - ixekizumab (antiIL-17)</c:v>
                </c:pt>
              </c:strCache>
            </c:strRef>
          </c:tx>
          <c:dPt>
            <c:idx val="0"/>
            <c:marker>
              <c:symbol val="x"/>
              <c:size val="5"/>
            </c:marker>
            <c:bubble3D val="0"/>
            <c:extLst>
              <c:ext xmlns:c16="http://schemas.microsoft.com/office/drawing/2014/chart" uri="{C3380CC4-5D6E-409C-BE32-E72D297353CC}">
                <c16:uniqueId val="{00000015-6564-4552-BFD4-DAFE47380EC0}"/>
              </c:ext>
            </c:extLst>
          </c:dPt>
          <c:dPt>
            <c:idx val="1"/>
            <c:marker>
              <c:symbol val="none"/>
            </c:marker>
            <c:bubble3D val="0"/>
            <c:extLst>
              <c:ext xmlns:c16="http://schemas.microsoft.com/office/drawing/2014/chart" uri="{C3380CC4-5D6E-409C-BE32-E72D297353CC}">
                <c16:uniqueId val="{00000016-6564-4552-BFD4-DAFE47380EC0}"/>
              </c:ext>
            </c:extLst>
          </c:dPt>
          <c:dPt>
            <c:idx val="2"/>
            <c:marker>
              <c:symbol val="none"/>
            </c:marker>
            <c:bubble3D val="0"/>
            <c:extLst>
              <c:ext xmlns:c16="http://schemas.microsoft.com/office/drawing/2014/chart" uri="{C3380CC4-5D6E-409C-BE32-E72D297353CC}">
                <c16:uniqueId val="{00000017-6564-4552-BFD4-DAFE47380EC0}"/>
              </c:ext>
            </c:extLst>
          </c:dPt>
          <c:xVal>
            <c:numRef>
              <c:f>'CEA (po indukci)'!$F$17:$F$19</c:f>
              <c:numCache>
                <c:formatCode>#\ ##0\ "Kč"</c:formatCode>
                <c:ptCount val="3"/>
                <c:pt idx="0">
                  <c:v>501390.53640000004</c:v>
                </c:pt>
                <c:pt idx="1">
                  <c:v>431385.06528000004</c:v>
                </c:pt>
                <c:pt idx="2">
                  <c:v>592208.44488000008</c:v>
                </c:pt>
              </c:numCache>
            </c:numRef>
          </c:xVal>
          <c:yVal>
            <c:numRef>
              <c:f>'CEA (po indukci)'!$G$17:$G$19</c:f>
              <c:numCache>
                <c:formatCode>General</c:formatCode>
                <c:ptCount val="3"/>
                <c:pt idx="0">
                  <c:v>6</c:v>
                </c:pt>
                <c:pt idx="1">
                  <c:v>6</c:v>
                </c:pt>
                <c:pt idx="2">
                  <c:v>6</c:v>
                </c:pt>
              </c:numCache>
            </c:numRef>
          </c:yVal>
          <c:smooth val="0"/>
          <c:extLst>
            <c:ext xmlns:c16="http://schemas.microsoft.com/office/drawing/2014/chart" uri="{C3380CC4-5D6E-409C-BE32-E72D297353CC}">
              <c16:uniqueId val="{00000018-6564-4552-BFD4-DAFE47380EC0}"/>
            </c:ext>
          </c:extLst>
        </c:ser>
        <c:ser>
          <c:idx val="8"/>
          <c:order val="8"/>
          <c:tx>
            <c:strRef>
              <c:f>'CEA (po indukci)'!$A$14</c:f>
              <c:strCache>
                <c:ptCount val="1"/>
                <c:pt idx="0">
                  <c:v>SKYRIZI 75mg inj. - risankizumab (antiIL-23)</c:v>
                </c:pt>
              </c:strCache>
            </c:strRef>
          </c:tx>
          <c:dPt>
            <c:idx val="0"/>
            <c:marker>
              <c:symbol val="circle"/>
              <c:size val="5"/>
            </c:marker>
            <c:bubble3D val="0"/>
            <c:extLst>
              <c:ext xmlns:c16="http://schemas.microsoft.com/office/drawing/2014/chart" uri="{C3380CC4-5D6E-409C-BE32-E72D297353CC}">
                <c16:uniqueId val="{00000019-6564-4552-BFD4-DAFE47380EC0}"/>
              </c:ext>
            </c:extLst>
          </c:dPt>
          <c:dPt>
            <c:idx val="1"/>
            <c:marker>
              <c:symbol val="none"/>
            </c:marker>
            <c:bubble3D val="0"/>
            <c:extLst>
              <c:ext xmlns:c16="http://schemas.microsoft.com/office/drawing/2014/chart" uri="{C3380CC4-5D6E-409C-BE32-E72D297353CC}">
                <c16:uniqueId val="{0000001A-6564-4552-BFD4-DAFE47380EC0}"/>
              </c:ext>
            </c:extLst>
          </c:dPt>
          <c:dPt>
            <c:idx val="2"/>
            <c:marker>
              <c:symbol val="none"/>
            </c:marker>
            <c:bubble3D val="0"/>
            <c:extLst>
              <c:ext xmlns:c16="http://schemas.microsoft.com/office/drawing/2014/chart" uri="{C3380CC4-5D6E-409C-BE32-E72D297353CC}">
                <c16:uniqueId val="{0000001B-6564-4552-BFD4-DAFE47380EC0}"/>
              </c:ext>
            </c:extLst>
          </c:dPt>
          <c:xVal>
            <c:numRef>
              <c:f>'CEA (po indukci)'!$F$14:$F$16</c:f>
              <c:numCache>
                <c:formatCode>#\ ##0\ "Kč"</c:formatCode>
                <c:ptCount val="3"/>
                <c:pt idx="0">
                  <c:v>405084.07692000002</c:v>
                </c:pt>
                <c:pt idx="1">
                  <c:v>360273.89142</c:v>
                </c:pt>
                <c:pt idx="2">
                  <c:v>464233.52178000007</c:v>
                </c:pt>
              </c:numCache>
            </c:numRef>
          </c:xVal>
          <c:yVal>
            <c:numRef>
              <c:f>'CEA (po indukci)'!$G$14:$G$16</c:f>
              <c:numCache>
                <c:formatCode>General</c:formatCode>
                <c:ptCount val="3"/>
                <c:pt idx="0">
                  <c:v>5</c:v>
                </c:pt>
                <c:pt idx="1">
                  <c:v>5</c:v>
                </c:pt>
                <c:pt idx="2">
                  <c:v>5</c:v>
                </c:pt>
              </c:numCache>
            </c:numRef>
          </c:yVal>
          <c:smooth val="0"/>
          <c:extLst>
            <c:ext xmlns:c16="http://schemas.microsoft.com/office/drawing/2014/chart" uri="{C3380CC4-5D6E-409C-BE32-E72D297353CC}">
              <c16:uniqueId val="{0000001C-6564-4552-BFD4-DAFE47380EC0}"/>
            </c:ext>
          </c:extLst>
        </c:ser>
        <c:ser>
          <c:idx val="9"/>
          <c:order val="9"/>
          <c:tx>
            <c:strRef>
              <c:f>'CEA (po indukci)'!$A$11</c:f>
              <c:strCache>
                <c:ptCount val="1"/>
                <c:pt idx="0">
                  <c:v>KYNTHEUM 210mg inj. - brodalumab (antiIL-17)</c:v>
                </c:pt>
              </c:strCache>
            </c:strRef>
          </c:tx>
          <c:dPt>
            <c:idx val="1"/>
            <c:marker>
              <c:symbol val="none"/>
            </c:marker>
            <c:bubble3D val="0"/>
            <c:extLst>
              <c:ext xmlns:c16="http://schemas.microsoft.com/office/drawing/2014/chart" uri="{C3380CC4-5D6E-409C-BE32-E72D297353CC}">
                <c16:uniqueId val="{0000001D-6564-4552-BFD4-DAFE47380EC0}"/>
              </c:ext>
            </c:extLst>
          </c:dPt>
          <c:dPt>
            <c:idx val="2"/>
            <c:marker>
              <c:symbol val="none"/>
            </c:marker>
            <c:bubble3D val="0"/>
            <c:extLst>
              <c:ext xmlns:c16="http://schemas.microsoft.com/office/drawing/2014/chart" uri="{C3380CC4-5D6E-409C-BE32-E72D297353CC}">
                <c16:uniqueId val="{0000001E-6564-4552-BFD4-DAFE47380EC0}"/>
              </c:ext>
            </c:extLst>
          </c:dPt>
          <c:xVal>
            <c:numRef>
              <c:f>'CEA (po indukci)'!$F$11:$F$13</c:f>
              <c:numCache>
                <c:formatCode>#\ ##0\ "Kč"</c:formatCode>
                <c:ptCount val="3"/>
                <c:pt idx="0">
                  <c:v>209858.76383999997</c:v>
                </c:pt>
                <c:pt idx="1">
                  <c:v>184310.74041599999</c:v>
                </c:pt>
                <c:pt idx="2">
                  <c:v>241793.79311999999</c:v>
                </c:pt>
              </c:numCache>
            </c:numRef>
          </c:xVal>
          <c:yVal>
            <c:numRef>
              <c:f>'CEA (po indukci)'!$G$11:$G$13</c:f>
              <c:numCache>
                <c:formatCode>General</c:formatCode>
                <c:ptCount val="3"/>
                <c:pt idx="0">
                  <c:v>4</c:v>
                </c:pt>
                <c:pt idx="1">
                  <c:v>4</c:v>
                </c:pt>
                <c:pt idx="2">
                  <c:v>4</c:v>
                </c:pt>
              </c:numCache>
            </c:numRef>
          </c:yVal>
          <c:smooth val="0"/>
          <c:extLst>
            <c:ext xmlns:c16="http://schemas.microsoft.com/office/drawing/2014/chart" uri="{C3380CC4-5D6E-409C-BE32-E72D297353CC}">
              <c16:uniqueId val="{0000001F-6564-4552-BFD4-DAFE47380EC0}"/>
            </c:ext>
          </c:extLst>
        </c:ser>
        <c:ser>
          <c:idx val="10"/>
          <c:order val="10"/>
          <c:tx>
            <c:strRef>
              <c:f>'CEA (po indukci)'!$A$8</c:f>
              <c:strCache>
                <c:ptCount val="1"/>
                <c:pt idx="0">
                  <c:v>ZESSLY 100mg inf. (ceny pro 61-80kg pac. + cena za aplik.) - infliximab i.v. (iTNF)</c:v>
                </c:pt>
              </c:strCache>
            </c:strRef>
          </c:tx>
          <c:dPt>
            <c:idx val="1"/>
            <c:marker>
              <c:symbol val="none"/>
            </c:marker>
            <c:bubble3D val="0"/>
            <c:extLst>
              <c:ext xmlns:c16="http://schemas.microsoft.com/office/drawing/2014/chart" uri="{C3380CC4-5D6E-409C-BE32-E72D297353CC}">
                <c16:uniqueId val="{00000020-6564-4552-BFD4-DAFE47380EC0}"/>
              </c:ext>
            </c:extLst>
          </c:dPt>
          <c:dPt>
            <c:idx val="2"/>
            <c:marker>
              <c:symbol val="none"/>
            </c:marker>
            <c:bubble3D val="0"/>
            <c:extLst>
              <c:ext xmlns:c16="http://schemas.microsoft.com/office/drawing/2014/chart" uri="{C3380CC4-5D6E-409C-BE32-E72D297353CC}">
                <c16:uniqueId val="{00000021-6564-4552-BFD4-DAFE47380EC0}"/>
              </c:ext>
            </c:extLst>
          </c:dPt>
          <c:xVal>
            <c:numRef>
              <c:f>'CEA (po indukci)'!$F$8:$F$10</c:f>
              <c:numCache>
                <c:formatCode>#\ ##0\ "Kč"</c:formatCode>
                <c:ptCount val="3"/>
                <c:pt idx="0">
                  <c:v>131789.28</c:v>
                </c:pt>
                <c:pt idx="1">
                  <c:v>95678.400000000009</c:v>
                </c:pt>
                <c:pt idx="2">
                  <c:v>195369.12</c:v>
                </c:pt>
              </c:numCache>
            </c:numRef>
          </c:xVal>
          <c:yVal>
            <c:numRef>
              <c:f>'CEA (po indukci)'!$G$8:$G$10</c:f>
              <c:numCache>
                <c:formatCode>General</c:formatCode>
                <c:ptCount val="3"/>
                <c:pt idx="0">
                  <c:v>3</c:v>
                </c:pt>
                <c:pt idx="1">
                  <c:v>3</c:v>
                </c:pt>
                <c:pt idx="2">
                  <c:v>3</c:v>
                </c:pt>
              </c:numCache>
            </c:numRef>
          </c:yVal>
          <c:smooth val="0"/>
          <c:extLst>
            <c:ext xmlns:c16="http://schemas.microsoft.com/office/drawing/2014/chart" uri="{C3380CC4-5D6E-409C-BE32-E72D297353CC}">
              <c16:uniqueId val="{00000022-6564-4552-BFD4-DAFE47380EC0}"/>
            </c:ext>
          </c:extLst>
        </c:ser>
        <c:ser>
          <c:idx val="11"/>
          <c:order val="11"/>
          <c:tx>
            <c:strRef>
              <c:f>'CEA (po indukci)'!$A$5</c:f>
              <c:strCache>
                <c:ptCount val="1"/>
                <c:pt idx="0">
                  <c:v>REMSIMA 120mg inj.  (ceny pro inic. i.v. dávku ZESSLY u 61-80kg pac.+ aplik., udrž. s.c. dávky jsou bez ohledu na hmot. !!)  - infliximab s.c. (iTNF)</c:v>
                </c:pt>
              </c:strCache>
            </c:strRef>
          </c:tx>
          <c:dPt>
            <c:idx val="1"/>
            <c:marker>
              <c:symbol val="none"/>
            </c:marker>
            <c:bubble3D val="0"/>
            <c:extLst>
              <c:ext xmlns:c16="http://schemas.microsoft.com/office/drawing/2014/chart" uri="{C3380CC4-5D6E-409C-BE32-E72D297353CC}">
                <c16:uniqueId val="{00000023-6564-4552-BFD4-DAFE47380EC0}"/>
              </c:ext>
            </c:extLst>
          </c:dPt>
          <c:dPt>
            <c:idx val="2"/>
            <c:marker>
              <c:symbol val="none"/>
            </c:marker>
            <c:bubble3D val="0"/>
            <c:extLst>
              <c:ext xmlns:c16="http://schemas.microsoft.com/office/drawing/2014/chart" uri="{C3380CC4-5D6E-409C-BE32-E72D297353CC}">
                <c16:uniqueId val="{00000024-6564-4552-BFD4-DAFE47380EC0}"/>
              </c:ext>
            </c:extLst>
          </c:dPt>
          <c:xVal>
            <c:numRef>
              <c:f>'CEA (po indukci)'!$F$5:$F$7</c:f>
              <c:numCache>
                <c:formatCode>#\ ##0\ "Kč"</c:formatCode>
                <c:ptCount val="3"/>
                <c:pt idx="0">
                  <c:v>176786.53999999998</c:v>
                </c:pt>
                <c:pt idx="1">
                  <c:v>128346.2</c:v>
                </c:pt>
                <c:pt idx="2">
                  <c:v>262074.66</c:v>
                </c:pt>
              </c:numCache>
            </c:numRef>
          </c:xVal>
          <c:yVal>
            <c:numRef>
              <c:f>'CEA (po indukci)'!$G$5:$G$7</c:f>
              <c:numCache>
                <c:formatCode>General</c:formatCode>
                <c:ptCount val="3"/>
                <c:pt idx="0">
                  <c:v>2</c:v>
                </c:pt>
                <c:pt idx="1">
                  <c:v>2</c:v>
                </c:pt>
                <c:pt idx="2">
                  <c:v>2</c:v>
                </c:pt>
              </c:numCache>
            </c:numRef>
          </c:yVal>
          <c:smooth val="0"/>
          <c:extLst>
            <c:ext xmlns:c16="http://schemas.microsoft.com/office/drawing/2014/chart" uri="{C3380CC4-5D6E-409C-BE32-E72D297353CC}">
              <c16:uniqueId val="{00000025-6564-4552-BFD4-DAFE47380EC0}"/>
            </c:ext>
          </c:extLst>
        </c:ser>
        <c:ser>
          <c:idx val="12"/>
          <c:order val="12"/>
          <c:tx>
            <c:strRef>
              <c:f>'CEA (po indukci)'!$A$2</c:f>
              <c:strCache>
                <c:ptCount val="1"/>
                <c:pt idx="0">
                  <c:v>ILUMETRI 100mg inj. - tildrakizumab (anti IL-23), CAVE! má úhradu až po neúčinnosti, NÚ či KI na iTNF!</c:v>
                </c:pt>
              </c:strCache>
            </c:strRef>
          </c:tx>
          <c:dPt>
            <c:idx val="1"/>
            <c:marker>
              <c:symbol val="none"/>
            </c:marker>
            <c:bubble3D val="0"/>
            <c:extLst>
              <c:ext xmlns:c16="http://schemas.microsoft.com/office/drawing/2014/chart" uri="{C3380CC4-5D6E-409C-BE32-E72D297353CC}">
                <c16:uniqueId val="{00000026-6564-4552-BFD4-DAFE47380EC0}"/>
              </c:ext>
            </c:extLst>
          </c:dPt>
          <c:dPt>
            <c:idx val="2"/>
            <c:marker>
              <c:symbol val="none"/>
            </c:marker>
            <c:bubble3D val="0"/>
            <c:extLst>
              <c:ext xmlns:c16="http://schemas.microsoft.com/office/drawing/2014/chart" uri="{C3380CC4-5D6E-409C-BE32-E72D297353CC}">
                <c16:uniqueId val="{00000027-6564-4552-BFD4-DAFE47380EC0}"/>
              </c:ext>
            </c:extLst>
          </c:dPt>
          <c:xVal>
            <c:numRef>
              <c:f>'CEA (po indukci)'!$F$2:$F$4</c:f>
              <c:numCache>
                <c:formatCode>#\ ##0\ "Kč"</c:formatCode>
                <c:ptCount val="3"/>
                <c:pt idx="0">
                  <c:v>1179595.4621400002</c:v>
                </c:pt>
                <c:pt idx="1">
                  <c:v>860283.15570000012</c:v>
                </c:pt>
                <c:pt idx="2">
                  <c:v>1674064.5192000002</c:v>
                </c:pt>
              </c:numCache>
            </c:numRef>
          </c:xVal>
          <c:yVal>
            <c:numRef>
              <c:f>'CEA (po indukci)'!$G$2:$G$4</c:f>
              <c:numCache>
                <c:formatCode>General</c:formatCode>
                <c:ptCount val="3"/>
                <c:pt idx="0">
                  <c:v>1</c:v>
                </c:pt>
                <c:pt idx="1">
                  <c:v>1</c:v>
                </c:pt>
                <c:pt idx="2">
                  <c:v>1</c:v>
                </c:pt>
              </c:numCache>
            </c:numRef>
          </c:yVal>
          <c:smooth val="0"/>
          <c:extLst>
            <c:ext xmlns:c16="http://schemas.microsoft.com/office/drawing/2014/chart" uri="{C3380CC4-5D6E-409C-BE32-E72D297353CC}">
              <c16:uniqueId val="{00000028-6564-4552-BFD4-DAFE47380EC0}"/>
            </c:ext>
          </c:extLst>
        </c:ser>
        <c:dLbls>
          <c:showLegendKey val="0"/>
          <c:showVal val="0"/>
          <c:showCatName val="0"/>
          <c:showSerName val="0"/>
          <c:showPercent val="0"/>
          <c:showBubbleSize val="0"/>
        </c:dLbls>
        <c:axId val="140375168"/>
        <c:axId val="140376704"/>
      </c:scatterChart>
      <c:valAx>
        <c:axId val="140375168"/>
        <c:scaling>
          <c:logBase val="2"/>
          <c:orientation val="minMax"/>
          <c:max val="1920000"/>
          <c:min val="60000"/>
        </c:scaling>
        <c:delete val="0"/>
        <c:axPos val="b"/>
        <c:numFmt formatCode="#\ ##0\ &quot;Kč&quot;" sourceLinked="1"/>
        <c:majorTickMark val="out"/>
        <c:minorTickMark val="none"/>
        <c:tickLblPos val="nextTo"/>
        <c:crossAx val="140376704"/>
        <c:crosses val="autoZero"/>
        <c:crossBetween val="midCat"/>
        <c:majorUnit val="2"/>
      </c:valAx>
      <c:valAx>
        <c:axId val="140376704"/>
        <c:scaling>
          <c:orientation val="minMax"/>
        </c:scaling>
        <c:delete val="0"/>
        <c:axPos val="l"/>
        <c:majorGridlines>
          <c:spPr>
            <a:ln>
              <a:noFill/>
            </a:ln>
          </c:spPr>
        </c:majorGridlines>
        <c:numFmt formatCode="General" sourceLinked="1"/>
        <c:majorTickMark val="none"/>
        <c:minorTickMark val="none"/>
        <c:tickLblPos val="none"/>
        <c:crossAx val="140375168"/>
        <c:crossesAt val="209859"/>
        <c:crossBetween val="midCat"/>
      </c:valAx>
      <c:spPr>
        <a:noFill/>
        <a:ln>
          <a:noFill/>
        </a:ln>
      </c:spPr>
    </c:plotArea>
    <c:legend>
      <c:legendPos val="r"/>
      <c:layout>
        <c:manualLayout>
          <c:xMode val="edge"/>
          <c:yMode val="edge"/>
          <c:x val="1.2632758152495013E-3"/>
          <c:y val="6.3096323574685961E-2"/>
          <c:w val="0.31513478763352837"/>
          <c:h val="0.79477789874011395"/>
        </c:manualLayout>
      </c:layout>
      <c:overlay val="0"/>
      <c:txPr>
        <a:bodyPr/>
        <a:lstStyle/>
        <a:p>
          <a:pPr>
            <a:defRPr sz="900"/>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14603722666371"/>
          <c:y val="2.12592058827685E-2"/>
          <c:w val="0.60665101954105516"/>
          <c:h val="0.84993934415706052"/>
        </c:manualLayout>
      </c:layout>
      <c:scatterChart>
        <c:scatterStyle val="lineMarker"/>
        <c:varyColors val="0"/>
        <c:ser>
          <c:idx val="0"/>
          <c:order val="0"/>
          <c:tx>
            <c:strRef>
              <c:f>'účinnost (po indukci)'!$A$32</c:f>
              <c:strCache>
                <c:ptCount val="1"/>
                <c:pt idx="0">
                  <c:v>ENBREL 50mg inj. (při dávce 100mg týdně do 12. týdne) - etanercept (iTNF)</c:v>
                </c:pt>
              </c:strCache>
            </c:strRef>
          </c:tx>
          <c:dPt>
            <c:idx val="1"/>
            <c:marker>
              <c:symbol val="none"/>
            </c:marker>
            <c:bubble3D val="0"/>
            <c:extLst>
              <c:ext xmlns:c16="http://schemas.microsoft.com/office/drawing/2014/chart" uri="{C3380CC4-5D6E-409C-BE32-E72D297353CC}">
                <c16:uniqueId val="{00000000-6564-4552-BFD4-DAFE47380EC0}"/>
              </c:ext>
            </c:extLst>
          </c:dPt>
          <c:dPt>
            <c:idx val="2"/>
            <c:marker>
              <c:symbol val="none"/>
            </c:marker>
            <c:bubble3D val="0"/>
            <c:extLst>
              <c:ext xmlns:c16="http://schemas.microsoft.com/office/drawing/2014/chart" uri="{C3380CC4-5D6E-409C-BE32-E72D297353CC}">
                <c16:uniqueId val="{00000001-6564-4552-BFD4-DAFE47380EC0}"/>
              </c:ext>
            </c:extLst>
          </c:dPt>
          <c:xVal>
            <c:numRef>
              <c:f>'účinnost (po indukci)'!$E$32:$E$34</c:f>
              <c:numCache>
                <c:formatCode>General</c:formatCode>
                <c:ptCount val="3"/>
                <c:pt idx="0">
                  <c:v>16.77</c:v>
                </c:pt>
                <c:pt idx="1">
                  <c:v>13.1</c:v>
                </c:pt>
                <c:pt idx="2">
                  <c:v>22.11</c:v>
                </c:pt>
              </c:numCache>
            </c:numRef>
          </c:xVal>
          <c:yVal>
            <c:numRef>
              <c:f>'účinnost (po indukci)'!$G$32:$G$34</c:f>
              <c:numCache>
                <c:formatCode>General</c:formatCode>
                <c:ptCount val="3"/>
                <c:pt idx="0">
                  <c:v>13</c:v>
                </c:pt>
                <c:pt idx="1">
                  <c:v>13</c:v>
                </c:pt>
                <c:pt idx="2">
                  <c:v>13</c:v>
                </c:pt>
              </c:numCache>
            </c:numRef>
          </c:yVal>
          <c:smooth val="0"/>
          <c:extLst>
            <c:ext xmlns:c16="http://schemas.microsoft.com/office/drawing/2014/chart" uri="{C3380CC4-5D6E-409C-BE32-E72D297353CC}">
              <c16:uniqueId val="{00000002-6564-4552-BFD4-DAFE47380EC0}"/>
            </c:ext>
          </c:extLst>
        </c:ser>
        <c:ser>
          <c:idx val="1"/>
          <c:order val="1"/>
          <c:tx>
            <c:strRef>
              <c:f>'účinnost (po indukci)'!$A$38</c:f>
              <c:strCache>
                <c:ptCount val="1"/>
                <c:pt idx="0">
                  <c:v>CIMZIA 200mg inj.  (při udrž. dávce 400mg) - certol. peg. (iTNF)</c:v>
                </c:pt>
              </c:strCache>
            </c:strRef>
          </c:tx>
          <c:dPt>
            <c:idx val="1"/>
            <c:marker>
              <c:symbol val="none"/>
            </c:marker>
            <c:bubble3D val="0"/>
            <c:extLst>
              <c:ext xmlns:c16="http://schemas.microsoft.com/office/drawing/2014/chart" uri="{C3380CC4-5D6E-409C-BE32-E72D297353CC}">
                <c16:uniqueId val="{00000003-6564-4552-BFD4-DAFE47380EC0}"/>
              </c:ext>
            </c:extLst>
          </c:dPt>
          <c:dPt>
            <c:idx val="2"/>
            <c:marker>
              <c:symbol val="none"/>
            </c:marker>
            <c:bubble3D val="0"/>
            <c:extLst>
              <c:ext xmlns:c16="http://schemas.microsoft.com/office/drawing/2014/chart" uri="{C3380CC4-5D6E-409C-BE32-E72D297353CC}">
                <c16:uniqueId val="{00000004-6564-4552-BFD4-DAFE47380EC0}"/>
              </c:ext>
            </c:extLst>
          </c:dPt>
          <c:xVal>
            <c:numRef>
              <c:f>'účinnost (po indukci)'!$E$38:$E$40</c:f>
              <c:numCache>
                <c:formatCode>General</c:formatCode>
                <c:ptCount val="3"/>
                <c:pt idx="0">
                  <c:v>5.98</c:v>
                </c:pt>
                <c:pt idx="1">
                  <c:v>4.3600000000000003</c:v>
                </c:pt>
                <c:pt idx="2">
                  <c:v>8.6300000000000008</c:v>
                </c:pt>
              </c:numCache>
            </c:numRef>
          </c:xVal>
          <c:yVal>
            <c:numRef>
              <c:f>'účinnost (po indukci)'!$G$38:$G$40</c:f>
              <c:numCache>
                <c:formatCode>General</c:formatCode>
                <c:ptCount val="3"/>
                <c:pt idx="0">
                  <c:v>12</c:v>
                </c:pt>
                <c:pt idx="1">
                  <c:v>12</c:v>
                </c:pt>
                <c:pt idx="2">
                  <c:v>12</c:v>
                </c:pt>
              </c:numCache>
            </c:numRef>
          </c:yVal>
          <c:smooth val="0"/>
          <c:extLst>
            <c:ext xmlns:c16="http://schemas.microsoft.com/office/drawing/2014/chart" uri="{C3380CC4-5D6E-409C-BE32-E72D297353CC}">
              <c16:uniqueId val="{00000005-6564-4552-BFD4-DAFE47380EC0}"/>
            </c:ext>
          </c:extLst>
        </c:ser>
        <c:ser>
          <c:idx val="2"/>
          <c:order val="2"/>
          <c:tx>
            <c:strRef>
              <c:f>'účinnost (po indukci)'!$A$35</c:f>
              <c:strCache>
                <c:ptCount val="1"/>
                <c:pt idx="0">
                  <c:v>STELARA 45mg inj. (jen do 100kg) - ustekin. (antiIL-12 a IL-23)</c:v>
                </c:pt>
              </c:strCache>
            </c:strRef>
          </c:tx>
          <c:dPt>
            <c:idx val="1"/>
            <c:marker>
              <c:symbol val="none"/>
            </c:marker>
            <c:bubble3D val="0"/>
            <c:extLst>
              <c:ext xmlns:c16="http://schemas.microsoft.com/office/drawing/2014/chart" uri="{C3380CC4-5D6E-409C-BE32-E72D297353CC}">
                <c16:uniqueId val="{00000006-6564-4552-BFD4-DAFE47380EC0}"/>
              </c:ext>
            </c:extLst>
          </c:dPt>
          <c:dPt>
            <c:idx val="2"/>
            <c:marker>
              <c:symbol val="none"/>
            </c:marker>
            <c:bubble3D val="0"/>
            <c:extLst>
              <c:ext xmlns:c16="http://schemas.microsoft.com/office/drawing/2014/chart" uri="{C3380CC4-5D6E-409C-BE32-E72D297353CC}">
                <c16:uniqueId val="{00000007-6564-4552-BFD4-DAFE47380EC0}"/>
              </c:ext>
            </c:extLst>
          </c:dPt>
          <c:xVal>
            <c:numRef>
              <c:f>'účinnost (po indukci)'!$E$35:$E$37</c:f>
              <c:numCache>
                <c:formatCode>General</c:formatCode>
                <c:ptCount val="3"/>
                <c:pt idx="0">
                  <c:v>5.72</c:v>
                </c:pt>
                <c:pt idx="1">
                  <c:v>4.88</c:v>
                </c:pt>
                <c:pt idx="2">
                  <c:v>6.79</c:v>
                </c:pt>
              </c:numCache>
            </c:numRef>
          </c:xVal>
          <c:yVal>
            <c:numRef>
              <c:f>'účinnost (po indukci)'!$G$35:$G$37</c:f>
              <c:numCache>
                <c:formatCode>General</c:formatCode>
                <c:ptCount val="3"/>
                <c:pt idx="0">
                  <c:v>11</c:v>
                </c:pt>
                <c:pt idx="1">
                  <c:v>11</c:v>
                </c:pt>
                <c:pt idx="2">
                  <c:v>11</c:v>
                </c:pt>
              </c:numCache>
            </c:numRef>
          </c:yVal>
          <c:smooth val="0"/>
          <c:extLst>
            <c:ext xmlns:c16="http://schemas.microsoft.com/office/drawing/2014/chart" uri="{C3380CC4-5D6E-409C-BE32-E72D297353CC}">
              <c16:uniqueId val="{00000008-6564-4552-BFD4-DAFE47380EC0}"/>
            </c:ext>
          </c:extLst>
        </c:ser>
        <c:ser>
          <c:idx val="3"/>
          <c:order val="3"/>
          <c:tx>
            <c:strRef>
              <c:f>'účinnost (po indukci)'!$A$29</c:f>
              <c:strCache>
                <c:ptCount val="1"/>
                <c:pt idx="0">
                  <c:v>COSENTYX 150mg inj. - secukinumab (antiIL-17)</c:v>
                </c:pt>
              </c:strCache>
            </c:strRef>
          </c:tx>
          <c:dPt>
            <c:idx val="1"/>
            <c:marker>
              <c:symbol val="none"/>
            </c:marker>
            <c:bubble3D val="0"/>
            <c:extLst>
              <c:ext xmlns:c16="http://schemas.microsoft.com/office/drawing/2014/chart" uri="{C3380CC4-5D6E-409C-BE32-E72D297353CC}">
                <c16:uniqueId val="{00000009-6564-4552-BFD4-DAFE47380EC0}"/>
              </c:ext>
            </c:extLst>
          </c:dPt>
          <c:dPt>
            <c:idx val="2"/>
            <c:marker>
              <c:symbol val="none"/>
            </c:marker>
            <c:bubble3D val="0"/>
            <c:extLst>
              <c:ext xmlns:c16="http://schemas.microsoft.com/office/drawing/2014/chart" uri="{C3380CC4-5D6E-409C-BE32-E72D297353CC}">
                <c16:uniqueId val="{0000000A-6564-4552-BFD4-DAFE47380EC0}"/>
              </c:ext>
            </c:extLst>
          </c:dPt>
          <c:xVal>
            <c:numRef>
              <c:f>'účinnost (po indukci)'!$E$29:$E$31</c:f>
              <c:numCache>
                <c:formatCode>General</c:formatCode>
                <c:ptCount val="3"/>
                <c:pt idx="0">
                  <c:v>3.11</c:v>
                </c:pt>
                <c:pt idx="1">
                  <c:v>2.69</c:v>
                </c:pt>
                <c:pt idx="2">
                  <c:v>3.63</c:v>
                </c:pt>
              </c:numCache>
            </c:numRef>
          </c:xVal>
          <c:yVal>
            <c:numRef>
              <c:f>'účinnost (po indukci)'!$G$29:$G$31</c:f>
              <c:numCache>
                <c:formatCode>General</c:formatCode>
                <c:ptCount val="3"/>
                <c:pt idx="0">
                  <c:v>10</c:v>
                </c:pt>
                <c:pt idx="1">
                  <c:v>10</c:v>
                </c:pt>
                <c:pt idx="2">
                  <c:v>10</c:v>
                </c:pt>
              </c:numCache>
            </c:numRef>
          </c:yVal>
          <c:smooth val="0"/>
          <c:extLst>
            <c:ext xmlns:c16="http://schemas.microsoft.com/office/drawing/2014/chart" uri="{C3380CC4-5D6E-409C-BE32-E72D297353CC}">
              <c16:uniqueId val="{0000000B-6564-4552-BFD4-DAFE47380EC0}"/>
            </c:ext>
          </c:extLst>
        </c:ser>
        <c:ser>
          <c:idx val="4"/>
          <c:order val="4"/>
          <c:tx>
            <c:strRef>
              <c:f>'účinnost (po indukci)'!$A$26</c:f>
              <c:strCache>
                <c:ptCount val="1"/>
                <c:pt idx="0">
                  <c:v>CIMZIA 200mg inj.  (při udrž. dávce 200mg) - certol. peg. (iTNF)</c:v>
                </c:pt>
              </c:strCache>
            </c:strRef>
          </c:tx>
          <c:dPt>
            <c:idx val="1"/>
            <c:marker>
              <c:symbol val="none"/>
            </c:marker>
            <c:bubble3D val="0"/>
            <c:extLst>
              <c:ext xmlns:c16="http://schemas.microsoft.com/office/drawing/2014/chart" uri="{C3380CC4-5D6E-409C-BE32-E72D297353CC}">
                <c16:uniqueId val="{0000000C-6564-4552-BFD4-DAFE47380EC0}"/>
              </c:ext>
            </c:extLst>
          </c:dPt>
          <c:dPt>
            <c:idx val="2"/>
            <c:marker>
              <c:symbol val="none"/>
            </c:marker>
            <c:bubble3D val="0"/>
            <c:extLst>
              <c:ext xmlns:c16="http://schemas.microsoft.com/office/drawing/2014/chart" uri="{C3380CC4-5D6E-409C-BE32-E72D297353CC}">
                <c16:uniqueId val="{0000000D-6564-4552-BFD4-DAFE47380EC0}"/>
              </c:ext>
            </c:extLst>
          </c:dPt>
          <c:xVal>
            <c:numRef>
              <c:f>'účinnost (po indukci)'!$E$26:$E$28</c:f>
              <c:numCache>
                <c:formatCode>General</c:formatCode>
                <c:ptCount val="3"/>
                <c:pt idx="0">
                  <c:v>7.19</c:v>
                </c:pt>
                <c:pt idx="1">
                  <c:v>5.12</c:v>
                </c:pt>
                <c:pt idx="2">
                  <c:v>10.6</c:v>
                </c:pt>
              </c:numCache>
            </c:numRef>
          </c:xVal>
          <c:yVal>
            <c:numRef>
              <c:f>'účinnost (po indukci)'!$G$26:$G$28</c:f>
              <c:numCache>
                <c:formatCode>General</c:formatCode>
                <c:ptCount val="3"/>
                <c:pt idx="0">
                  <c:v>9</c:v>
                </c:pt>
                <c:pt idx="1">
                  <c:v>9</c:v>
                </c:pt>
                <c:pt idx="2">
                  <c:v>9</c:v>
                </c:pt>
              </c:numCache>
            </c:numRef>
          </c:yVal>
          <c:smooth val="0"/>
          <c:extLst>
            <c:ext xmlns:c16="http://schemas.microsoft.com/office/drawing/2014/chart" uri="{C3380CC4-5D6E-409C-BE32-E72D297353CC}">
              <c16:uniqueId val="{0000000E-6564-4552-BFD4-DAFE47380EC0}"/>
            </c:ext>
          </c:extLst>
        </c:ser>
        <c:ser>
          <c:idx val="5"/>
          <c:order val="5"/>
          <c:tx>
            <c:strRef>
              <c:f>'účinnost (po indukci)'!$A$23</c:f>
              <c:strCache>
                <c:ptCount val="1"/>
                <c:pt idx="0">
                  <c:v>BIMZELX 160mg inj. - bimekizumab (anti IL-17A/17F/17AF)</c:v>
                </c:pt>
              </c:strCache>
            </c:strRef>
          </c:tx>
          <c:dPt>
            <c:idx val="1"/>
            <c:marker>
              <c:symbol val="none"/>
            </c:marker>
            <c:bubble3D val="0"/>
            <c:extLst>
              <c:ext xmlns:c16="http://schemas.microsoft.com/office/drawing/2014/chart" uri="{C3380CC4-5D6E-409C-BE32-E72D297353CC}">
                <c16:uniqueId val="{0000000F-6564-4552-BFD4-DAFE47380EC0}"/>
              </c:ext>
            </c:extLst>
          </c:dPt>
          <c:dPt>
            <c:idx val="2"/>
            <c:marker>
              <c:symbol val="none"/>
            </c:marker>
            <c:bubble3D val="0"/>
            <c:extLst>
              <c:ext xmlns:c16="http://schemas.microsoft.com/office/drawing/2014/chart" uri="{C3380CC4-5D6E-409C-BE32-E72D297353CC}">
                <c16:uniqueId val="{00000010-6564-4552-BFD4-DAFE47380EC0}"/>
              </c:ext>
            </c:extLst>
          </c:dPt>
          <c:xVal>
            <c:numRef>
              <c:f>'účinnost (po indukci)'!$E$23:$E$25</c:f>
              <c:numCache>
                <c:formatCode>General</c:formatCode>
                <c:ptCount val="3"/>
                <c:pt idx="0">
                  <c:v>1.74</c:v>
                </c:pt>
                <c:pt idx="1">
                  <c:v>1.58</c:v>
                </c:pt>
                <c:pt idx="2">
                  <c:v>1.96</c:v>
                </c:pt>
              </c:numCache>
            </c:numRef>
          </c:xVal>
          <c:yVal>
            <c:numRef>
              <c:f>'účinnost (po indukci)'!$G$23:$G$25</c:f>
              <c:numCache>
                <c:formatCode>General</c:formatCode>
                <c:ptCount val="3"/>
                <c:pt idx="0">
                  <c:v>8</c:v>
                </c:pt>
                <c:pt idx="1">
                  <c:v>8</c:v>
                </c:pt>
                <c:pt idx="2">
                  <c:v>8</c:v>
                </c:pt>
              </c:numCache>
            </c:numRef>
          </c:yVal>
          <c:smooth val="0"/>
          <c:extLst>
            <c:ext xmlns:c16="http://schemas.microsoft.com/office/drawing/2014/chart" uri="{C3380CC4-5D6E-409C-BE32-E72D297353CC}">
              <c16:uniqueId val="{00000011-6564-4552-BFD4-DAFE47380EC0}"/>
            </c:ext>
          </c:extLst>
        </c:ser>
        <c:ser>
          <c:idx val="6"/>
          <c:order val="6"/>
          <c:tx>
            <c:strRef>
              <c:f>'účinnost (po indukci)'!$A$20</c:f>
              <c:strCache>
                <c:ptCount val="1"/>
                <c:pt idx="0">
                  <c:v>TREMFYA 100mg inj.  - guselkumab (antiIL-23)</c:v>
                </c:pt>
              </c:strCache>
            </c:strRef>
          </c:tx>
          <c:dPt>
            <c:idx val="1"/>
            <c:marker>
              <c:symbol val="none"/>
            </c:marker>
            <c:bubble3D val="0"/>
            <c:extLst>
              <c:ext xmlns:c16="http://schemas.microsoft.com/office/drawing/2014/chart" uri="{C3380CC4-5D6E-409C-BE32-E72D297353CC}">
                <c16:uniqueId val="{00000012-6564-4552-BFD4-DAFE47380EC0}"/>
              </c:ext>
            </c:extLst>
          </c:dPt>
          <c:dPt>
            <c:idx val="2"/>
            <c:marker>
              <c:symbol val="none"/>
            </c:marker>
            <c:bubble3D val="0"/>
            <c:extLst>
              <c:ext xmlns:c16="http://schemas.microsoft.com/office/drawing/2014/chart" uri="{C3380CC4-5D6E-409C-BE32-E72D297353CC}">
                <c16:uniqueId val="{00000013-6564-4552-BFD4-DAFE47380EC0}"/>
              </c:ext>
            </c:extLst>
          </c:dPt>
          <c:xVal>
            <c:numRef>
              <c:f>'účinnost (po indukci)'!$E$20:$E$22</c:f>
              <c:numCache>
                <c:formatCode>General</c:formatCode>
                <c:ptCount val="3"/>
                <c:pt idx="0">
                  <c:v>3.08</c:v>
                </c:pt>
                <c:pt idx="1">
                  <c:v>2.63</c:v>
                </c:pt>
                <c:pt idx="2">
                  <c:v>3.67</c:v>
                </c:pt>
              </c:numCache>
            </c:numRef>
          </c:xVal>
          <c:yVal>
            <c:numRef>
              <c:f>'účinnost (po indukci)'!$G$20:$G$22</c:f>
              <c:numCache>
                <c:formatCode>General</c:formatCode>
                <c:ptCount val="3"/>
                <c:pt idx="0">
                  <c:v>7</c:v>
                </c:pt>
                <c:pt idx="1">
                  <c:v>7</c:v>
                </c:pt>
                <c:pt idx="2">
                  <c:v>7</c:v>
                </c:pt>
              </c:numCache>
            </c:numRef>
          </c:yVal>
          <c:smooth val="0"/>
          <c:extLst>
            <c:ext xmlns:c16="http://schemas.microsoft.com/office/drawing/2014/chart" uri="{C3380CC4-5D6E-409C-BE32-E72D297353CC}">
              <c16:uniqueId val="{00000014-6564-4552-BFD4-DAFE47380EC0}"/>
            </c:ext>
          </c:extLst>
        </c:ser>
        <c:ser>
          <c:idx val="7"/>
          <c:order val="7"/>
          <c:tx>
            <c:strRef>
              <c:f>'účinnost (po indukci)'!$A$17</c:f>
              <c:strCache>
                <c:ptCount val="1"/>
                <c:pt idx="0">
                  <c:v>TALTZ 80mg inj. - ixekizumab (antiIL-17)</c:v>
                </c:pt>
              </c:strCache>
            </c:strRef>
          </c:tx>
          <c:dPt>
            <c:idx val="0"/>
            <c:marker>
              <c:symbol val="x"/>
              <c:size val="5"/>
            </c:marker>
            <c:bubble3D val="0"/>
            <c:extLst>
              <c:ext xmlns:c16="http://schemas.microsoft.com/office/drawing/2014/chart" uri="{C3380CC4-5D6E-409C-BE32-E72D297353CC}">
                <c16:uniqueId val="{00000015-6564-4552-BFD4-DAFE47380EC0}"/>
              </c:ext>
            </c:extLst>
          </c:dPt>
          <c:dPt>
            <c:idx val="1"/>
            <c:marker>
              <c:symbol val="none"/>
            </c:marker>
            <c:bubble3D val="0"/>
            <c:extLst>
              <c:ext xmlns:c16="http://schemas.microsoft.com/office/drawing/2014/chart" uri="{C3380CC4-5D6E-409C-BE32-E72D297353CC}">
                <c16:uniqueId val="{00000016-6564-4552-BFD4-DAFE47380EC0}"/>
              </c:ext>
            </c:extLst>
          </c:dPt>
          <c:dPt>
            <c:idx val="2"/>
            <c:marker>
              <c:symbol val="none"/>
            </c:marker>
            <c:bubble3D val="0"/>
            <c:extLst>
              <c:ext xmlns:c16="http://schemas.microsoft.com/office/drawing/2014/chart" uri="{C3380CC4-5D6E-409C-BE32-E72D297353CC}">
                <c16:uniqueId val="{00000017-6564-4552-BFD4-DAFE47380EC0}"/>
              </c:ext>
            </c:extLst>
          </c:dPt>
          <c:xVal>
            <c:numRef>
              <c:f>'účinnost (po indukci)'!$E$17:$E$19</c:f>
              <c:numCache>
                <c:formatCode>General</c:formatCode>
                <c:ptCount val="3"/>
                <c:pt idx="0">
                  <c:v>2.65</c:v>
                </c:pt>
                <c:pt idx="1">
                  <c:v>2.2799999999999998</c:v>
                </c:pt>
                <c:pt idx="2">
                  <c:v>3.13</c:v>
                </c:pt>
              </c:numCache>
            </c:numRef>
          </c:xVal>
          <c:yVal>
            <c:numRef>
              <c:f>'účinnost (po indukci)'!$G$17:$G$19</c:f>
              <c:numCache>
                <c:formatCode>General</c:formatCode>
                <c:ptCount val="3"/>
                <c:pt idx="0">
                  <c:v>6</c:v>
                </c:pt>
                <c:pt idx="1">
                  <c:v>6</c:v>
                </c:pt>
                <c:pt idx="2">
                  <c:v>6</c:v>
                </c:pt>
              </c:numCache>
            </c:numRef>
          </c:yVal>
          <c:smooth val="0"/>
          <c:extLst>
            <c:ext xmlns:c16="http://schemas.microsoft.com/office/drawing/2014/chart" uri="{C3380CC4-5D6E-409C-BE32-E72D297353CC}">
              <c16:uniqueId val="{00000018-6564-4552-BFD4-DAFE47380EC0}"/>
            </c:ext>
          </c:extLst>
        </c:ser>
        <c:ser>
          <c:idx val="8"/>
          <c:order val="8"/>
          <c:tx>
            <c:strRef>
              <c:f>'účinnost (po indukci)'!$A$14</c:f>
              <c:strCache>
                <c:ptCount val="1"/>
                <c:pt idx="0">
                  <c:v>SKYRIZI 75mg inj. - risankizumab (antiIL-23)</c:v>
                </c:pt>
              </c:strCache>
            </c:strRef>
          </c:tx>
          <c:dPt>
            <c:idx val="0"/>
            <c:marker>
              <c:symbol val="circle"/>
              <c:size val="5"/>
            </c:marker>
            <c:bubble3D val="0"/>
            <c:extLst>
              <c:ext xmlns:c16="http://schemas.microsoft.com/office/drawing/2014/chart" uri="{C3380CC4-5D6E-409C-BE32-E72D297353CC}">
                <c16:uniqueId val="{00000019-6564-4552-BFD4-DAFE47380EC0}"/>
              </c:ext>
            </c:extLst>
          </c:dPt>
          <c:dPt>
            <c:idx val="1"/>
            <c:marker>
              <c:symbol val="none"/>
            </c:marker>
            <c:bubble3D val="0"/>
            <c:extLst>
              <c:ext xmlns:c16="http://schemas.microsoft.com/office/drawing/2014/chart" uri="{C3380CC4-5D6E-409C-BE32-E72D297353CC}">
                <c16:uniqueId val="{0000001A-6564-4552-BFD4-DAFE47380EC0}"/>
              </c:ext>
            </c:extLst>
          </c:dPt>
          <c:dPt>
            <c:idx val="2"/>
            <c:marker>
              <c:symbol val="none"/>
            </c:marker>
            <c:bubble3D val="0"/>
            <c:extLst>
              <c:ext xmlns:c16="http://schemas.microsoft.com/office/drawing/2014/chart" uri="{C3380CC4-5D6E-409C-BE32-E72D297353CC}">
                <c16:uniqueId val="{0000001B-6564-4552-BFD4-DAFE47380EC0}"/>
              </c:ext>
            </c:extLst>
          </c:dPt>
          <c:xVal>
            <c:numRef>
              <c:f>'účinnost (po indukci)'!$E$14:$E$16</c:f>
              <c:numCache>
                <c:formatCode>General</c:formatCode>
                <c:ptCount val="3"/>
                <c:pt idx="0">
                  <c:v>2.2599999999999998</c:v>
                </c:pt>
                <c:pt idx="1">
                  <c:v>2.0099999999999998</c:v>
                </c:pt>
                <c:pt idx="2">
                  <c:v>2.59</c:v>
                </c:pt>
              </c:numCache>
            </c:numRef>
          </c:xVal>
          <c:yVal>
            <c:numRef>
              <c:f>'účinnost (po indukci)'!$G$14:$G$16</c:f>
              <c:numCache>
                <c:formatCode>General</c:formatCode>
                <c:ptCount val="3"/>
                <c:pt idx="0">
                  <c:v>5</c:v>
                </c:pt>
                <c:pt idx="1">
                  <c:v>5</c:v>
                </c:pt>
                <c:pt idx="2">
                  <c:v>5</c:v>
                </c:pt>
              </c:numCache>
            </c:numRef>
          </c:yVal>
          <c:smooth val="0"/>
          <c:extLst>
            <c:ext xmlns:c16="http://schemas.microsoft.com/office/drawing/2014/chart" uri="{C3380CC4-5D6E-409C-BE32-E72D297353CC}">
              <c16:uniqueId val="{0000001C-6564-4552-BFD4-DAFE47380EC0}"/>
            </c:ext>
          </c:extLst>
        </c:ser>
        <c:ser>
          <c:idx val="9"/>
          <c:order val="9"/>
          <c:tx>
            <c:strRef>
              <c:f>'účinnost (po indukci)'!$A$11</c:f>
              <c:strCache>
                <c:ptCount val="1"/>
                <c:pt idx="0">
                  <c:v>KYNTHEUM 210mg inj. - brodalumab (antiIL-17)</c:v>
                </c:pt>
              </c:strCache>
            </c:strRef>
          </c:tx>
          <c:dPt>
            <c:idx val="1"/>
            <c:marker>
              <c:symbol val="none"/>
            </c:marker>
            <c:bubble3D val="0"/>
            <c:extLst>
              <c:ext xmlns:c16="http://schemas.microsoft.com/office/drawing/2014/chart" uri="{C3380CC4-5D6E-409C-BE32-E72D297353CC}">
                <c16:uniqueId val="{0000001D-6564-4552-BFD4-DAFE47380EC0}"/>
              </c:ext>
            </c:extLst>
          </c:dPt>
          <c:dPt>
            <c:idx val="2"/>
            <c:marker>
              <c:symbol val="none"/>
            </c:marker>
            <c:bubble3D val="0"/>
            <c:extLst>
              <c:ext xmlns:c16="http://schemas.microsoft.com/office/drawing/2014/chart" uri="{C3380CC4-5D6E-409C-BE32-E72D297353CC}">
                <c16:uniqueId val="{0000001E-6564-4552-BFD4-DAFE47380EC0}"/>
              </c:ext>
            </c:extLst>
          </c:dPt>
          <c:xVal>
            <c:numRef>
              <c:f>'účinnost (po indukci)'!$E$11:$E$13</c:f>
              <c:numCache>
                <c:formatCode>General</c:formatCode>
                <c:ptCount val="3"/>
                <c:pt idx="0">
                  <c:v>2.2999999999999998</c:v>
                </c:pt>
                <c:pt idx="1">
                  <c:v>2.02</c:v>
                </c:pt>
                <c:pt idx="2">
                  <c:v>2.65</c:v>
                </c:pt>
              </c:numCache>
            </c:numRef>
          </c:xVal>
          <c:yVal>
            <c:numRef>
              <c:f>'účinnost (po indukci)'!$G$11:$G$13</c:f>
              <c:numCache>
                <c:formatCode>General</c:formatCode>
                <c:ptCount val="3"/>
                <c:pt idx="0">
                  <c:v>4</c:v>
                </c:pt>
                <c:pt idx="1">
                  <c:v>4</c:v>
                </c:pt>
                <c:pt idx="2">
                  <c:v>4</c:v>
                </c:pt>
              </c:numCache>
            </c:numRef>
          </c:yVal>
          <c:smooth val="0"/>
          <c:extLst>
            <c:ext xmlns:c16="http://schemas.microsoft.com/office/drawing/2014/chart" uri="{C3380CC4-5D6E-409C-BE32-E72D297353CC}">
              <c16:uniqueId val="{0000001F-6564-4552-BFD4-DAFE47380EC0}"/>
            </c:ext>
          </c:extLst>
        </c:ser>
        <c:ser>
          <c:idx val="10"/>
          <c:order val="10"/>
          <c:tx>
            <c:strRef>
              <c:f>'účinnost (po indukci)'!$A$8</c:f>
              <c:strCache>
                <c:ptCount val="1"/>
                <c:pt idx="0">
                  <c:v>ZESSLY 100mg inf. - infliximab i.v. (iTNF)</c:v>
                </c:pt>
              </c:strCache>
            </c:strRef>
          </c:tx>
          <c:dPt>
            <c:idx val="1"/>
            <c:marker>
              <c:symbol val="none"/>
            </c:marker>
            <c:bubble3D val="0"/>
            <c:extLst>
              <c:ext xmlns:c16="http://schemas.microsoft.com/office/drawing/2014/chart" uri="{C3380CC4-5D6E-409C-BE32-E72D297353CC}">
                <c16:uniqueId val="{00000020-6564-4552-BFD4-DAFE47380EC0}"/>
              </c:ext>
            </c:extLst>
          </c:dPt>
          <c:dPt>
            <c:idx val="2"/>
            <c:marker>
              <c:symbol val="none"/>
            </c:marker>
            <c:bubble3D val="0"/>
            <c:extLst>
              <c:ext xmlns:c16="http://schemas.microsoft.com/office/drawing/2014/chart" uri="{C3380CC4-5D6E-409C-BE32-E72D297353CC}">
                <c16:uniqueId val="{00000021-6564-4552-BFD4-DAFE47380EC0}"/>
              </c:ext>
            </c:extLst>
          </c:dPt>
          <c:xVal>
            <c:numRef>
              <c:f>'účinnost (po indukci)'!$E$8:$E$10</c:f>
              <c:numCache>
                <c:formatCode>General</c:formatCode>
                <c:ptCount val="3"/>
                <c:pt idx="0">
                  <c:v>4.2699999999999996</c:v>
                </c:pt>
                <c:pt idx="1">
                  <c:v>3.1</c:v>
                </c:pt>
                <c:pt idx="2">
                  <c:v>6.33</c:v>
                </c:pt>
              </c:numCache>
            </c:numRef>
          </c:xVal>
          <c:yVal>
            <c:numRef>
              <c:f>'účinnost (po indukci)'!$G$8:$G$10</c:f>
              <c:numCache>
                <c:formatCode>General</c:formatCode>
                <c:ptCount val="3"/>
                <c:pt idx="0">
                  <c:v>3</c:v>
                </c:pt>
                <c:pt idx="1">
                  <c:v>3</c:v>
                </c:pt>
                <c:pt idx="2">
                  <c:v>3</c:v>
                </c:pt>
              </c:numCache>
            </c:numRef>
          </c:yVal>
          <c:smooth val="0"/>
          <c:extLst>
            <c:ext xmlns:c16="http://schemas.microsoft.com/office/drawing/2014/chart" uri="{C3380CC4-5D6E-409C-BE32-E72D297353CC}">
              <c16:uniqueId val="{00000022-6564-4552-BFD4-DAFE47380EC0}"/>
            </c:ext>
          </c:extLst>
        </c:ser>
        <c:ser>
          <c:idx val="11"/>
          <c:order val="11"/>
          <c:tx>
            <c:strRef>
              <c:f>'účinnost (po indukci)'!$A$5</c:f>
              <c:strCache>
                <c:ptCount val="1"/>
                <c:pt idx="0">
                  <c:v>REMSIMA 120mg inj.  (inic. i.v. dávky ZESSLY, udrž. s.c. dávky)  - infliximab s.c. (iTNF)</c:v>
                </c:pt>
              </c:strCache>
            </c:strRef>
          </c:tx>
          <c:dPt>
            <c:idx val="1"/>
            <c:marker>
              <c:symbol val="none"/>
            </c:marker>
            <c:bubble3D val="0"/>
            <c:extLst>
              <c:ext xmlns:c16="http://schemas.microsoft.com/office/drawing/2014/chart" uri="{C3380CC4-5D6E-409C-BE32-E72D297353CC}">
                <c16:uniqueId val="{00000023-6564-4552-BFD4-DAFE47380EC0}"/>
              </c:ext>
            </c:extLst>
          </c:dPt>
          <c:dPt>
            <c:idx val="2"/>
            <c:marker>
              <c:symbol val="none"/>
            </c:marker>
            <c:bubble3D val="0"/>
            <c:extLst>
              <c:ext xmlns:c16="http://schemas.microsoft.com/office/drawing/2014/chart" uri="{C3380CC4-5D6E-409C-BE32-E72D297353CC}">
                <c16:uniqueId val="{00000024-6564-4552-BFD4-DAFE47380EC0}"/>
              </c:ext>
            </c:extLst>
          </c:dPt>
          <c:xVal>
            <c:numRef>
              <c:f>'účinnost (po indukci)'!$E$5:$E$7</c:f>
              <c:numCache>
                <c:formatCode>General</c:formatCode>
                <c:ptCount val="3"/>
                <c:pt idx="0">
                  <c:v>4.2699999999999996</c:v>
                </c:pt>
                <c:pt idx="1">
                  <c:v>3.1</c:v>
                </c:pt>
                <c:pt idx="2">
                  <c:v>6.33</c:v>
                </c:pt>
              </c:numCache>
            </c:numRef>
          </c:xVal>
          <c:yVal>
            <c:numRef>
              <c:f>'účinnost (po indukci)'!$G$5:$G$7</c:f>
              <c:numCache>
                <c:formatCode>General</c:formatCode>
                <c:ptCount val="3"/>
                <c:pt idx="0">
                  <c:v>2</c:v>
                </c:pt>
                <c:pt idx="1">
                  <c:v>2</c:v>
                </c:pt>
                <c:pt idx="2">
                  <c:v>2</c:v>
                </c:pt>
              </c:numCache>
            </c:numRef>
          </c:yVal>
          <c:smooth val="0"/>
          <c:extLst>
            <c:ext xmlns:c16="http://schemas.microsoft.com/office/drawing/2014/chart" uri="{C3380CC4-5D6E-409C-BE32-E72D297353CC}">
              <c16:uniqueId val="{00000025-6564-4552-BFD4-DAFE47380EC0}"/>
            </c:ext>
          </c:extLst>
        </c:ser>
        <c:ser>
          <c:idx val="12"/>
          <c:order val="12"/>
          <c:tx>
            <c:strRef>
              <c:f>'účinnost (po indukci)'!$A$2</c:f>
              <c:strCache>
                <c:ptCount val="1"/>
                <c:pt idx="0">
                  <c:v>ILUMETRI 100mg inj. - tildrakizumab (anti IL-23)</c:v>
                </c:pt>
              </c:strCache>
            </c:strRef>
          </c:tx>
          <c:dPt>
            <c:idx val="1"/>
            <c:marker>
              <c:symbol val="none"/>
            </c:marker>
            <c:bubble3D val="0"/>
            <c:extLst>
              <c:ext xmlns:c16="http://schemas.microsoft.com/office/drawing/2014/chart" uri="{C3380CC4-5D6E-409C-BE32-E72D297353CC}">
                <c16:uniqueId val="{00000026-6564-4552-BFD4-DAFE47380EC0}"/>
              </c:ext>
            </c:extLst>
          </c:dPt>
          <c:dPt>
            <c:idx val="2"/>
            <c:marker>
              <c:symbol val="none"/>
            </c:marker>
            <c:bubble3D val="0"/>
            <c:extLst>
              <c:ext xmlns:c16="http://schemas.microsoft.com/office/drawing/2014/chart" uri="{C3380CC4-5D6E-409C-BE32-E72D297353CC}">
                <c16:uniqueId val="{00000027-6564-4552-BFD4-DAFE47380EC0}"/>
              </c:ext>
            </c:extLst>
          </c:dPt>
          <c:xVal>
            <c:numRef>
              <c:f>'účinnost (po indukci)'!$E$2:$E$4</c:f>
              <c:numCache>
                <c:formatCode>General</c:formatCode>
                <c:ptCount val="3"/>
                <c:pt idx="0">
                  <c:v>7.61</c:v>
                </c:pt>
                <c:pt idx="1">
                  <c:v>5.55</c:v>
                </c:pt>
                <c:pt idx="2">
                  <c:v>10.8</c:v>
                </c:pt>
              </c:numCache>
            </c:numRef>
          </c:xVal>
          <c:yVal>
            <c:numRef>
              <c:f>'účinnost (po indukci)'!$G$2:$G$4</c:f>
              <c:numCache>
                <c:formatCode>General</c:formatCode>
                <c:ptCount val="3"/>
                <c:pt idx="0">
                  <c:v>1</c:v>
                </c:pt>
                <c:pt idx="1">
                  <c:v>1</c:v>
                </c:pt>
                <c:pt idx="2">
                  <c:v>1</c:v>
                </c:pt>
              </c:numCache>
            </c:numRef>
          </c:yVal>
          <c:smooth val="0"/>
          <c:extLst>
            <c:ext xmlns:c16="http://schemas.microsoft.com/office/drawing/2014/chart" uri="{C3380CC4-5D6E-409C-BE32-E72D297353CC}">
              <c16:uniqueId val="{00000028-6564-4552-BFD4-DAFE47380EC0}"/>
            </c:ext>
          </c:extLst>
        </c:ser>
        <c:dLbls>
          <c:showLegendKey val="0"/>
          <c:showVal val="0"/>
          <c:showCatName val="0"/>
          <c:showSerName val="0"/>
          <c:showPercent val="0"/>
          <c:showBubbleSize val="0"/>
        </c:dLbls>
        <c:axId val="133865472"/>
        <c:axId val="133867008"/>
      </c:scatterChart>
      <c:valAx>
        <c:axId val="133865472"/>
        <c:scaling>
          <c:logBase val="2"/>
          <c:orientation val="minMax"/>
        </c:scaling>
        <c:delete val="0"/>
        <c:axPos val="b"/>
        <c:numFmt formatCode="#,##0.0" sourceLinked="0"/>
        <c:majorTickMark val="out"/>
        <c:minorTickMark val="none"/>
        <c:tickLblPos val="nextTo"/>
        <c:crossAx val="133867008"/>
        <c:crosses val="autoZero"/>
        <c:crossBetween val="midCat"/>
        <c:majorUnit val="2"/>
      </c:valAx>
      <c:valAx>
        <c:axId val="133867008"/>
        <c:scaling>
          <c:orientation val="minMax"/>
        </c:scaling>
        <c:delete val="0"/>
        <c:axPos val="l"/>
        <c:majorGridlines>
          <c:spPr>
            <a:ln>
              <a:noFill/>
            </a:ln>
          </c:spPr>
        </c:majorGridlines>
        <c:numFmt formatCode="General" sourceLinked="1"/>
        <c:majorTickMark val="none"/>
        <c:minorTickMark val="none"/>
        <c:tickLblPos val="none"/>
        <c:crossAx val="133865472"/>
        <c:crossesAt val="2.6"/>
        <c:crossBetween val="midCat"/>
      </c:valAx>
      <c:spPr>
        <a:noFill/>
        <a:ln>
          <a:noFill/>
        </a:ln>
      </c:spPr>
    </c:plotArea>
    <c:legend>
      <c:legendPos val="r"/>
      <c:layout>
        <c:manualLayout>
          <c:xMode val="edge"/>
          <c:yMode val="edge"/>
          <c:x val="1.2632758152495013E-3"/>
          <c:y val="6.3096323574685961E-2"/>
          <c:w val="0.24300361481837285"/>
          <c:h val="0.79477789874011395"/>
        </c:manualLayout>
      </c:layout>
      <c:overlay val="0"/>
      <c:txPr>
        <a:bodyPr/>
        <a:lstStyle/>
        <a:p>
          <a:pPr>
            <a:defRPr sz="900"/>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469423930115781"/>
          <c:y val="2.3090236652479248E-2"/>
          <c:w val="0.5630367270077784"/>
          <c:h val="0.84993934415706052"/>
        </c:manualLayout>
      </c:layout>
      <c:scatterChart>
        <c:scatterStyle val="lineMarker"/>
        <c:varyColors val="0"/>
        <c:ser>
          <c:idx val="0"/>
          <c:order val="0"/>
          <c:tx>
            <c:strRef>
              <c:f>'CEA (udrž.terap.)'!$A$32</c:f>
              <c:strCache>
                <c:ptCount val="1"/>
                <c:pt idx="0">
                  <c:v>ENBREL 50mg inj. (při dávce 100mg týdně do 12. týdne, pak 50mg týdně) - etanercept (iTNF)</c:v>
                </c:pt>
              </c:strCache>
            </c:strRef>
          </c:tx>
          <c:dPt>
            <c:idx val="1"/>
            <c:marker>
              <c:symbol val="none"/>
            </c:marker>
            <c:bubble3D val="0"/>
            <c:extLst>
              <c:ext xmlns:c16="http://schemas.microsoft.com/office/drawing/2014/chart" uri="{C3380CC4-5D6E-409C-BE32-E72D297353CC}">
                <c16:uniqueId val="{00000000-ED24-4557-97F6-A2382DCBA034}"/>
              </c:ext>
            </c:extLst>
          </c:dPt>
          <c:dPt>
            <c:idx val="2"/>
            <c:marker>
              <c:symbol val="none"/>
            </c:marker>
            <c:bubble3D val="0"/>
            <c:extLst>
              <c:ext xmlns:c16="http://schemas.microsoft.com/office/drawing/2014/chart" uri="{C3380CC4-5D6E-409C-BE32-E72D297353CC}">
                <c16:uniqueId val="{00000001-ED24-4557-97F6-A2382DCBA034}"/>
              </c:ext>
            </c:extLst>
          </c:dPt>
          <c:xVal>
            <c:numRef>
              <c:f>'CEA (udrž.terap.)'!$F$32:$F$34</c:f>
              <c:numCache>
                <c:formatCode>#\ ##0\ "Kč"</c:formatCode>
                <c:ptCount val="3"/>
                <c:pt idx="0">
                  <c:v>455291.2</c:v>
                </c:pt>
                <c:pt idx="1">
                  <c:v>339539.20000000001</c:v>
                </c:pt>
                <c:pt idx="2">
                  <c:v>625060.79999999993</c:v>
                </c:pt>
              </c:numCache>
            </c:numRef>
          </c:xVal>
          <c:yVal>
            <c:numRef>
              <c:f>'CEA (udrž.terap.)'!$G$32:$G$34</c:f>
              <c:numCache>
                <c:formatCode>General</c:formatCode>
                <c:ptCount val="3"/>
                <c:pt idx="0">
                  <c:v>13</c:v>
                </c:pt>
                <c:pt idx="1">
                  <c:v>13</c:v>
                </c:pt>
                <c:pt idx="2">
                  <c:v>13</c:v>
                </c:pt>
              </c:numCache>
            </c:numRef>
          </c:yVal>
          <c:smooth val="0"/>
          <c:extLst>
            <c:ext xmlns:c16="http://schemas.microsoft.com/office/drawing/2014/chart" uri="{C3380CC4-5D6E-409C-BE32-E72D297353CC}">
              <c16:uniqueId val="{00000002-ED24-4557-97F6-A2382DCBA034}"/>
            </c:ext>
          </c:extLst>
        </c:ser>
        <c:ser>
          <c:idx val="1"/>
          <c:order val="1"/>
          <c:tx>
            <c:strRef>
              <c:f>'CEA (udrž.terap.)'!$A$38</c:f>
              <c:strCache>
                <c:ptCount val="1"/>
                <c:pt idx="0">
                  <c:v>CIMZIA 200mg inj.  (při udrž. dávce 400mg) - certolizumab peg. (iTNF)</c:v>
                </c:pt>
              </c:strCache>
            </c:strRef>
          </c:tx>
          <c:dPt>
            <c:idx val="1"/>
            <c:marker>
              <c:symbol val="none"/>
            </c:marker>
            <c:bubble3D val="0"/>
            <c:extLst>
              <c:ext xmlns:c16="http://schemas.microsoft.com/office/drawing/2014/chart" uri="{C3380CC4-5D6E-409C-BE32-E72D297353CC}">
                <c16:uniqueId val="{00000003-ED24-4557-97F6-A2382DCBA034}"/>
              </c:ext>
            </c:extLst>
          </c:dPt>
          <c:dPt>
            <c:idx val="2"/>
            <c:marker>
              <c:symbol val="none"/>
            </c:marker>
            <c:bubble3D val="0"/>
            <c:extLst>
              <c:ext xmlns:c16="http://schemas.microsoft.com/office/drawing/2014/chart" uri="{C3380CC4-5D6E-409C-BE32-E72D297353CC}">
                <c16:uniqueId val="{00000004-ED24-4557-97F6-A2382DCBA034}"/>
              </c:ext>
            </c:extLst>
          </c:dPt>
          <c:xVal>
            <c:numRef>
              <c:f>'CEA (udrž.terap.)'!$F$38:$F$40</c:f>
              <c:numCache>
                <c:formatCode>#\ ##0\ "Kč"</c:formatCode>
                <c:ptCount val="3"/>
                <c:pt idx="0">
                  <c:v>729449.00599999994</c:v>
                </c:pt>
                <c:pt idx="1">
                  <c:v>653988.76399999997</c:v>
                </c:pt>
                <c:pt idx="2">
                  <c:v>1056443.388</c:v>
                </c:pt>
              </c:numCache>
            </c:numRef>
          </c:xVal>
          <c:yVal>
            <c:numRef>
              <c:f>'CEA (udrž.terap.)'!$G$38:$G$40</c:f>
              <c:numCache>
                <c:formatCode>General</c:formatCode>
                <c:ptCount val="3"/>
                <c:pt idx="0">
                  <c:v>12</c:v>
                </c:pt>
                <c:pt idx="1">
                  <c:v>12</c:v>
                </c:pt>
                <c:pt idx="2">
                  <c:v>12</c:v>
                </c:pt>
              </c:numCache>
            </c:numRef>
          </c:yVal>
          <c:smooth val="0"/>
          <c:extLst>
            <c:ext xmlns:c16="http://schemas.microsoft.com/office/drawing/2014/chart" uri="{C3380CC4-5D6E-409C-BE32-E72D297353CC}">
              <c16:uniqueId val="{00000005-ED24-4557-97F6-A2382DCBA034}"/>
            </c:ext>
          </c:extLst>
        </c:ser>
        <c:ser>
          <c:idx val="2"/>
          <c:order val="2"/>
          <c:tx>
            <c:strRef>
              <c:f>'CEA (udrž.terap.)'!$A$35</c:f>
              <c:strCache>
                <c:ptCount val="1"/>
                <c:pt idx="0">
                  <c:v>STELARA 45mg inj. (jen do 100kg) - ustekinumab (antiIL-12 a IL-23)</c:v>
                </c:pt>
              </c:strCache>
            </c:strRef>
          </c:tx>
          <c:dPt>
            <c:idx val="1"/>
            <c:marker>
              <c:symbol val="none"/>
            </c:marker>
            <c:bubble3D val="0"/>
            <c:extLst>
              <c:ext xmlns:c16="http://schemas.microsoft.com/office/drawing/2014/chart" uri="{C3380CC4-5D6E-409C-BE32-E72D297353CC}">
                <c16:uniqueId val="{00000006-ED24-4557-97F6-A2382DCBA034}"/>
              </c:ext>
            </c:extLst>
          </c:dPt>
          <c:dPt>
            <c:idx val="2"/>
            <c:marker>
              <c:symbol val="none"/>
            </c:marker>
            <c:bubble3D val="0"/>
            <c:extLst>
              <c:ext xmlns:c16="http://schemas.microsoft.com/office/drawing/2014/chart" uri="{C3380CC4-5D6E-409C-BE32-E72D297353CC}">
                <c16:uniqueId val="{00000007-ED24-4557-97F6-A2382DCBA034}"/>
              </c:ext>
            </c:extLst>
          </c:dPt>
          <c:xVal>
            <c:numRef>
              <c:f>'CEA (udrž.terap.)'!$F$35:$F$37</c:f>
              <c:numCache>
                <c:formatCode>#\ ##0\ "Kč"</c:formatCode>
                <c:ptCount val="3"/>
                <c:pt idx="0">
                  <c:v>883771.11137700011</c:v>
                </c:pt>
                <c:pt idx="1">
                  <c:v>816818.75445450004</c:v>
                </c:pt>
                <c:pt idx="2">
                  <c:v>937332.99691500014</c:v>
                </c:pt>
              </c:numCache>
            </c:numRef>
          </c:xVal>
          <c:yVal>
            <c:numRef>
              <c:f>'CEA (udrž.terap.)'!$G$35:$G$37</c:f>
              <c:numCache>
                <c:formatCode>General</c:formatCode>
                <c:ptCount val="3"/>
                <c:pt idx="0">
                  <c:v>11</c:v>
                </c:pt>
                <c:pt idx="1">
                  <c:v>11</c:v>
                </c:pt>
                <c:pt idx="2">
                  <c:v>11</c:v>
                </c:pt>
              </c:numCache>
            </c:numRef>
          </c:yVal>
          <c:smooth val="0"/>
          <c:extLst>
            <c:ext xmlns:c16="http://schemas.microsoft.com/office/drawing/2014/chart" uri="{C3380CC4-5D6E-409C-BE32-E72D297353CC}">
              <c16:uniqueId val="{00000008-ED24-4557-97F6-A2382DCBA034}"/>
            </c:ext>
          </c:extLst>
        </c:ser>
        <c:ser>
          <c:idx val="3"/>
          <c:order val="3"/>
          <c:tx>
            <c:strRef>
              <c:f>'CEA (udrž.terap.)'!$A$29</c:f>
              <c:strCache>
                <c:ptCount val="1"/>
                <c:pt idx="0">
                  <c:v>COSENTYX 150mg inj. - secukinumab (antiIL-17)</c:v>
                </c:pt>
              </c:strCache>
            </c:strRef>
          </c:tx>
          <c:dPt>
            <c:idx val="1"/>
            <c:marker>
              <c:symbol val="none"/>
            </c:marker>
            <c:bubble3D val="0"/>
            <c:extLst>
              <c:ext xmlns:c16="http://schemas.microsoft.com/office/drawing/2014/chart" uri="{C3380CC4-5D6E-409C-BE32-E72D297353CC}">
                <c16:uniqueId val="{00000009-ED24-4557-97F6-A2382DCBA034}"/>
              </c:ext>
            </c:extLst>
          </c:dPt>
          <c:dPt>
            <c:idx val="2"/>
            <c:marker>
              <c:symbol val="none"/>
            </c:marker>
            <c:bubble3D val="0"/>
            <c:extLst>
              <c:ext xmlns:c16="http://schemas.microsoft.com/office/drawing/2014/chart" uri="{C3380CC4-5D6E-409C-BE32-E72D297353CC}">
                <c16:uniqueId val="{0000000A-ED24-4557-97F6-A2382DCBA034}"/>
              </c:ext>
            </c:extLst>
          </c:dPt>
          <c:xVal>
            <c:numRef>
              <c:f>'CEA (udrž.terap.)'!$F$29:$F$31</c:f>
              <c:numCache>
                <c:formatCode>#\ ##0\ "Kč"</c:formatCode>
                <c:ptCount val="3"/>
                <c:pt idx="0">
                  <c:v>595820.85120000003</c:v>
                </c:pt>
                <c:pt idx="1">
                  <c:v>546169.11360000004</c:v>
                </c:pt>
                <c:pt idx="2">
                  <c:v>670298.45760000008</c:v>
                </c:pt>
              </c:numCache>
            </c:numRef>
          </c:xVal>
          <c:yVal>
            <c:numRef>
              <c:f>'CEA (udrž.terap.)'!$G$29:$G$31</c:f>
              <c:numCache>
                <c:formatCode>General</c:formatCode>
                <c:ptCount val="3"/>
                <c:pt idx="0">
                  <c:v>10</c:v>
                </c:pt>
                <c:pt idx="1">
                  <c:v>10</c:v>
                </c:pt>
                <c:pt idx="2">
                  <c:v>10</c:v>
                </c:pt>
              </c:numCache>
            </c:numRef>
          </c:yVal>
          <c:smooth val="0"/>
          <c:extLst>
            <c:ext xmlns:c16="http://schemas.microsoft.com/office/drawing/2014/chart" uri="{C3380CC4-5D6E-409C-BE32-E72D297353CC}">
              <c16:uniqueId val="{0000000B-ED24-4557-97F6-A2382DCBA034}"/>
            </c:ext>
          </c:extLst>
        </c:ser>
        <c:ser>
          <c:idx val="4"/>
          <c:order val="4"/>
          <c:tx>
            <c:strRef>
              <c:f>'CEA (udrž.terap.)'!$A$26</c:f>
              <c:strCache>
                <c:ptCount val="1"/>
                <c:pt idx="0">
                  <c:v>CIMZIA 200mg inj.  (při udrž. dávce 200mg) - certolizumab peg. (iTNF)</c:v>
                </c:pt>
              </c:strCache>
            </c:strRef>
          </c:tx>
          <c:dPt>
            <c:idx val="1"/>
            <c:marker>
              <c:symbol val="none"/>
            </c:marker>
            <c:bubble3D val="0"/>
            <c:extLst>
              <c:ext xmlns:c16="http://schemas.microsoft.com/office/drawing/2014/chart" uri="{C3380CC4-5D6E-409C-BE32-E72D297353CC}">
                <c16:uniqueId val="{0000000C-ED24-4557-97F6-A2382DCBA034}"/>
              </c:ext>
            </c:extLst>
          </c:dPt>
          <c:dPt>
            <c:idx val="2"/>
            <c:marker>
              <c:symbol val="none"/>
            </c:marker>
            <c:bubble3D val="0"/>
            <c:extLst>
              <c:ext xmlns:c16="http://schemas.microsoft.com/office/drawing/2014/chart" uri="{C3380CC4-5D6E-409C-BE32-E72D297353CC}">
                <c16:uniqueId val="{0000000D-ED24-4557-97F6-A2382DCBA034}"/>
              </c:ext>
            </c:extLst>
          </c:dPt>
          <c:xVal>
            <c:numRef>
              <c:f>'CEA (udrž.terap.)'!$F$26:$F$28</c:f>
              <c:numCache>
                <c:formatCode>#\ ##0\ "Kč"</c:formatCode>
                <c:ptCount val="3"/>
                <c:pt idx="0">
                  <c:v>397486.82473499997</c:v>
                </c:pt>
                <c:pt idx="1">
                  <c:v>363416.52547200001</c:v>
                </c:pt>
                <c:pt idx="2">
                  <c:v>522411.25536599988</c:v>
                </c:pt>
              </c:numCache>
            </c:numRef>
          </c:xVal>
          <c:yVal>
            <c:numRef>
              <c:f>'CEA (udrž.terap.)'!$G$26:$G$28</c:f>
              <c:numCache>
                <c:formatCode>General</c:formatCode>
                <c:ptCount val="3"/>
                <c:pt idx="0">
                  <c:v>9</c:v>
                </c:pt>
                <c:pt idx="1">
                  <c:v>9</c:v>
                </c:pt>
                <c:pt idx="2">
                  <c:v>9</c:v>
                </c:pt>
              </c:numCache>
            </c:numRef>
          </c:yVal>
          <c:smooth val="0"/>
          <c:extLst>
            <c:ext xmlns:c16="http://schemas.microsoft.com/office/drawing/2014/chart" uri="{C3380CC4-5D6E-409C-BE32-E72D297353CC}">
              <c16:uniqueId val="{0000000E-ED24-4557-97F6-A2382DCBA034}"/>
            </c:ext>
          </c:extLst>
        </c:ser>
        <c:ser>
          <c:idx val="5"/>
          <c:order val="5"/>
          <c:tx>
            <c:strRef>
              <c:f>'CEA (udrž.terap.)'!$A$23</c:f>
              <c:strCache>
                <c:ptCount val="1"/>
                <c:pt idx="0">
                  <c:v>BIMZELX 160mg inj. - bimekizumab (anti IL-17A/17F/17AF)</c:v>
                </c:pt>
              </c:strCache>
            </c:strRef>
          </c:tx>
          <c:dPt>
            <c:idx val="1"/>
            <c:marker>
              <c:symbol val="none"/>
            </c:marker>
            <c:bubble3D val="0"/>
            <c:extLst>
              <c:ext xmlns:c16="http://schemas.microsoft.com/office/drawing/2014/chart" uri="{C3380CC4-5D6E-409C-BE32-E72D297353CC}">
                <c16:uniqueId val="{0000000F-ED24-4557-97F6-A2382DCBA034}"/>
              </c:ext>
            </c:extLst>
          </c:dPt>
          <c:dPt>
            <c:idx val="2"/>
            <c:marker>
              <c:symbol val="none"/>
            </c:marker>
            <c:bubble3D val="0"/>
            <c:extLst>
              <c:ext xmlns:c16="http://schemas.microsoft.com/office/drawing/2014/chart" uri="{C3380CC4-5D6E-409C-BE32-E72D297353CC}">
                <c16:uniqueId val="{00000010-ED24-4557-97F6-A2382DCBA034}"/>
              </c:ext>
            </c:extLst>
          </c:dPt>
          <c:xVal>
            <c:numRef>
              <c:f>'CEA (udrž.terap.)'!$F$23:$F$25</c:f>
              <c:numCache>
                <c:formatCode>#\ ##0\ "Kč"</c:formatCode>
                <c:ptCount val="3"/>
                <c:pt idx="0">
                  <c:v>435557.57563500002</c:v>
                </c:pt>
                <c:pt idx="1">
                  <c:v>373335.06482999999</c:v>
                </c:pt>
                <c:pt idx="2">
                  <c:v>497780.08643999998</c:v>
                </c:pt>
              </c:numCache>
            </c:numRef>
          </c:xVal>
          <c:yVal>
            <c:numRef>
              <c:f>'CEA (udrž.terap.)'!$G$23:$G$25</c:f>
              <c:numCache>
                <c:formatCode>General</c:formatCode>
                <c:ptCount val="3"/>
                <c:pt idx="0">
                  <c:v>8</c:v>
                </c:pt>
                <c:pt idx="1">
                  <c:v>8</c:v>
                </c:pt>
                <c:pt idx="2">
                  <c:v>8</c:v>
                </c:pt>
              </c:numCache>
            </c:numRef>
          </c:yVal>
          <c:smooth val="0"/>
          <c:extLst>
            <c:ext xmlns:c16="http://schemas.microsoft.com/office/drawing/2014/chart" uri="{C3380CC4-5D6E-409C-BE32-E72D297353CC}">
              <c16:uniqueId val="{00000011-ED24-4557-97F6-A2382DCBA034}"/>
            </c:ext>
          </c:extLst>
        </c:ser>
        <c:ser>
          <c:idx val="6"/>
          <c:order val="6"/>
          <c:tx>
            <c:strRef>
              <c:f>'CEA (udrž.terap.)'!$A$20</c:f>
              <c:strCache>
                <c:ptCount val="1"/>
                <c:pt idx="0">
                  <c:v>TREMFYA 100mg inj. - guselkumab (antiIL-23)</c:v>
                </c:pt>
              </c:strCache>
            </c:strRef>
          </c:tx>
          <c:dPt>
            <c:idx val="1"/>
            <c:marker>
              <c:symbol val="none"/>
            </c:marker>
            <c:bubble3D val="0"/>
            <c:extLst>
              <c:ext xmlns:c16="http://schemas.microsoft.com/office/drawing/2014/chart" uri="{C3380CC4-5D6E-409C-BE32-E72D297353CC}">
                <c16:uniqueId val="{00000012-ED24-4557-97F6-A2382DCBA034}"/>
              </c:ext>
            </c:extLst>
          </c:dPt>
          <c:dPt>
            <c:idx val="2"/>
            <c:marker>
              <c:symbol val="none"/>
            </c:marker>
            <c:bubble3D val="0"/>
            <c:extLst>
              <c:ext xmlns:c16="http://schemas.microsoft.com/office/drawing/2014/chart" uri="{C3380CC4-5D6E-409C-BE32-E72D297353CC}">
                <c16:uniqueId val="{00000013-ED24-4557-97F6-A2382DCBA034}"/>
              </c:ext>
            </c:extLst>
          </c:dPt>
          <c:xVal>
            <c:numRef>
              <c:f>'CEA (udrž.terap.)'!$F$20:$F$22</c:f>
              <c:numCache>
                <c:formatCode>#\ ##0\ "Kč"</c:formatCode>
                <c:ptCount val="3"/>
                <c:pt idx="0">
                  <c:v>556226.61660000007</c:v>
                </c:pt>
                <c:pt idx="1">
                  <c:v>494423.65920000005</c:v>
                </c:pt>
                <c:pt idx="2">
                  <c:v>648931.0527</c:v>
                </c:pt>
              </c:numCache>
            </c:numRef>
          </c:xVal>
          <c:yVal>
            <c:numRef>
              <c:f>'CEA (udrž.terap.)'!$G$20:$G$22</c:f>
              <c:numCache>
                <c:formatCode>General</c:formatCode>
                <c:ptCount val="3"/>
                <c:pt idx="0">
                  <c:v>7</c:v>
                </c:pt>
                <c:pt idx="1">
                  <c:v>7</c:v>
                </c:pt>
                <c:pt idx="2">
                  <c:v>7</c:v>
                </c:pt>
              </c:numCache>
            </c:numRef>
          </c:yVal>
          <c:smooth val="0"/>
          <c:extLst>
            <c:ext xmlns:c16="http://schemas.microsoft.com/office/drawing/2014/chart" uri="{C3380CC4-5D6E-409C-BE32-E72D297353CC}">
              <c16:uniqueId val="{00000014-ED24-4557-97F6-A2382DCBA034}"/>
            </c:ext>
          </c:extLst>
        </c:ser>
        <c:ser>
          <c:idx val="7"/>
          <c:order val="7"/>
          <c:tx>
            <c:strRef>
              <c:f>'CEA (udrž.terap.)'!$A$17</c:f>
              <c:strCache>
                <c:ptCount val="1"/>
                <c:pt idx="0">
                  <c:v>TALTZ 80mg inj. - ixekizumab (antiIL-17)</c:v>
                </c:pt>
              </c:strCache>
            </c:strRef>
          </c:tx>
          <c:dPt>
            <c:idx val="0"/>
            <c:marker>
              <c:symbol val="x"/>
              <c:size val="5"/>
            </c:marker>
            <c:bubble3D val="0"/>
            <c:extLst>
              <c:ext xmlns:c16="http://schemas.microsoft.com/office/drawing/2014/chart" uri="{C3380CC4-5D6E-409C-BE32-E72D297353CC}">
                <c16:uniqueId val="{00000015-ED24-4557-97F6-A2382DCBA034}"/>
              </c:ext>
            </c:extLst>
          </c:dPt>
          <c:dPt>
            <c:idx val="1"/>
            <c:marker>
              <c:symbol val="none"/>
            </c:marker>
            <c:bubble3D val="0"/>
            <c:extLst>
              <c:ext xmlns:c16="http://schemas.microsoft.com/office/drawing/2014/chart" uri="{C3380CC4-5D6E-409C-BE32-E72D297353CC}">
                <c16:uniqueId val="{00000016-ED24-4557-97F6-A2382DCBA034}"/>
              </c:ext>
            </c:extLst>
          </c:dPt>
          <c:dPt>
            <c:idx val="2"/>
            <c:marker>
              <c:symbol val="none"/>
            </c:marker>
            <c:bubble3D val="0"/>
            <c:extLst>
              <c:ext xmlns:c16="http://schemas.microsoft.com/office/drawing/2014/chart" uri="{C3380CC4-5D6E-409C-BE32-E72D297353CC}">
                <c16:uniqueId val="{00000017-ED24-4557-97F6-A2382DCBA034}"/>
              </c:ext>
            </c:extLst>
          </c:dPt>
          <c:xVal>
            <c:numRef>
              <c:f>'CEA (udrž.terap.)'!$F$17:$F$19</c:f>
              <c:numCache>
                <c:formatCode>#\ ##0\ "Kč"</c:formatCode>
                <c:ptCount val="3"/>
                <c:pt idx="0">
                  <c:v>573918.72719999996</c:v>
                </c:pt>
                <c:pt idx="1">
                  <c:v>464600.87439999997</c:v>
                </c:pt>
                <c:pt idx="2">
                  <c:v>737895.50639999995</c:v>
                </c:pt>
              </c:numCache>
            </c:numRef>
          </c:xVal>
          <c:yVal>
            <c:numRef>
              <c:f>'CEA (udrž.terap.)'!$G$17:$G$19</c:f>
              <c:numCache>
                <c:formatCode>General</c:formatCode>
                <c:ptCount val="3"/>
                <c:pt idx="0">
                  <c:v>6</c:v>
                </c:pt>
                <c:pt idx="1">
                  <c:v>6</c:v>
                </c:pt>
                <c:pt idx="2">
                  <c:v>6</c:v>
                </c:pt>
              </c:numCache>
            </c:numRef>
          </c:yVal>
          <c:smooth val="0"/>
          <c:extLst>
            <c:ext xmlns:c16="http://schemas.microsoft.com/office/drawing/2014/chart" uri="{C3380CC4-5D6E-409C-BE32-E72D297353CC}">
              <c16:uniqueId val="{00000018-ED24-4557-97F6-A2382DCBA034}"/>
            </c:ext>
          </c:extLst>
        </c:ser>
        <c:ser>
          <c:idx val="8"/>
          <c:order val="8"/>
          <c:tx>
            <c:strRef>
              <c:f>'CEA (udrž.terap.)'!$A$14</c:f>
              <c:strCache>
                <c:ptCount val="1"/>
                <c:pt idx="0">
                  <c:v>SKYRIZI 75mg inj. - risankizumab (antiIL-23)</c:v>
                </c:pt>
              </c:strCache>
            </c:strRef>
          </c:tx>
          <c:dPt>
            <c:idx val="0"/>
            <c:marker>
              <c:symbol val="circle"/>
              <c:size val="5"/>
            </c:marker>
            <c:bubble3D val="0"/>
            <c:extLst>
              <c:ext xmlns:c16="http://schemas.microsoft.com/office/drawing/2014/chart" uri="{C3380CC4-5D6E-409C-BE32-E72D297353CC}">
                <c16:uniqueId val="{00000019-ED24-4557-97F6-A2382DCBA034}"/>
              </c:ext>
            </c:extLst>
          </c:dPt>
          <c:dPt>
            <c:idx val="1"/>
            <c:marker>
              <c:symbol val="none"/>
            </c:marker>
            <c:bubble3D val="0"/>
            <c:extLst>
              <c:ext xmlns:c16="http://schemas.microsoft.com/office/drawing/2014/chart" uri="{C3380CC4-5D6E-409C-BE32-E72D297353CC}">
                <c16:uniqueId val="{0000001A-ED24-4557-97F6-A2382DCBA034}"/>
              </c:ext>
            </c:extLst>
          </c:dPt>
          <c:dPt>
            <c:idx val="2"/>
            <c:marker>
              <c:symbol val="none"/>
            </c:marker>
            <c:bubble3D val="0"/>
            <c:extLst>
              <c:ext xmlns:c16="http://schemas.microsoft.com/office/drawing/2014/chart" uri="{C3380CC4-5D6E-409C-BE32-E72D297353CC}">
                <c16:uniqueId val="{0000001B-ED24-4557-97F6-A2382DCBA034}"/>
              </c:ext>
            </c:extLst>
          </c:dPt>
          <c:xVal>
            <c:numRef>
              <c:f>'CEA (udrž.terap.)'!$F$14:$F$16</c:f>
              <c:numCache>
                <c:formatCode>#\ ##0\ "Kč"</c:formatCode>
                <c:ptCount val="3"/>
                <c:pt idx="0">
                  <c:v>388056.20643000002</c:v>
                </c:pt>
                <c:pt idx="1">
                  <c:v>362185.79266800004</c:v>
                </c:pt>
                <c:pt idx="2">
                  <c:v>439797.03395400004</c:v>
                </c:pt>
              </c:numCache>
            </c:numRef>
          </c:xVal>
          <c:yVal>
            <c:numRef>
              <c:f>'CEA (udrž.terap.)'!$G$14:$G$16</c:f>
              <c:numCache>
                <c:formatCode>General</c:formatCode>
                <c:ptCount val="3"/>
                <c:pt idx="0">
                  <c:v>5</c:v>
                </c:pt>
                <c:pt idx="1">
                  <c:v>5</c:v>
                </c:pt>
                <c:pt idx="2">
                  <c:v>5</c:v>
                </c:pt>
              </c:numCache>
            </c:numRef>
          </c:yVal>
          <c:smooth val="0"/>
          <c:extLst>
            <c:ext xmlns:c16="http://schemas.microsoft.com/office/drawing/2014/chart" uri="{C3380CC4-5D6E-409C-BE32-E72D297353CC}">
              <c16:uniqueId val="{0000001C-ED24-4557-97F6-A2382DCBA034}"/>
            </c:ext>
          </c:extLst>
        </c:ser>
        <c:ser>
          <c:idx val="9"/>
          <c:order val="9"/>
          <c:tx>
            <c:strRef>
              <c:f>'CEA (udrž.terap.)'!$A$11</c:f>
              <c:strCache>
                <c:ptCount val="1"/>
                <c:pt idx="0">
                  <c:v>KYNTHEUM 210mg inj. - brodalumab (antiIL-17)</c:v>
                </c:pt>
              </c:strCache>
            </c:strRef>
          </c:tx>
          <c:dPt>
            <c:idx val="1"/>
            <c:marker>
              <c:symbol val="none"/>
            </c:marker>
            <c:bubble3D val="0"/>
            <c:extLst>
              <c:ext xmlns:c16="http://schemas.microsoft.com/office/drawing/2014/chart" uri="{C3380CC4-5D6E-409C-BE32-E72D297353CC}">
                <c16:uniqueId val="{0000001D-ED24-4557-97F6-A2382DCBA034}"/>
              </c:ext>
            </c:extLst>
          </c:dPt>
          <c:dPt>
            <c:idx val="2"/>
            <c:marker>
              <c:symbol val="none"/>
            </c:marker>
            <c:bubble3D val="0"/>
            <c:extLst>
              <c:ext xmlns:c16="http://schemas.microsoft.com/office/drawing/2014/chart" uri="{C3380CC4-5D6E-409C-BE32-E72D297353CC}">
                <c16:uniqueId val="{0000001E-ED24-4557-97F6-A2382DCBA034}"/>
              </c:ext>
            </c:extLst>
          </c:dPt>
          <c:xVal>
            <c:numRef>
              <c:f>'CEA (udrž.terap.)'!$F$11:$F$13</c:f>
              <c:numCache>
                <c:formatCode>#\ ##0\ "Kč"</c:formatCode>
                <c:ptCount val="3"/>
                <c:pt idx="0">
                  <c:v>427016.96294399997</c:v>
                </c:pt>
                <c:pt idx="1">
                  <c:v>379570.63372799999</c:v>
                </c:pt>
                <c:pt idx="2">
                  <c:v>474463.29215999995</c:v>
                </c:pt>
              </c:numCache>
            </c:numRef>
          </c:xVal>
          <c:yVal>
            <c:numRef>
              <c:f>'CEA (udrž.terap.)'!$G$11:$G$13</c:f>
              <c:numCache>
                <c:formatCode>General</c:formatCode>
                <c:ptCount val="3"/>
                <c:pt idx="0">
                  <c:v>4</c:v>
                </c:pt>
                <c:pt idx="1">
                  <c:v>4</c:v>
                </c:pt>
                <c:pt idx="2">
                  <c:v>4</c:v>
                </c:pt>
              </c:numCache>
            </c:numRef>
          </c:yVal>
          <c:smooth val="0"/>
          <c:extLst>
            <c:ext xmlns:c16="http://schemas.microsoft.com/office/drawing/2014/chart" uri="{C3380CC4-5D6E-409C-BE32-E72D297353CC}">
              <c16:uniqueId val="{0000001F-ED24-4557-97F6-A2382DCBA034}"/>
            </c:ext>
          </c:extLst>
        </c:ser>
        <c:ser>
          <c:idx val="10"/>
          <c:order val="10"/>
          <c:tx>
            <c:strRef>
              <c:f>'CEA (udrž.terap.)'!$A$8</c:f>
              <c:strCache>
                <c:ptCount val="1"/>
                <c:pt idx="0">
                  <c:v>ZESSLY 100mg inf. (ceny pro 61-80kg pac. + cena za aplik.) - infliximab i.v. (iTNF)</c:v>
                </c:pt>
              </c:strCache>
            </c:strRef>
          </c:tx>
          <c:dPt>
            <c:idx val="1"/>
            <c:marker>
              <c:symbol val="none"/>
            </c:marker>
            <c:bubble3D val="0"/>
            <c:extLst>
              <c:ext xmlns:c16="http://schemas.microsoft.com/office/drawing/2014/chart" uri="{C3380CC4-5D6E-409C-BE32-E72D297353CC}">
                <c16:uniqueId val="{00000020-ED24-4557-97F6-A2382DCBA034}"/>
              </c:ext>
            </c:extLst>
          </c:dPt>
          <c:dPt>
            <c:idx val="2"/>
            <c:marker>
              <c:symbol val="none"/>
            </c:marker>
            <c:bubble3D val="0"/>
            <c:extLst>
              <c:ext xmlns:c16="http://schemas.microsoft.com/office/drawing/2014/chart" uri="{C3380CC4-5D6E-409C-BE32-E72D297353CC}">
                <c16:uniqueId val="{00000021-ED24-4557-97F6-A2382DCBA034}"/>
              </c:ext>
            </c:extLst>
          </c:dPt>
          <c:xVal>
            <c:numRef>
              <c:f>'CEA (udrž.terap.)'!$F$8:$F$10</c:f>
              <c:numCache>
                <c:formatCode>#\ ##0\ "Kč"</c:formatCode>
                <c:ptCount val="3"/>
                <c:pt idx="0">
                  <c:v>169964.18999999997</c:v>
                </c:pt>
                <c:pt idx="1">
                  <c:v>103008.59999999999</c:v>
                </c:pt>
                <c:pt idx="2">
                  <c:v>442936.97999999992</c:v>
                </c:pt>
              </c:numCache>
            </c:numRef>
          </c:xVal>
          <c:yVal>
            <c:numRef>
              <c:f>'CEA (udrž.terap.)'!$G$8:$G$10</c:f>
              <c:numCache>
                <c:formatCode>General</c:formatCode>
                <c:ptCount val="3"/>
                <c:pt idx="0">
                  <c:v>3</c:v>
                </c:pt>
                <c:pt idx="1">
                  <c:v>3</c:v>
                </c:pt>
                <c:pt idx="2">
                  <c:v>3</c:v>
                </c:pt>
              </c:numCache>
            </c:numRef>
          </c:yVal>
          <c:smooth val="0"/>
          <c:extLst>
            <c:ext xmlns:c16="http://schemas.microsoft.com/office/drawing/2014/chart" uri="{C3380CC4-5D6E-409C-BE32-E72D297353CC}">
              <c16:uniqueId val="{00000022-ED24-4557-97F6-A2382DCBA034}"/>
            </c:ext>
          </c:extLst>
        </c:ser>
        <c:ser>
          <c:idx val="11"/>
          <c:order val="11"/>
          <c:tx>
            <c:strRef>
              <c:f>'CEA (udrž.terap.)'!$A$5</c:f>
              <c:strCache>
                <c:ptCount val="1"/>
                <c:pt idx="0">
                  <c:v>REMSIMA 120mg inj.  (ceny pro inic. i.v. dávku ZESSLY u 61-80kg pac., udrž. s.c. dávky jsou bez ohledu na hmot. !!)  - infliximab s.c. (iTNF)</c:v>
                </c:pt>
              </c:strCache>
            </c:strRef>
          </c:tx>
          <c:dPt>
            <c:idx val="1"/>
            <c:marker>
              <c:symbol val="none"/>
            </c:marker>
            <c:bubble3D val="0"/>
            <c:extLst>
              <c:ext xmlns:c16="http://schemas.microsoft.com/office/drawing/2014/chart" uri="{C3380CC4-5D6E-409C-BE32-E72D297353CC}">
                <c16:uniqueId val="{00000023-ED24-4557-97F6-A2382DCBA034}"/>
              </c:ext>
            </c:extLst>
          </c:dPt>
          <c:dPt>
            <c:idx val="2"/>
            <c:marker>
              <c:symbol val="none"/>
            </c:marker>
            <c:bubble3D val="0"/>
            <c:extLst>
              <c:ext xmlns:c16="http://schemas.microsoft.com/office/drawing/2014/chart" uri="{C3380CC4-5D6E-409C-BE32-E72D297353CC}">
                <c16:uniqueId val="{00000024-ED24-4557-97F6-A2382DCBA034}"/>
              </c:ext>
            </c:extLst>
          </c:dPt>
          <c:xVal>
            <c:numRef>
              <c:f>'CEA (udrž.terap.)'!$F$5:$F$7</c:f>
              <c:numCache>
                <c:formatCode>#\ ##0\ "Kč"</c:formatCode>
                <c:ptCount val="3"/>
                <c:pt idx="0">
                  <c:v>445645.19999999995</c:v>
                </c:pt>
                <c:pt idx="1">
                  <c:v>270088</c:v>
                </c:pt>
                <c:pt idx="2">
                  <c:v>1161378.3999999999</c:v>
                </c:pt>
              </c:numCache>
            </c:numRef>
          </c:xVal>
          <c:yVal>
            <c:numRef>
              <c:f>'CEA (udrž.terap.)'!$G$5:$G$7</c:f>
              <c:numCache>
                <c:formatCode>General</c:formatCode>
                <c:ptCount val="3"/>
                <c:pt idx="0">
                  <c:v>2</c:v>
                </c:pt>
                <c:pt idx="1">
                  <c:v>2</c:v>
                </c:pt>
                <c:pt idx="2">
                  <c:v>2</c:v>
                </c:pt>
              </c:numCache>
            </c:numRef>
          </c:yVal>
          <c:smooth val="0"/>
          <c:extLst>
            <c:ext xmlns:c16="http://schemas.microsoft.com/office/drawing/2014/chart" uri="{C3380CC4-5D6E-409C-BE32-E72D297353CC}">
              <c16:uniqueId val="{00000025-ED24-4557-97F6-A2382DCBA034}"/>
            </c:ext>
          </c:extLst>
        </c:ser>
        <c:ser>
          <c:idx val="12"/>
          <c:order val="12"/>
          <c:tx>
            <c:strRef>
              <c:f>'CEA (udrž.terap.)'!$A$2</c:f>
              <c:strCache>
                <c:ptCount val="1"/>
                <c:pt idx="0">
                  <c:v>ILUMETRI 100mg inj. - tildrakizumab (anti IL-23), CAVE! má úhradu až po neúčinnosti, NÚ či KI na iTNF!</c:v>
                </c:pt>
              </c:strCache>
            </c:strRef>
          </c:tx>
          <c:dPt>
            <c:idx val="1"/>
            <c:marker>
              <c:symbol val="none"/>
            </c:marker>
            <c:bubble3D val="0"/>
            <c:extLst>
              <c:ext xmlns:c16="http://schemas.microsoft.com/office/drawing/2014/chart" uri="{C3380CC4-5D6E-409C-BE32-E72D297353CC}">
                <c16:uniqueId val="{00000026-ED24-4557-97F6-A2382DCBA034}"/>
              </c:ext>
            </c:extLst>
          </c:dPt>
          <c:dPt>
            <c:idx val="2"/>
            <c:marker>
              <c:symbol val="none"/>
            </c:marker>
            <c:bubble3D val="0"/>
            <c:extLst>
              <c:ext xmlns:c16="http://schemas.microsoft.com/office/drawing/2014/chart" uri="{C3380CC4-5D6E-409C-BE32-E72D297353CC}">
                <c16:uniqueId val="{00000027-ED24-4557-97F6-A2382DCBA034}"/>
              </c:ext>
            </c:extLst>
          </c:dPt>
          <c:xVal>
            <c:numRef>
              <c:f>'CEA (udrž.terap.)'!$F$2:$F$4</c:f>
              <c:numCache>
                <c:formatCode>#\ ##0\ "Kč"</c:formatCode>
                <c:ptCount val="3"/>
                <c:pt idx="0">
                  <c:v>783038.51199000003</c:v>
                </c:pt>
                <c:pt idx="1">
                  <c:v>671175.86742000002</c:v>
                </c:pt>
                <c:pt idx="2">
                  <c:v>939646.21438800008</c:v>
                </c:pt>
              </c:numCache>
            </c:numRef>
          </c:xVal>
          <c:yVal>
            <c:numRef>
              <c:f>'CEA (udrž.terap.)'!$G$2:$G$4</c:f>
              <c:numCache>
                <c:formatCode>General</c:formatCode>
                <c:ptCount val="3"/>
                <c:pt idx="0">
                  <c:v>1</c:v>
                </c:pt>
                <c:pt idx="1">
                  <c:v>1</c:v>
                </c:pt>
                <c:pt idx="2">
                  <c:v>1</c:v>
                </c:pt>
              </c:numCache>
            </c:numRef>
          </c:yVal>
          <c:smooth val="0"/>
          <c:extLst>
            <c:ext xmlns:c16="http://schemas.microsoft.com/office/drawing/2014/chart" uri="{C3380CC4-5D6E-409C-BE32-E72D297353CC}">
              <c16:uniqueId val="{00000028-ED24-4557-97F6-A2382DCBA034}"/>
            </c:ext>
          </c:extLst>
        </c:ser>
        <c:dLbls>
          <c:showLegendKey val="0"/>
          <c:showVal val="0"/>
          <c:showCatName val="0"/>
          <c:showSerName val="0"/>
          <c:showPercent val="0"/>
          <c:showBubbleSize val="0"/>
        </c:dLbls>
        <c:axId val="142403072"/>
        <c:axId val="142404608"/>
      </c:scatterChart>
      <c:valAx>
        <c:axId val="142403072"/>
        <c:scaling>
          <c:logBase val="2"/>
          <c:orientation val="minMax"/>
          <c:min val="50000"/>
        </c:scaling>
        <c:delete val="0"/>
        <c:axPos val="b"/>
        <c:numFmt formatCode="#\ ##0\ &quot;Kč&quot;" sourceLinked="1"/>
        <c:majorTickMark val="out"/>
        <c:minorTickMark val="none"/>
        <c:tickLblPos val="nextTo"/>
        <c:crossAx val="142404608"/>
        <c:crosses val="autoZero"/>
        <c:crossBetween val="midCat"/>
        <c:majorUnit val="2"/>
      </c:valAx>
      <c:valAx>
        <c:axId val="142404608"/>
        <c:scaling>
          <c:orientation val="minMax"/>
        </c:scaling>
        <c:delete val="0"/>
        <c:axPos val="l"/>
        <c:majorGridlines>
          <c:spPr>
            <a:ln>
              <a:noFill/>
            </a:ln>
          </c:spPr>
        </c:majorGridlines>
        <c:numFmt formatCode="General" sourceLinked="1"/>
        <c:majorTickMark val="none"/>
        <c:minorTickMark val="none"/>
        <c:tickLblPos val="none"/>
        <c:crossAx val="142403072"/>
        <c:crossesAt val="389596"/>
        <c:crossBetween val="midCat"/>
      </c:valAx>
      <c:spPr>
        <a:noFill/>
        <a:ln>
          <a:noFill/>
        </a:ln>
      </c:spPr>
    </c:plotArea>
    <c:legend>
      <c:legendPos val="r"/>
      <c:layout>
        <c:manualLayout>
          <c:xMode val="edge"/>
          <c:yMode val="edge"/>
          <c:x val="1.2632758152495013E-3"/>
          <c:y val="6.3096323574685961E-2"/>
          <c:w val="0.32850703085821098"/>
          <c:h val="0.78475429460590429"/>
        </c:manualLayout>
      </c:layout>
      <c:overlay val="0"/>
      <c:txPr>
        <a:bodyPr/>
        <a:lstStyle/>
        <a:p>
          <a:pPr>
            <a:defRPr sz="900"/>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469423930115781"/>
          <c:y val="2.3090236652479248E-2"/>
          <c:w val="0.5630367270077784"/>
          <c:h val="0.84993934415706052"/>
        </c:manualLayout>
      </c:layout>
      <c:scatterChart>
        <c:scatterStyle val="lineMarker"/>
        <c:varyColors val="0"/>
        <c:ser>
          <c:idx val="0"/>
          <c:order val="0"/>
          <c:tx>
            <c:strRef>
              <c:f>'účinnost (udrž.terap.)'!$A$32</c:f>
              <c:strCache>
                <c:ptCount val="1"/>
                <c:pt idx="0">
                  <c:v>ENBREL 50mg inj. (při dávce 100mg týdně do 12. týdne, pak 50mg týdně) - etanercept (iTNF)</c:v>
                </c:pt>
              </c:strCache>
            </c:strRef>
          </c:tx>
          <c:dPt>
            <c:idx val="1"/>
            <c:marker>
              <c:symbol val="none"/>
            </c:marker>
            <c:bubble3D val="0"/>
            <c:extLst>
              <c:ext xmlns:c16="http://schemas.microsoft.com/office/drawing/2014/chart" uri="{C3380CC4-5D6E-409C-BE32-E72D297353CC}">
                <c16:uniqueId val="{00000000-ED24-4557-97F6-A2382DCBA034}"/>
              </c:ext>
            </c:extLst>
          </c:dPt>
          <c:dPt>
            <c:idx val="2"/>
            <c:marker>
              <c:symbol val="none"/>
            </c:marker>
            <c:bubble3D val="0"/>
            <c:extLst>
              <c:ext xmlns:c16="http://schemas.microsoft.com/office/drawing/2014/chart" uri="{C3380CC4-5D6E-409C-BE32-E72D297353CC}">
                <c16:uniqueId val="{00000001-ED24-4557-97F6-A2382DCBA034}"/>
              </c:ext>
            </c:extLst>
          </c:dPt>
          <c:xVal>
            <c:numRef>
              <c:f>'účinnost (udrž.terap.)'!$E$32:$E$34</c:f>
              <c:numCache>
                <c:formatCode>General</c:formatCode>
                <c:ptCount val="3"/>
                <c:pt idx="0">
                  <c:v>5.9</c:v>
                </c:pt>
                <c:pt idx="1">
                  <c:v>4.4000000000000004</c:v>
                </c:pt>
                <c:pt idx="2">
                  <c:v>8.1</c:v>
                </c:pt>
              </c:numCache>
            </c:numRef>
          </c:xVal>
          <c:yVal>
            <c:numRef>
              <c:f>'účinnost (udrž.terap.)'!$G$32:$G$34</c:f>
              <c:numCache>
                <c:formatCode>General</c:formatCode>
                <c:ptCount val="3"/>
                <c:pt idx="0">
                  <c:v>13</c:v>
                </c:pt>
                <c:pt idx="1">
                  <c:v>13</c:v>
                </c:pt>
                <c:pt idx="2">
                  <c:v>13</c:v>
                </c:pt>
              </c:numCache>
            </c:numRef>
          </c:yVal>
          <c:smooth val="0"/>
          <c:extLst>
            <c:ext xmlns:c16="http://schemas.microsoft.com/office/drawing/2014/chart" uri="{C3380CC4-5D6E-409C-BE32-E72D297353CC}">
              <c16:uniqueId val="{00000002-ED24-4557-97F6-A2382DCBA034}"/>
            </c:ext>
          </c:extLst>
        </c:ser>
        <c:ser>
          <c:idx val="1"/>
          <c:order val="1"/>
          <c:tx>
            <c:strRef>
              <c:f>'účinnost (udrž.terap.)'!$A$38</c:f>
              <c:strCache>
                <c:ptCount val="1"/>
                <c:pt idx="0">
                  <c:v>CIMZIA 200mg inj.  (při udrž. dávce 400mg) - certol. peg. (iTNF)</c:v>
                </c:pt>
              </c:strCache>
            </c:strRef>
          </c:tx>
          <c:dPt>
            <c:idx val="1"/>
            <c:marker>
              <c:symbol val="none"/>
            </c:marker>
            <c:bubble3D val="0"/>
            <c:extLst>
              <c:ext xmlns:c16="http://schemas.microsoft.com/office/drawing/2014/chart" uri="{C3380CC4-5D6E-409C-BE32-E72D297353CC}">
                <c16:uniqueId val="{00000003-ED24-4557-97F6-A2382DCBA034}"/>
              </c:ext>
            </c:extLst>
          </c:dPt>
          <c:dPt>
            <c:idx val="2"/>
            <c:marker>
              <c:symbol val="none"/>
            </c:marker>
            <c:bubble3D val="0"/>
            <c:extLst>
              <c:ext xmlns:c16="http://schemas.microsoft.com/office/drawing/2014/chart" uri="{C3380CC4-5D6E-409C-BE32-E72D297353CC}">
                <c16:uniqueId val="{00000004-ED24-4557-97F6-A2382DCBA034}"/>
              </c:ext>
            </c:extLst>
          </c:dPt>
          <c:xVal>
            <c:numRef>
              <c:f>'účinnost (udrž.terap.)'!$E$38:$E$40</c:f>
              <c:numCache>
                <c:formatCode>General</c:formatCode>
                <c:ptCount val="3"/>
                <c:pt idx="0">
                  <c:v>2.9</c:v>
                </c:pt>
                <c:pt idx="1">
                  <c:v>2.6</c:v>
                </c:pt>
                <c:pt idx="2">
                  <c:v>4.2</c:v>
                </c:pt>
              </c:numCache>
            </c:numRef>
          </c:xVal>
          <c:yVal>
            <c:numRef>
              <c:f>'účinnost (udrž.terap.)'!$G$38:$G$40</c:f>
              <c:numCache>
                <c:formatCode>General</c:formatCode>
                <c:ptCount val="3"/>
                <c:pt idx="0">
                  <c:v>12</c:v>
                </c:pt>
                <c:pt idx="1">
                  <c:v>12</c:v>
                </c:pt>
                <c:pt idx="2">
                  <c:v>12</c:v>
                </c:pt>
              </c:numCache>
            </c:numRef>
          </c:yVal>
          <c:smooth val="0"/>
          <c:extLst>
            <c:ext xmlns:c16="http://schemas.microsoft.com/office/drawing/2014/chart" uri="{C3380CC4-5D6E-409C-BE32-E72D297353CC}">
              <c16:uniqueId val="{00000005-ED24-4557-97F6-A2382DCBA034}"/>
            </c:ext>
          </c:extLst>
        </c:ser>
        <c:ser>
          <c:idx val="2"/>
          <c:order val="2"/>
          <c:tx>
            <c:strRef>
              <c:f>'účinnost (udrž.terap.)'!$A$35</c:f>
              <c:strCache>
                <c:ptCount val="1"/>
                <c:pt idx="0">
                  <c:v>STELARA 45mg inj. (jen do 100kg) - ustek. (antiIL-12 a IL-23)</c:v>
                </c:pt>
              </c:strCache>
            </c:strRef>
          </c:tx>
          <c:dPt>
            <c:idx val="1"/>
            <c:marker>
              <c:symbol val="none"/>
            </c:marker>
            <c:bubble3D val="0"/>
            <c:extLst>
              <c:ext xmlns:c16="http://schemas.microsoft.com/office/drawing/2014/chart" uri="{C3380CC4-5D6E-409C-BE32-E72D297353CC}">
                <c16:uniqueId val="{00000006-ED24-4557-97F6-A2382DCBA034}"/>
              </c:ext>
            </c:extLst>
          </c:dPt>
          <c:dPt>
            <c:idx val="2"/>
            <c:marker>
              <c:symbol val="none"/>
            </c:marker>
            <c:bubble3D val="0"/>
            <c:extLst>
              <c:ext xmlns:c16="http://schemas.microsoft.com/office/drawing/2014/chart" uri="{C3380CC4-5D6E-409C-BE32-E72D297353CC}">
                <c16:uniqueId val="{00000007-ED24-4557-97F6-A2382DCBA034}"/>
              </c:ext>
            </c:extLst>
          </c:dPt>
          <c:xVal>
            <c:numRef>
              <c:f>'účinnost (udrž.terap.)'!$E$35:$E$37</c:f>
              <c:numCache>
                <c:formatCode>General</c:formatCode>
                <c:ptCount val="3"/>
                <c:pt idx="0">
                  <c:v>3.3</c:v>
                </c:pt>
                <c:pt idx="1">
                  <c:v>3.05</c:v>
                </c:pt>
                <c:pt idx="2">
                  <c:v>3.5</c:v>
                </c:pt>
              </c:numCache>
            </c:numRef>
          </c:xVal>
          <c:yVal>
            <c:numRef>
              <c:f>'účinnost (udrž.terap.)'!$G$35:$G$37</c:f>
              <c:numCache>
                <c:formatCode>General</c:formatCode>
                <c:ptCount val="3"/>
                <c:pt idx="0">
                  <c:v>11</c:v>
                </c:pt>
                <c:pt idx="1">
                  <c:v>11</c:v>
                </c:pt>
                <c:pt idx="2">
                  <c:v>11</c:v>
                </c:pt>
              </c:numCache>
            </c:numRef>
          </c:yVal>
          <c:smooth val="0"/>
          <c:extLst>
            <c:ext xmlns:c16="http://schemas.microsoft.com/office/drawing/2014/chart" uri="{C3380CC4-5D6E-409C-BE32-E72D297353CC}">
              <c16:uniqueId val="{00000008-ED24-4557-97F6-A2382DCBA034}"/>
            </c:ext>
          </c:extLst>
        </c:ser>
        <c:ser>
          <c:idx val="3"/>
          <c:order val="3"/>
          <c:tx>
            <c:strRef>
              <c:f>'účinnost (udrž.terap.)'!$A$29</c:f>
              <c:strCache>
                <c:ptCount val="1"/>
                <c:pt idx="0">
                  <c:v>COSENTYX 150mg inj. - secukinumab (antiIL-17)</c:v>
                </c:pt>
              </c:strCache>
            </c:strRef>
          </c:tx>
          <c:dPt>
            <c:idx val="1"/>
            <c:marker>
              <c:symbol val="none"/>
            </c:marker>
            <c:bubble3D val="0"/>
            <c:extLst>
              <c:ext xmlns:c16="http://schemas.microsoft.com/office/drawing/2014/chart" uri="{C3380CC4-5D6E-409C-BE32-E72D297353CC}">
                <c16:uniqueId val="{00000009-ED24-4557-97F6-A2382DCBA034}"/>
              </c:ext>
            </c:extLst>
          </c:dPt>
          <c:dPt>
            <c:idx val="2"/>
            <c:marker>
              <c:symbol val="none"/>
            </c:marker>
            <c:bubble3D val="0"/>
            <c:extLst>
              <c:ext xmlns:c16="http://schemas.microsoft.com/office/drawing/2014/chart" uri="{C3380CC4-5D6E-409C-BE32-E72D297353CC}">
                <c16:uniqueId val="{0000000A-ED24-4557-97F6-A2382DCBA034}"/>
              </c:ext>
            </c:extLst>
          </c:dPt>
          <c:xVal>
            <c:numRef>
              <c:f>'účinnost (udrž.terap.)'!$E$29:$E$31</c:f>
              <c:numCache>
                <c:formatCode>General</c:formatCode>
                <c:ptCount val="3"/>
                <c:pt idx="0">
                  <c:v>2.4</c:v>
                </c:pt>
                <c:pt idx="1">
                  <c:v>2.2000000000000002</c:v>
                </c:pt>
                <c:pt idx="2">
                  <c:v>2.7</c:v>
                </c:pt>
              </c:numCache>
            </c:numRef>
          </c:xVal>
          <c:yVal>
            <c:numRef>
              <c:f>'účinnost (udrž.terap.)'!$G$29:$G$31</c:f>
              <c:numCache>
                <c:formatCode>General</c:formatCode>
                <c:ptCount val="3"/>
                <c:pt idx="0">
                  <c:v>10</c:v>
                </c:pt>
                <c:pt idx="1">
                  <c:v>10</c:v>
                </c:pt>
                <c:pt idx="2">
                  <c:v>10</c:v>
                </c:pt>
              </c:numCache>
            </c:numRef>
          </c:yVal>
          <c:smooth val="0"/>
          <c:extLst>
            <c:ext xmlns:c16="http://schemas.microsoft.com/office/drawing/2014/chart" uri="{C3380CC4-5D6E-409C-BE32-E72D297353CC}">
              <c16:uniqueId val="{0000000B-ED24-4557-97F6-A2382DCBA034}"/>
            </c:ext>
          </c:extLst>
        </c:ser>
        <c:ser>
          <c:idx val="4"/>
          <c:order val="4"/>
          <c:tx>
            <c:strRef>
              <c:f>'účinnost (udrž.terap.)'!$A$26</c:f>
              <c:strCache>
                <c:ptCount val="1"/>
                <c:pt idx="0">
                  <c:v>CIMZIA 200mg inj.  (při udrž. dávce 200mg) - certol. peg. (iTNF)</c:v>
                </c:pt>
              </c:strCache>
            </c:strRef>
          </c:tx>
          <c:dPt>
            <c:idx val="1"/>
            <c:marker>
              <c:symbol val="none"/>
            </c:marker>
            <c:bubble3D val="0"/>
            <c:extLst>
              <c:ext xmlns:c16="http://schemas.microsoft.com/office/drawing/2014/chart" uri="{C3380CC4-5D6E-409C-BE32-E72D297353CC}">
                <c16:uniqueId val="{0000000C-ED24-4557-97F6-A2382DCBA034}"/>
              </c:ext>
            </c:extLst>
          </c:dPt>
          <c:dPt>
            <c:idx val="2"/>
            <c:marker>
              <c:symbol val="none"/>
            </c:marker>
            <c:bubble3D val="0"/>
            <c:extLst>
              <c:ext xmlns:c16="http://schemas.microsoft.com/office/drawing/2014/chart" uri="{C3380CC4-5D6E-409C-BE32-E72D297353CC}">
                <c16:uniqueId val="{0000000D-ED24-4557-97F6-A2382DCBA034}"/>
              </c:ext>
            </c:extLst>
          </c:dPt>
          <c:xVal>
            <c:numRef>
              <c:f>'účinnost (udrž.terap.)'!$E$26:$E$28</c:f>
              <c:numCache>
                <c:formatCode>General</c:formatCode>
                <c:ptCount val="3"/>
                <c:pt idx="0">
                  <c:v>3.5</c:v>
                </c:pt>
                <c:pt idx="1">
                  <c:v>3.2</c:v>
                </c:pt>
                <c:pt idx="2">
                  <c:v>4.5999999999999996</c:v>
                </c:pt>
              </c:numCache>
            </c:numRef>
          </c:xVal>
          <c:yVal>
            <c:numRef>
              <c:f>'účinnost (udrž.terap.)'!$G$26:$G$28</c:f>
              <c:numCache>
                <c:formatCode>General</c:formatCode>
                <c:ptCount val="3"/>
                <c:pt idx="0">
                  <c:v>9</c:v>
                </c:pt>
                <c:pt idx="1">
                  <c:v>9</c:v>
                </c:pt>
                <c:pt idx="2">
                  <c:v>9</c:v>
                </c:pt>
              </c:numCache>
            </c:numRef>
          </c:yVal>
          <c:smooth val="0"/>
          <c:extLst>
            <c:ext xmlns:c16="http://schemas.microsoft.com/office/drawing/2014/chart" uri="{C3380CC4-5D6E-409C-BE32-E72D297353CC}">
              <c16:uniqueId val="{0000000E-ED24-4557-97F6-A2382DCBA034}"/>
            </c:ext>
          </c:extLst>
        </c:ser>
        <c:ser>
          <c:idx val="5"/>
          <c:order val="5"/>
          <c:tx>
            <c:strRef>
              <c:f>'účinnost (udrž.terap.)'!$A$23</c:f>
              <c:strCache>
                <c:ptCount val="1"/>
                <c:pt idx="0">
                  <c:v>BIMZELX 160mg inj. - bimekizumab (anti IL-17A/17F/17AF)</c:v>
                </c:pt>
              </c:strCache>
            </c:strRef>
          </c:tx>
          <c:dPt>
            <c:idx val="1"/>
            <c:marker>
              <c:symbol val="none"/>
            </c:marker>
            <c:bubble3D val="0"/>
            <c:extLst>
              <c:ext xmlns:c16="http://schemas.microsoft.com/office/drawing/2014/chart" uri="{C3380CC4-5D6E-409C-BE32-E72D297353CC}">
                <c16:uniqueId val="{0000000F-ED24-4557-97F6-A2382DCBA034}"/>
              </c:ext>
            </c:extLst>
          </c:dPt>
          <c:dPt>
            <c:idx val="2"/>
            <c:marker>
              <c:symbol val="none"/>
            </c:marker>
            <c:bubble3D val="0"/>
            <c:extLst>
              <c:ext xmlns:c16="http://schemas.microsoft.com/office/drawing/2014/chart" uri="{C3380CC4-5D6E-409C-BE32-E72D297353CC}">
                <c16:uniqueId val="{00000010-ED24-4557-97F6-A2382DCBA034}"/>
              </c:ext>
            </c:extLst>
          </c:dPt>
          <c:xVal>
            <c:numRef>
              <c:f>'účinnost (udrž.terap.)'!$E$23:$E$25</c:f>
              <c:numCache>
                <c:formatCode>General</c:formatCode>
                <c:ptCount val="3"/>
                <c:pt idx="0">
                  <c:v>1.75</c:v>
                </c:pt>
                <c:pt idx="1">
                  <c:v>1.5</c:v>
                </c:pt>
                <c:pt idx="2" formatCode="0.0">
                  <c:v>2</c:v>
                </c:pt>
              </c:numCache>
            </c:numRef>
          </c:xVal>
          <c:yVal>
            <c:numRef>
              <c:f>'účinnost (udrž.terap.)'!$G$23:$G$25</c:f>
              <c:numCache>
                <c:formatCode>General</c:formatCode>
                <c:ptCount val="3"/>
                <c:pt idx="0">
                  <c:v>8</c:v>
                </c:pt>
                <c:pt idx="1">
                  <c:v>8</c:v>
                </c:pt>
                <c:pt idx="2">
                  <c:v>8</c:v>
                </c:pt>
              </c:numCache>
            </c:numRef>
          </c:yVal>
          <c:smooth val="0"/>
          <c:extLst>
            <c:ext xmlns:c16="http://schemas.microsoft.com/office/drawing/2014/chart" uri="{C3380CC4-5D6E-409C-BE32-E72D297353CC}">
              <c16:uniqueId val="{00000011-ED24-4557-97F6-A2382DCBA034}"/>
            </c:ext>
          </c:extLst>
        </c:ser>
        <c:ser>
          <c:idx val="6"/>
          <c:order val="6"/>
          <c:tx>
            <c:strRef>
              <c:f>'účinnost (udrž.terap.)'!$A$20</c:f>
              <c:strCache>
                <c:ptCount val="1"/>
                <c:pt idx="0">
                  <c:v>TREMFYA 100mg inj. - guselkumab (antiIL-23)</c:v>
                </c:pt>
              </c:strCache>
            </c:strRef>
          </c:tx>
          <c:dPt>
            <c:idx val="1"/>
            <c:marker>
              <c:symbol val="none"/>
            </c:marker>
            <c:bubble3D val="0"/>
            <c:extLst>
              <c:ext xmlns:c16="http://schemas.microsoft.com/office/drawing/2014/chart" uri="{C3380CC4-5D6E-409C-BE32-E72D297353CC}">
                <c16:uniqueId val="{00000012-ED24-4557-97F6-A2382DCBA034}"/>
              </c:ext>
            </c:extLst>
          </c:dPt>
          <c:dPt>
            <c:idx val="2"/>
            <c:marker>
              <c:symbol val="none"/>
            </c:marker>
            <c:bubble3D val="0"/>
            <c:extLst>
              <c:ext xmlns:c16="http://schemas.microsoft.com/office/drawing/2014/chart" uri="{C3380CC4-5D6E-409C-BE32-E72D297353CC}">
                <c16:uniqueId val="{00000013-ED24-4557-97F6-A2382DCBA034}"/>
              </c:ext>
            </c:extLst>
          </c:dPt>
          <c:xVal>
            <c:numRef>
              <c:f>'účinnost (udrž.terap.)'!$E$20:$E$22</c:f>
              <c:numCache>
                <c:formatCode>General</c:formatCode>
                <c:ptCount val="3"/>
                <c:pt idx="0">
                  <c:v>1.8</c:v>
                </c:pt>
                <c:pt idx="1">
                  <c:v>1.6</c:v>
                </c:pt>
                <c:pt idx="2">
                  <c:v>2.1</c:v>
                </c:pt>
              </c:numCache>
            </c:numRef>
          </c:xVal>
          <c:yVal>
            <c:numRef>
              <c:f>'účinnost (udrž.terap.)'!$G$20:$G$22</c:f>
              <c:numCache>
                <c:formatCode>General</c:formatCode>
                <c:ptCount val="3"/>
                <c:pt idx="0">
                  <c:v>7</c:v>
                </c:pt>
                <c:pt idx="1">
                  <c:v>7</c:v>
                </c:pt>
                <c:pt idx="2">
                  <c:v>7</c:v>
                </c:pt>
              </c:numCache>
            </c:numRef>
          </c:yVal>
          <c:smooth val="0"/>
          <c:extLst>
            <c:ext xmlns:c16="http://schemas.microsoft.com/office/drawing/2014/chart" uri="{C3380CC4-5D6E-409C-BE32-E72D297353CC}">
              <c16:uniqueId val="{00000014-ED24-4557-97F6-A2382DCBA034}"/>
            </c:ext>
          </c:extLst>
        </c:ser>
        <c:ser>
          <c:idx val="7"/>
          <c:order val="7"/>
          <c:tx>
            <c:strRef>
              <c:f>'účinnost (udrž.terap.)'!$A$17</c:f>
              <c:strCache>
                <c:ptCount val="1"/>
                <c:pt idx="0">
                  <c:v>TALTZ 80mg inj. - ixekizumab (antiIL-17)</c:v>
                </c:pt>
              </c:strCache>
            </c:strRef>
          </c:tx>
          <c:dPt>
            <c:idx val="0"/>
            <c:marker>
              <c:symbol val="x"/>
              <c:size val="5"/>
            </c:marker>
            <c:bubble3D val="0"/>
            <c:extLst>
              <c:ext xmlns:c16="http://schemas.microsoft.com/office/drawing/2014/chart" uri="{C3380CC4-5D6E-409C-BE32-E72D297353CC}">
                <c16:uniqueId val="{00000015-ED24-4557-97F6-A2382DCBA034}"/>
              </c:ext>
            </c:extLst>
          </c:dPt>
          <c:dPt>
            <c:idx val="1"/>
            <c:marker>
              <c:symbol val="none"/>
            </c:marker>
            <c:bubble3D val="0"/>
            <c:extLst>
              <c:ext xmlns:c16="http://schemas.microsoft.com/office/drawing/2014/chart" uri="{C3380CC4-5D6E-409C-BE32-E72D297353CC}">
                <c16:uniqueId val="{00000016-ED24-4557-97F6-A2382DCBA034}"/>
              </c:ext>
            </c:extLst>
          </c:dPt>
          <c:dPt>
            <c:idx val="2"/>
            <c:marker>
              <c:symbol val="none"/>
            </c:marker>
            <c:bubble3D val="0"/>
            <c:extLst>
              <c:ext xmlns:c16="http://schemas.microsoft.com/office/drawing/2014/chart" uri="{C3380CC4-5D6E-409C-BE32-E72D297353CC}">
                <c16:uniqueId val="{00000017-ED24-4557-97F6-A2382DCBA034}"/>
              </c:ext>
            </c:extLst>
          </c:dPt>
          <c:xVal>
            <c:numRef>
              <c:f>'účinnost (udrž.terap.)'!$E$17:$E$19</c:f>
              <c:numCache>
                <c:formatCode>General</c:formatCode>
                <c:ptCount val="3"/>
                <c:pt idx="0">
                  <c:v>2.1</c:v>
                </c:pt>
                <c:pt idx="1">
                  <c:v>1.7</c:v>
                </c:pt>
                <c:pt idx="2">
                  <c:v>2.7</c:v>
                </c:pt>
              </c:numCache>
            </c:numRef>
          </c:xVal>
          <c:yVal>
            <c:numRef>
              <c:f>'účinnost (udrž.terap.)'!$G$17:$G$19</c:f>
              <c:numCache>
                <c:formatCode>General</c:formatCode>
                <c:ptCount val="3"/>
                <c:pt idx="0">
                  <c:v>6</c:v>
                </c:pt>
                <c:pt idx="1">
                  <c:v>6</c:v>
                </c:pt>
                <c:pt idx="2">
                  <c:v>6</c:v>
                </c:pt>
              </c:numCache>
            </c:numRef>
          </c:yVal>
          <c:smooth val="0"/>
          <c:extLst>
            <c:ext xmlns:c16="http://schemas.microsoft.com/office/drawing/2014/chart" uri="{C3380CC4-5D6E-409C-BE32-E72D297353CC}">
              <c16:uniqueId val="{00000018-ED24-4557-97F6-A2382DCBA034}"/>
            </c:ext>
          </c:extLst>
        </c:ser>
        <c:ser>
          <c:idx val="8"/>
          <c:order val="8"/>
          <c:tx>
            <c:strRef>
              <c:f>'účinnost (udrž.terap.)'!$A$14</c:f>
              <c:strCache>
                <c:ptCount val="1"/>
                <c:pt idx="0">
                  <c:v>SKYRIZI 75mg inj. - risankizumab (antiIL-23)</c:v>
                </c:pt>
              </c:strCache>
            </c:strRef>
          </c:tx>
          <c:dPt>
            <c:idx val="0"/>
            <c:marker>
              <c:symbol val="circle"/>
              <c:size val="5"/>
            </c:marker>
            <c:bubble3D val="0"/>
            <c:extLst>
              <c:ext xmlns:c16="http://schemas.microsoft.com/office/drawing/2014/chart" uri="{C3380CC4-5D6E-409C-BE32-E72D297353CC}">
                <c16:uniqueId val="{00000019-ED24-4557-97F6-A2382DCBA034}"/>
              </c:ext>
            </c:extLst>
          </c:dPt>
          <c:dPt>
            <c:idx val="1"/>
            <c:marker>
              <c:symbol val="none"/>
            </c:marker>
            <c:bubble3D val="0"/>
            <c:extLst>
              <c:ext xmlns:c16="http://schemas.microsoft.com/office/drawing/2014/chart" uri="{C3380CC4-5D6E-409C-BE32-E72D297353CC}">
                <c16:uniqueId val="{0000001A-ED24-4557-97F6-A2382DCBA034}"/>
              </c:ext>
            </c:extLst>
          </c:dPt>
          <c:dPt>
            <c:idx val="2"/>
            <c:marker>
              <c:symbol val="none"/>
            </c:marker>
            <c:bubble3D val="0"/>
            <c:extLst>
              <c:ext xmlns:c16="http://schemas.microsoft.com/office/drawing/2014/chart" uri="{C3380CC4-5D6E-409C-BE32-E72D297353CC}">
                <c16:uniqueId val="{0000001B-ED24-4557-97F6-A2382DCBA034}"/>
              </c:ext>
            </c:extLst>
          </c:dPt>
          <c:xVal>
            <c:numRef>
              <c:f>'účinnost (udrž.terap.)'!$E$14:$E$16</c:f>
              <c:numCache>
                <c:formatCode>General</c:formatCode>
                <c:ptCount val="3"/>
                <c:pt idx="0">
                  <c:v>1.5</c:v>
                </c:pt>
                <c:pt idx="1">
                  <c:v>1.4</c:v>
                </c:pt>
                <c:pt idx="2">
                  <c:v>1.7</c:v>
                </c:pt>
              </c:numCache>
            </c:numRef>
          </c:xVal>
          <c:yVal>
            <c:numRef>
              <c:f>'účinnost (udrž.terap.)'!$G$14:$G$16</c:f>
              <c:numCache>
                <c:formatCode>General</c:formatCode>
                <c:ptCount val="3"/>
                <c:pt idx="0">
                  <c:v>5</c:v>
                </c:pt>
                <c:pt idx="1">
                  <c:v>5</c:v>
                </c:pt>
                <c:pt idx="2">
                  <c:v>5</c:v>
                </c:pt>
              </c:numCache>
            </c:numRef>
          </c:yVal>
          <c:smooth val="0"/>
          <c:extLst>
            <c:ext xmlns:c16="http://schemas.microsoft.com/office/drawing/2014/chart" uri="{C3380CC4-5D6E-409C-BE32-E72D297353CC}">
              <c16:uniqueId val="{0000001C-ED24-4557-97F6-A2382DCBA034}"/>
            </c:ext>
          </c:extLst>
        </c:ser>
        <c:ser>
          <c:idx val="9"/>
          <c:order val="9"/>
          <c:tx>
            <c:strRef>
              <c:f>'účinnost (udrž.terap.)'!$A$11</c:f>
              <c:strCache>
                <c:ptCount val="1"/>
                <c:pt idx="0">
                  <c:v>KYNTHEUM 210mg inj. - brodalumab (antiIL-17)</c:v>
                </c:pt>
              </c:strCache>
            </c:strRef>
          </c:tx>
          <c:dPt>
            <c:idx val="1"/>
            <c:marker>
              <c:symbol val="none"/>
            </c:marker>
            <c:bubble3D val="0"/>
            <c:extLst>
              <c:ext xmlns:c16="http://schemas.microsoft.com/office/drawing/2014/chart" uri="{C3380CC4-5D6E-409C-BE32-E72D297353CC}">
                <c16:uniqueId val="{0000001D-ED24-4557-97F6-A2382DCBA034}"/>
              </c:ext>
            </c:extLst>
          </c:dPt>
          <c:dPt>
            <c:idx val="2"/>
            <c:marker>
              <c:symbol val="none"/>
            </c:marker>
            <c:bubble3D val="0"/>
            <c:extLst>
              <c:ext xmlns:c16="http://schemas.microsoft.com/office/drawing/2014/chart" uri="{C3380CC4-5D6E-409C-BE32-E72D297353CC}">
                <c16:uniqueId val="{0000001E-ED24-4557-97F6-A2382DCBA034}"/>
              </c:ext>
            </c:extLst>
          </c:dPt>
          <c:xVal>
            <c:numRef>
              <c:f>'účinnost (udrž.terap.)'!$E$11:$E$13</c:f>
              <c:numCache>
                <c:formatCode>General</c:formatCode>
                <c:ptCount val="3"/>
                <c:pt idx="0">
                  <c:v>1.8</c:v>
                </c:pt>
                <c:pt idx="1">
                  <c:v>1.6</c:v>
                </c:pt>
                <c:pt idx="2" formatCode="0.0">
                  <c:v>2</c:v>
                </c:pt>
              </c:numCache>
            </c:numRef>
          </c:xVal>
          <c:yVal>
            <c:numRef>
              <c:f>'účinnost (udrž.terap.)'!$G$11:$G$13</c:f>
              <c:numCache>
                <c:formatCode>General</c:formatCode>
                <c:ptCount val="3"/>
                <c:pt idx="0">
                  <c:v>4</c:v>
                </c:pt>
                <c:pt idx="1">
                  <c:v>4</c:v>
                </c:pt>
                <c:pt idx="2">
                  <c:v>4</c:v>
                </c:pt>
              </c:numCache>
            </c:numRef>
          </c:yVal>
          <c:smooth val="0"/>
          <c:extLst>
            <c:ext xmlns:c16="http://schemas.microsoft.com/office/drawing/2014/chart" uri="{C3380CC4-5D6E-409C-BE32-E72D297353CC}">
              <c16:uniqueId val="{0000001F-ED24-4557-97F6-A2382DCBA034}"/>
            </c:ext>
          </c:extLst>
        </c:ser>
        <c:ser>
          <c:idx val="10"/>
          <c:order val="10"/>
          <c:tx>
            <c:strRef>
              <c:f>'účinnost (udrž.terap.)'!$A$8</c:f>
              <c:strCache>
                <c:ptCount val="1"/>
                <c:pt idx="0">
                  <c:v>ZESSLY 100mg inf. - infliximab i.v. (iTNF)</c:v>
                </c:pt>
              </c:strCache>
            </c:strRef>
          </c:tx>
          <c:dPt>
            <c:idx val="1"/>
            <c:marker>
              <c:symbol val="none"/>
            </c:marker>
            <c:bubble3D val="0"/>
            <c:extLst>
              <c:ext xmlns:c16="http://schemas.microsoft.com/office/drawing/2014/chart" uri="{C3380CC4-5D6E-409C-BE32-E72D297353CC}">
                <c16:uniqueId val="{00000020-ED24-4557-97F6-A2382DCBA034}"/>
              </c:ext>
            </c:extLst>
          </c:dPt>
          <c:dPt>
            <c:idx val="2"/>
            <c:marker>
              <c:symbol val="none"/>
            </c:marker>
            <c:bubble3D val="0"/>
            <c:extLst>
              <c:ext xmlns:c16="http://schemas.microsoft.com/office/drawing/2014/chart" uri="{C3380CC4-5D6E-409C-BE32-E72D297353CC}">
                <c16:uniqueId val="{00000021-ED24-4557-97F6-A2382DCBA034}"/>
              </c:ext>
            </c:extLst>
          </c:dPt>
          <c:xVal>
            <c:numRef>
              <c:f>'účinnost (udrž.terap.)'!$E$8:$E$10</c:f>
              <c:numCache>
                <c:formatCode>0.0</c:formatCode>
                <c:ptCount val="3"/>
                <c:pt idx="0" formatCode="General">
                  <c:v>3.3</c:v>
                </c:pt>
                <c:pt idx="1">
                  <c:v>2</c:v>
                </c:pt>
                <c:pt idx="2" formatCode="General">
                  <c:v>8.6</c:v>
                </c:pt>
              </c:numCache>
            </c:numRef>
          </c:xVal>
          <c:yVal>
            <c:numRef>
              <c:f>'účinnost (udrž.terap.)'!$G$8:$G$10</c:f>
              <c:numCache>
                <c:formatCode>General</c:formatCode>
                <c:ptCount val="3"/>
                <c:pt idx="0">
                  <c:v>3</c:v>
                </c:pt>
                <c:pt idx="1">
                  <c:v>3</c:v>
                </c:pt>
                <c:pt idx="2">
                  <c:v>3</c:v>
                </c:pt>
              </c:numCache>
            </c:numRef>
          </c:yVal>
          <c:smooth val="0"/>
          <c:extLst>
            <c:ext xmlns:c16="http://schemas.microsoft.com/office/drawing/2014/chart" uri="{C3380CC4-5D6E-409C-BE32-E72D297353CC}">
              <c16:uniqueId val="{00000022-ED24-4557-97F6-A2382DCBA034}"/>
            </c:ext>
          </c:extLst>
        </c:ser>
        <c:ser>
          <c:idx val="11"/>
          <c:order val="11"/>
          <c:tx>
            <c:strRef>
              <c:f>'účinnost (udrž.terap.)'!$A$5</c:f>
              <c:strCache>
                <c:ptCount val="1"/>
                <c:pt idx="0">
                  <c:v>REMSIMA 120mg inj.  (inic. i.v. dávku ZESSLY, udrž. s.c.)  - infliximab s.c. (iTNF)</c:v>
                </c:pt>
              </c:strCache>
            </c:strRef>
          </c:tx>
          <c:dPt>
            <c:idx val="1"/>
            <c:marker>
              <c:symbol val="none"/>
            </c:marker>
            <c:bubble3D val="0"/>
            <c:extLst>
              <c:ext xmlns:c16="http://schemas.microsoft.com/office/drawing/2014/chart" uri="{C3380CC4-5D6E-409C-BE32-E72D297353CC}">
                <c16:uniqueId val="{00000023-ED24-4557-97F6-A2382DCBA034}"/>
              </c:ext>
            </c:extLst>
          </c:dPt>
          <c:dPt>
            <c:idx val="2"/>
            <c:marker>
              <c:symbol val="none"/>
            </c:marker>
            <c:bubble3D val="0"/>
            <c:extLst>
              <c:ext xmlns:c16="http://schemas.microsoft.com/office/drawing/2014/chart" uri="{C3380CC4-5D6E-409C-BE32-E72D297353CC}">
                <c16:uniqueId val="{00000024-ED24-4557-97F6-A2382DCBA034}"/>
              </c:ext>
            </c:extLst>
          </c:dPt>
          <c:xVal>
            <c:numRef>
              <c:f>'účinnost (udrž.terap.)'!$E$5:$E$7</c:f>
              <c:numCache>
                <c:formatCode>0.0</c:formatCode>
                <c:ptCount val="3"/>
                <c:pt idx="0" formatCode="General">
                  <c:v>3.3</c:v>
                </c:pt>
                <c:pt idx="1">
                  <c:v>2</c:v>
                </c:pt>
                <c:pt idx="2" formatCode="General">
                  <c:v>8.6</c:v>
                </c:pt>
              </c:numCache>
            </c:numRef>
          </c:xVal>
          <c:yVal>
            <c:numRef>
              <c:f>'účinnost (udrž.terap.)'!$G$5:$G$7</c:f>
              <c:numCache>
                <c:formatCode>General</c:formatCode>
                <c:ptCount val="3"/>
                <c:pt idx="0">
                  <c:v>2</c:v>
                </c:pt>
                <c:pt idx="1">
                  <c:v>2</c:v>
                </c:pt>
                <c:pt idx="2">
                  <c:v>2</c:v>
                </c:pt>
              </c:numCache>
            </c:numRef>
          </c:yVal>
          <c:smooth val="0"/>
          <c:extLst>
            <c:ext xmlns:c16="http://schemas.microsoft.com/office/drawing/2014/chart" uri="{C3380CC4-5D6E-409C-BE32-E72D297353CC}">
              <c16:uniqueId val="{00000025-ED24-4557-97F6-A2382DCBA034}"/>
            </c:ext>
          </c:extLst>
        </c:ser>
        <c:ser>
          <c:idx val="12"/>
          <c:order val="12"/>
          <c:tx>
            <c:strRef>
              <c:f>'účinnost (udrž.terap.)'!$A$2</c:f>
              <c:strCache>
                <c:ptCount val="1"/>
                <c:pt idx="0">
                  <c:v>ILUMETRI 100mg inj. - tildrakizumab (anti IL-23)</c:v>
                </c:pt>
              </c:strCache>
            </c:strRef>
          </c:tx>
          <c:dPt>
            <c:idx val="1"/>
            <c:marker>
              <c:symbol val="none"/>
            </c:marker>
            <c:bubble3D val="0"/>
            <c:extLst>
              <c:ext xmlns:c16="http://schemas.microsoft.com/office/drawing/2014/chart" uri="{C3380CC4-5D6E-409C-BE32-E72D297353CC}">
                <c16:uniqueId val="{00000026-ED24-4557-97F6-A2382DCBA034}"/>
              </c:ext>
            </c:extLst>
          </c:dPt>
          <c:dPt>
            <c:idx val="2"/>
            <c:marker>
              <c:symbol val="none"/>
            </c:marker>
            <c:bubble3D val="0"/>
            <c:extLst>
              <c:ext xmlns:c16="http://schemas.microsoft.com/office/drawing/2014/chart" uri="{C3380CC4-5D6E-409C-BE32-E72D297353CC}">
                <c16:uniqueId val="{00000027-ED24-4557-97F6-A2382DCBA034}"/>
              </c:ext>
            </c:extLst>
          </c:dPt>
          <c:xVal>
            <c:numRef>
              <c:f>'účinnost (udrž.terap.)'!$E$2:$E$4</c:f>
              <c:numCache>
                <c:formatCode>0.0</c:formatCode>
                <c:ptCount val="3"/>
                <c:pt idx="0" formatCode="General">
                  <c:v>3.5</c:v>
                </c:pt>
                <c:pt idx="1">
                  <c:v>3</c:v>
                </c:pt>
                <c:pt idx="2" formatCode="General">
                  <c:v>4.2</c:v>
                </c:pt>
              </c:numCache>
            </c:numRef>
          </c:xVal>
          <c:yVal>
            <c:numRef>
              <c:f>'účinnost (udrž.terap.)'!$G$2:$G$4</c:f>
              <c:numCache>
                <c:formatCode>General</c:formatCode>
                <c:ptCount val="3"/>
                <c:pt idx="0">
                  <c:v>1</c:v>
                </c:pt>
                <c:pt idx="1">
                  <c:v>1</c:v>
                </c:pt>
                <c:pt idx="2">
                  <c:v>1</c:v>
                </c:pt>
              </c:numCache>
            </c:numRef>
          </c:yVal>
          <c:smooth val="0"/>
          <c:extLst>
            <c:ext xmlns:c16="http://schemas.microsoft.com/office/drawing/2014/chart" uri="{C3380CC4-5D6E-409C-BE32-E72D297353CC}">
              <c16:uniqueId val="{00000028-ED24-4557-97F6-A2382DCBA034}"/>
            </c:ext>
          </c:extLst>
        </c:ser>
        <c:dLbls>
          <c:showLegendKey val="0"/>
          <c:showVal val="0"/>
          <c:showCatName val="0"/>
          <c:showSerName val="0"/>
          <c:showPercent val="0"/>
          <c:showBubbleSize val="0"/>
        </c:dLbls>
        <c:axId val="140697600"/>
        <c:axId val="140699136"/>
      </c:scatterChart>
      <c:valAx>
        <c:axId val="140697600"/>
        <c:scaling>
          <c:logBase val="2"/>
          <c:orientation val="minMax"/>
        </c:scaling>
        <c:delete val="0"/>
        <c:axPos val="b"/>
        <c:numFmt formatCode="#,##0.0" sourceLinked="0"/>
        <c:majorTickMark val="out"/>
        <c:minorTickMark val="none"/>
        <c:tickLblPos val="nextTo"/>
        <c:crossAx val="140699136"/>
        <c:crosses val="autoZero"/>
        <c:crossBetween val="midCat"/>
        <c:majorUnit val="2"/>
      </c:valAx>
      <c:valAx>
        <c:axId val="140699136"/>
        <c:scaling>
          <c:orientation val="minMax"/>
        </c:scaling>
        <c:delete val="0"/>
        <c:axPos val="l"/>
        <c:majorGridlines>
          <c:spPr>
            <a:ln>
              <a:noFill/>
            </a:ln>
          </c:spPr>
        </c:majorGridlines>
        <c:numFmt formatCode="General" sourceLinked="1"/>
        <c:majorTickMark val="none"/>
        <c:minorTickMark val="none"/>
        <c:tickLblPos val="none"/>
        <c:crossAx val="140697600"/>
        <c:crossesAt val="2"/>
        <c:crossBetween val="midCat"/>
      </c:valAx>
      <c:spPr>
        <a:noFill/>
        <a:ln w="25400">
          <a:noFill/>
        </a:ln>
      </c:spPr>
    </c:plotArea>
    <c:legend>
      <c:legendPos val="r"/>
      <c:layout>
        <c:manualLayout>
          <c:xMode val="edge"/>
          <c:yMode val="edge"/>
          <c:x val="1.2632758152495013E-3"/>
          <c:y val="6.3096323574685961E-2"/>
          <c:w val="0.27706697510448131"/>
          <c:h val="0.78475429460590429"/>
        </c:manualLayout>
      </c:layout>
      <c:overlay val="0"/>
      <c:txPr>
        <a:bodyPr/>
        <a:lstStyle/>
        <a:p>
          <a:pPr>
            <a:defRPr sz="900"/>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1426595622199"/>
          <c:y val="0.10307584092813631"/>
          <c:w val="0.86992949123768137"/>
          <c:h val="0.80876232985460417"/>
        </c:manualLayout>
      </c:layout>
      <c:scatterChart>
        <c:scatterStyle val="lineMarker"/>
        <c:varyColors val="0"/>
        <c:ser>
          <c:idx val="0"/>
          <c:order val="0"/>
          <c:tx>
            <c:strRef>
              <c:f>'efficient frontier'!$C$1</c:f>
              <c:strCache>
                <c:ptCount val="1"/>
                <c:pt idx="0">
                  <c:v>cena za příslušné období (vč. bonusů)</c:v>
                </c:pt>
              </c:strCache>
            </c:strRef>
          </c:tx>
          <c:spPr>
            <a:ln w="19050">
              <a:noFill/>
            </a:ln>
          </c:spPr>
          <c:dPt>
            <c:idx val="0"/>
            <c:marker>
              <c:symbol val="triangle"/>
              <c:size val="8"/>
              <c:spPr>
                <a:solidFill>
                  <a:srgbClr val="FFC000"/>
                </a:solidFill>
              </c:spPr>
            </c:marker>
            <c:bubble3D val="0"/>
            <c:extLst>
              <c:ext xmlns:c16="http://schemas.microsoft.com/office/drawing/2014/chart" uri="{C3380CC4-5D6E-409C-BE32-E72D297353CC}">
                <c16:uniqueId val="{00000000-4B49-40E9-9499-2E28BC2C5D46}"/>
              </c:ext>
            </c:extLst>
          </c:dPt>
          <c:dPt>
            <c:idx val="1"/>
            <c:marker>
              <c:symbol val="triangle"/>
              <c:size val="7"/>
              <c:spPr>
                <a:solidFill>
                  <a:srgbClr val="FFC000"/>
                </a:solidFill>
              </c:spPr>
            </c:marker>
            <c:bubble3D val="0"/>
            <c:extLst>
              <c:ext xmlns:c16="http://schemas.microsoft.com/office/drawing/2014/chart" uri="{C3380CC4-5D6E-409C-BE32-E72D297353CC}">
                <c16:uniqueId val="{00000001-4B49-40E9-9499-2E28BC2C5D46}"/>
              </c:ext>
            </c:extLst>
          </c:dPt>
          <c:dPt>
            <c:idx val="2"/>
            <c:marker>
              <c:symbol val="triangle"/>
              <c:size val="8"/>
              <c:spPr>
                <a:solidFill>
                  <a:srgbClr val="FFC000"/>
                </a:solidFill>
              </c:spPr>
            </c:marker>
            <c:bubble3D val="0"/>
            <c:extLst>
              <c:ext xmlns:c16="http://schemas.microsoft.com/office/drawing/2014/chart" uri="{C3380CC4-5D6E-409C-BE32-E72D297353CC}">
                <c16:uniqueId val="{00000002-4B49-40E9-9499-2E28BC2C5D46}"/>
              </c:ext>
            </c:extLst>
          </c:dPt>
          <c:dPt>
            <c:idx val="3"/>
            <c:marker>
              <c:symbol val="triangle"/>
              <c:size val="8"/>
              <c:spPr>
                <a:solidFill>
                  <a:srgbClr val="FFC000"/>
                </a:solidFill>
              </c:spPr>
            </c:marker>
            <c:bubble3D val="0"/>
            <c:extLst>
              <c:ext xmlns:c16="http://schemas.microsoft.com/office/drawing/2014/chart" uri="{C3380CC4-5D6E-409C-BE32-E72D297353CC}">
                <c16:uniqueId val="{00000003-4B49-40E9-9499-2E28BC2C5D46}"/>
              </c:ext>
            </c:extLst>
          </c:dPt>
          <c:dPt>
            <c:idx val="4"/>
            <c:marker>
              <c:symbol val="triangle"/>
              <c:size val="8"/>
              <c:spPr>
                <a:solidFill>
                  <a:srgbClr val="FFC000"/>
                </a:solidFill>
              </c:spPr>
            </c:marker>
            <c:bubble3D val="0"/>
            <c:extLst>
              <c:ext xmlns:c16="http://schemas.microsoft.com/office/drawing/2014/chart" uri="{C3380CC4-5D6E-409C-BE32-E72D297353CC}">
                <c16:uniqueId val="{00000004-4B49-40E9-9499-2E28BC2C5D46}"/>
              </c:ext>
            </c:extLst>
          </c:dPt>
          <c:dPt>
            <c:idx val="5"/>
            <c:marker>
              <c:symbol val="triangle"/>
              <c:size val="8"/>
              <c:spPr>
                <a:solidFill>
                  <a:srgbClr val="FFC000"/>
                </a:solidFill>
              </c:spPr>
            </c:marker>
            <c:bubble3D val="0"/>
            <c:extLst>
              <c:ext xmlns:c16="http://schemas.microsoft.com/office/drawing/2014/chart" uri="{C3380CC4-5D6E-409C-BE32-E72D297353CC}">
                <c16:uniqueId val="{00000005-4B49-40E9-9499-2E28BC2C5D46}"/>
              </c:ext>
            </c:extLst>
          </c:dPt>
          <c:dPt>
            <c:idx val="6"/>
            <c:marker>
              <c:symbol val="triangle"/>
              <c:size val="8"/>
              <c:spPr>
                <a:solidFill>
                  <a:srgbClr val="FFC000"/>
                </a:solidFill>
              </c:spPr>
            </c:marker>
            <c:bubble3D val="0"/>
            <c:extLst>
              <c:ext xmlns:c16="http://schemas.microsoft.com/office/drawing/2014/chart" uri="{C3380CC4-5D6E-409C-BE32-E72D297353CC}">
                <c16:uniqueId val="{00000006-4B49-40E9-9499-2E28BC2C5D46}"/>
              </c:ext>
            </c:extLst>
          </c:dPt>
          <c:dPt>
            <c:idx val="7"/>
            <c:marker>
              <c:symbol val="triangle"/>
              <c:size val="8"/>
              <c:spPr>
                <a:solidFill>
                  <a:srgbClr val="FFC000"/>
                </a:solidFill>
              </c:spPr>
            </c:marker>
            <c:bubble3D val="0"/>
            <c:extLst>
              <c:ext xmlns:c16="http://schemas.microsoft.com/office/drawing/2014/chart" uri="{C3380CC4-5D6E-409C-BE32-E72D297353CC}">
                <c16:uniqueId val="{00000007-4B49-40E9-9499-2E28BC2C5D46}"/>
              </c:ext>
            </c:extLst>
          </c:dPt>
          <c:dPt>
            <c:idx val="8"/>
            <c:marker>
              <c:symbol val="triangle"/>
              <c:size val="8"/>
              <c:spPr>
                <a:solidFill>
                  <a:srgbClr val="FFC000"/>
                </a:solidFill>
              </c:spPr>
            </c:marker>
            <c:bubble3D val="0"/>
            <c:extLst>
              <c:ext xmlns:c16="http://schemas.microsoft.com/office/drawing/2014/chart" uri="{C3380CC4-5D6E-409C-BE32-E72D297353CC}">
                <c16:uniqueId val="{00000008-4B49-40E9-9499-2E28BC2C5D46}"/>
              </c:ext>
            </c:extLst>
          </c:dPt>
          <c:dPt>
            <c:idx val="9"/>
            <c:marker>
              <c:symbol val="triangle"/>
              <c:size val="8"/>
              <c:spPr>
                <a:solidFill>
                  <a:srgbClr val="FFC000"/>
                </a:solidFill>
              </c:spPr>
            </c:marker>
            <c:bubble3D val="0"/>
            <c:extLst>
              <c:ext xmlns:c16="http://schemas.microsoft.com/office/drawing/2014/chart" uri="{C3380CC4-5D6E-409C-BE32-E72D297353CC}">
                <c16:uniqueId val="{00000009-4B49-40E9-9499-2E28BC2C5D46}"/>
              </c:ext>
            </c:extLst>
          </c:dPt>
          <c:dPt>
            <c:idx val="10"/>
            <c:marker>
              <c:symbol val="triangle"/>
              <c:size val="8"/>
              <c:spPr>
                <a:solidFill>
                  <a:srgbClr val="FFC000"/>
                </a:solidFill>
              </c:spPr>
            </c:marker>
            <c:bubble3D val="0"/>
            <c:extLst>
              <c:ext xmlns:c16="http://schemas.microsoft.com/office/drawing/2014/chart" uri="{C3380CC4-5D6E-409C-BE32-E72D297353CC}">
                <c16:uniqueId val="{0000000A-4B49-40E9-9499-2E28BC2C5D46}"/>
              </c:ext>
            </c:extLst>
          </c:dPt>
          <c:dPt>
            <c:idx val="11"/>
            <c:marker>
              <c:symbol val="triangle"/>
              <c:size val="8"/>
              <c:spPr>
                <a:solidFill>
                  <a:srgbClr val="FFC000"/>
                </a:solidFill>
              </c:spPr>
            </c:marker>
            <c:bubble3D val="0"/>
            <c:extLst>
              <c:ext xmlns:c16="http://schemas.microsoft.com/office/drawing/2014/chart" uri="{C3380CC4-5D6E-409C-BE32-E72D297353CC}">
                <c16:uniqueId val="{0000000B-4B49-40E9-9499-2E28BC2C5D46}"/>
              </c:ext>
            </c:extLst>
          </c:dPt>
          <c:dPt>
            <c:idx val="12"/>
            <c:marker>
              <c:symbol val="triangle"/>
              <c:size val="8"/>
              <c:spPr>
                <a:solidFill>
                  <a:srgbClr val="FFC000"/>
                </a:solidFill>
              </c:spPr>
            </c:marker>
            <c:bubble3D val="0"/>
            <c:extLst>
              <c:ext xmlns:c16="http://schemas.microsoft.com/office/drawing/2014/chart" uri="{C3380CC4-5D6E-409C-BE32-E72D297353CC}">
                <c16:uniqueId val="{0000000C-4B49-40E9-9499-2E28BC2C5D46}"/>
              </c:ext>
            </c:extLst>
          </c:dPt>
          <c:dPt>
            <c:idx val="13"/>
            <c:marker>
              <c:symbol val="triangle"/>
              <c:size val="7"/>
              <c:spPr>
                <a:solidFill>
                  <a:srgbClr val="FFC000"/>
                </a:solidFill>
              </c:spPr>
            </c:marker>
            <c:bubble3D val="0"/>
            <c:extLst>
              <c:ext xmlns:c16="http://schemas.microsoft.com/office/drawing/2014/chart" uri="{C3380CC4-5D6E-409C-BE32-E72D297353CC}">
                <c16:uniqueId val="{0000000D-D8B3-401C-8C85-EC3569B054A7}"/>
              </c:ext>
            </c:extLst>
          </c:dPt>
          <c:dPt>
            <c:idx val="14"/>
            <c:marker>
              <c:symbol val="triangle"/>
              <c:size val="7"/>
              <c:spPr>
                <a:solidFill>
                  <a:srgbClr val="FFC000"/>
                </a:solidFill>
              </c:spPr>
            </c:marker>
            <c:bubble3D val="0"/>
            <c:extLst>
              <c:ext xmlns:c16="http://schemas.microsoft.com/office/drawing/2014/chart" uri="{C3380CC4-5D6E-409C-BE32-E72D297353CC}">
                <c16:uniqueId val="{0000000E-D8B3-401C-8C85-EC3569B054A7}"/>
              </c:ext>
            </c:extLst>
          </c:dPt>
          <c:dPt>
            <c:idx val="15"/>
            <c:marker>
              <c:symbol val="triangle"/>
              <c:size val="7"/>
              <c:spPr>
                <a:solidFill>
                  <a:srgbClr val="FFC000"/>
                </a:solidFill>
              </c:spPr>
            </c:marker>
            <c:bubble3D val="0"/>
            <c:extLst>
              <c:ext xmlns:c16="http://schemas.microsoft.com/office/drawing/2014/chart" uri="{C3380CC4-5D6E-409C-BE32-E72D297353CC}">
                <c16:uniqueId val="{0000000F-D8B3-401C-8C85-EC3569B054A7}"/>
              </c:ext>
            </c:extLst>
          </c:dPt>
          <c:xVal>
            <c:numRef>
              <c:f>'efficient frontier'!$B$2:$B$33</c:f>
              <c:numCache>
                <c:formatCode>0.0</c:formatCode>
                <c:ptCount val="32"/>
                <c:pt idx="0">
                  <c:v>17.301038062283737</c:v>
                </c:pt>
                <c:pt idx="1">
                  <c:v>23.419203747072601</c:v>
                </c:pt>
                <c:pt idx="2">
                  <c:v>23.419203747072601</c:v>
                </c:pt>
                <c:pt idx="3">
                  <c:v>43.478260869565219</c:v>
                </c:pt>
                <c:pt idx="4">
                  <c:v>44.247787610619476</c:v>
                </c:pt>
                <c:pt idx="5">
                  <c:v>37.735849056603776</c:v>
                </c:pt>
                <c:pt idx="6">
                  <c:v>32.467532467532465</c:v>
                </c:pt>
                <c:pt idx="7">
                  <c:v>17.301038062283737</c:v>
                </c:pt>
                <c:pt idx="8">
                  <c:v>13.908205841446453</c:v>
                </c:pt>
                <c:pt idx="9">
                  <c:v>32.154340836012864</c:v>
                </c:pt>
                <c:pt idx="10">
                  <c:v>5.9630292188431726</c:v>
                </c:pt>
                <c:pt idx="11">
                  <c:v>23.419203747072601</c:v>
                </c:pt>
                <c:pt idx="12">
                  <c:v>13.140604467805518</c:v>
                </c:pt>
                <c:pt idx="13">
                  <c:v>57.47126436781609</c:v>
                </c:pt>
                <c:pt idx="14">
                  <c:v>17.482517482517483</c:v>
                </c:pt>
                <c:pt idx="15">
                  <c:v>16.722408026755851</c:v>
                </c:pt>
                <c:pt idx="16">
                  <c:v>26.881720430107524</c:v>
                </c:pt>
                <c:pt idx="17">
                  <c:v>30.303030303030305</c:v>
                </c:pt>
                <c:pt idx="18">
                  <c:v>30.303030303030305</c:v>
                </c:pt>
                <c:pt idx="19">
                  <c:v>55.555555555555557</c:v>
                </c:pt>
                <c:pt idx="20">
                  <c:v>66.666666666666671</c:v>
                </c:pt>
                <c:pt idx="21">
                  <c:v>47.61904761904762</c:v>
                </c:pt>
                <c:pt idx="22">
                  <c:v>55.555555555555557</c:v>
                </c:pt>
                <c:pt idx="23">
                  <c:v>26.881720430107524</c:v>
                </c:pt>
                <c:pt idx="24">
                  <c:v>28.571428571428573</c:v>
                </c:pt>
                <c:pt idx="25">
                  <c:v>41.666666666666671</c:v>
                </c:pt>
                <c:pt idx="26">
                  <c:v>16.949152542372879</c:v>
                </c:pt>
                <c:pt idx="27">
                  <c:v>30.303030303030305</c:v>
                </c:pt>
                <c:pt idx="28">
                  <c:v>28.571428571428573</c:v>
                </c:pt>
                <c:pt idx="29">
                  <c:v>57.142857142857146</c:v>
                </c:pt>
                <c:pt idx="30">
                  <c:v>30.303030303030305</c:v>
                </c:pt>
                <c:pt idx="31">
                  <c:v>34.482758620689658</c:v>
                </c:pt>
              </c:numCache>
            </c:numRef>
          </c:xVal>
          <c:yVal>
            <c:numRef>
              <c:f>'efficient frontier'!$C$2:$C$33</c:f>
              <c:numCache>
                <c:formatCode>_-* #\ ##0\ "Kč"_-;\-* #\ ##0\ "Kč"_-;_-* "-"??\ "Kč"_-;_-@_-</c:formatCode>
                <c:ptCount val="32"/>
                <c:pt idx="0">
                  <c:v>7007.05</c:v>
                </c:pt>
                <c:pt idx="1">
                  <c:v>48143.473599999998</c:v>
                </c:pt>
                <c:pt idx="2">
                  <c:v>30864</c:v>
                </c:pt>
                <c:pt idx="3">
                  <c:v>91242.940799999997</c:v>
                </c:pt>
                <c:pt idx="4">
                  <c:v>179240.74200000003</c:v>
                </c:pt>
                <c:pt idx="5">
                  <c:v>189203.97600000002</c:v>
                </c:pt>
                <c:pt idx="6">
                  <c:v>138364.83000000002</c:v>
                </c:pt>
                <c:pt idx="7">
                  <c:v>53673.75</c:v>
                </c:pt>
                <c:pt idx="8">
                  <c:v>52415.845019999993</c:v>
                </c:pt>
                <c:pt idx="9">
                  <c:v>144817.56800000003</c:v>
                </c:pt>
                <c:pt idx="10">
                  <c:v>35616</c:v>
                </c:pt>
                <c:pt idx="11">
                  <c:v>41402</c:v>
                </c:pt>
                <c:pt idx="12">
                  <c:v>155005.97400000002</c:v>
                </c:pt>
                <c:pt idx="13">
                  <c:v>191453.87940000001</c:v>
                </c:pt>
                <c:pt idx="14">
                  <c:v>185420.79</c:v>
                </c:pt>
                <c:pt idx="15">
                  <c:v>87069.51</c:v>
                </c:pt>
                <c:pt idx="16">
                  <c:v>18218.330000000002</c:v>
                </c:pt>
                <c:pt idx="17">
                  <c:v>80339.421569999991</c:v>
                </c:pt>
                <c:pt idx="18">
                  <c:v>51504.299999999996</c:v>
                </c:pt>
                <c:pt idx="19">
                  <c:v>237231.64607999998</c:v>
                </c:pt>
                <c:pt idx="20">
                  <c:v>258704.13762000002</c:v>
                </c:pt>
                <c:pt idx="21">
                  <c:v>273294.63199999998</c:v>
                </c:pt>
                <c:pt idx="22">
                  <c:v>309014.78700000001</c:v>
                </c:pt>
                <c:pt idx="23">
                  <c:v>139551.75</c:v>
                </c:pt>
                <c:pt idx="24">
                  <c:v>113567.66420999999</c:v>
                </c:pt>
                <c:pt idx="25">
                  <c:v>248258.68800000002</c:v>
                </c:pt>
                <c:pt idx="26">
                  <c:v>77168</c:v>
                </c:pt>
                <c:pt idx="27">
                  <c:v>135044</c:v>
                </c:pt>
                <c:pt idx="28">
                  <c:v>223725.28914000001</c:v>
                </c:pt>
                <c:pt idx="29">
                  <c:v>248890.04321999999</c:v>
                </c:pt>
                <c:pt idx="30">
                  <c:v>267809.42769000004</c:v>
                </c:pt>
                <c:pt idx="31">
                  <c:v>251534.13999999998</c:v>
                </c:pt>
              </c:numCache>
            </c:numRef>
          </c:yVal>
          <c:smooth val="0"/>
          <c:extLst>
            <c:ext xmlns:c16="http://schemas.microsoft.com/office/drawing/2014/chart" uri="{C3380CC4-5D6E-409C-BE32-E72D297353CC}">
              <c16:uniqueId val="{0000000D-4B49-40E9-9499-2E28BC2C5D46}"/>
            </c:ext>
          </c:extLst>
        </c:ser>
        <c:dLbls>
          <c:showLegendKey val="0"/>
          <c:showVal val="0"/>
          <c:showCatName val="0"/>
          <c:showSerName val="0"/>
          <c:showPercent val="0"/>
          <c:showBubbleSize val="0"/>
        </c:dLbls>
        <c:axId val="140839552"/>
        <c:axId val="140841344"/>
      </c:scatterChart>
      <c:valAx>
        <c:axId val="140839552"/>
        <c:scaling>
          <c:orientation val="minMax"/>
        </c:scaling>
        <c:delete val="0"/>
        <c:axPos val="b"/>
        <c:numFmt formatCode="#,##0.0" sourceLinked="0"/>
        <c:majorTickMark val="out"/>
        <c:minorTickMark val="none"/>
        <c:tickLblPos val="nextTo"/>
        <c:txPr>
          <a:bodyPr/>
          <a:lstStyle/>
          <a:p>
            <a:pPr>
              <a:defRPr sz="900"/>
            </a:pPr>
            <a:endParaRPr lang="cs-CZ"/>
          </a:p>
        </c:txPr>
        <c:crossAx val="140841344"/>
        <c:crosses val="autoZero"/>
        <c:crossBetween val="midCat"/>
        <c:majorUnit val="5"/>
      </c:valAx>
      <c:valAx>
        <c:axId val="140841344"/>
        <c:scaling>
          <c:orientation val="minMax"/>
          <c:max val="300000"/>
        </c:scaling>
        <c:delete val="0"/>
        <c:axPos val="l"/>
        <c:numFmt formatCode="#,##0\ &quot;Kč&quot;" sourceLinked="0"/>
        <c:majorTickMark val="out"/>
        <c:minorTickMark val="none"/>
        <c:tickLblPos val="nextTo"/>
        <c:txPr>
          <a:bodyPr/>
          <a:lstStyle/>
          <a:p>
            <a:pPr>
              <a:defRPr sz="900"/>
            </a:pPr>
            <a:endParaRPr lang="cs-CZ"/>
          </a:p>
        </c:txPr>
        <c:crossAx val="140839552"/>
        <c:crosses val="autoZero"/>
        <c:crossBetween val="midCat"/>
        <c:majorUnit val="25000"/>
      </c:valAx>
      <c:spPr>
        <a:noFill/>
        <a:ln w="25400">
          <a:noFill/>
        </a:ln>
      </c:spPr>
    </c:plotArea>
    <c:plotVisOnly val="1"/>
    <c:dispBlanksAs val="gap"/>
    <c:showDLblsOverMax val="0"/>
  </c:chart>
  <c:printSettings>
    <c:headerFooter/>
    <c:pageMargins b="0.78740157499999996" l="0.7" r="0.7" t="0.78740157499999996" header="0.3" footer="0.3"/>
    <c:pageSetup orientation="landscape" horizontalDpi="-3"/>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97035262670787"/>
          <c:y val="9.9509887771311561E-2"/>
          <c:w val="0.81096432463699886"/>
          <c:h val="0.67679679833090189"/>
        </c:manualLayout>
      </c:layout>
      <c:scatterChart>
        <c:scatterStyle val="lineMarker"/>
        <c:varyColors val="0"/>
        <c:ser>
          <c:idx val="0"/>
          <c:order val="0"/>
          <c:tx>
            <c:strRef>
              <c:f>'1.linie - eff.frontier (ind.)'!$C$1</c:f>
              <c:strCache>
                <c:ptCount val="1"/>
                <c:pt idx="0">
                  <c:v>cena za příslušné období (vč. bonusů)</c:v>
                </c:pt>
              </c:strCache>
            </c:strRef>
          </c:tx>
          <c:spPr>
            <a:ln w="19050">
              <a:noFill/>
            </a:ln>
          </c:spPr>
          <c:dPt>
            <c:idx val="0"/>
            <c:marker>
              <c:symbol val="triangle"/>
              <c:size val="7"/>
              <c:spPr>
                <a:solidFill>
                  <a:srgbClr val="FFC000"/>
                </a:solidFill>
              </c:spPr>
            </c:marker>
            <c:bubble3D val="0"/>
            <c:extLst>
              <c:ext xmlns:c16="http://schemas.microsoft.com/office/drawing/2014/chart" uri="{C3380CC4-5D6E-409C-BE32-E72D297353CC}">
                <c16:uniqueId val="{00000000-791C-4B73-8AD0-1E5EC224894B}"/>
              </c:ext>
            </c:extLst>
          </c:dPt>
          <c:dPt>
            <c:idx val="1"/>
            <c:marker>
              <c:symbol val="triangle"/>
              <c:size val="7"/>
              <c:spPr>
                <a:solidFill>
                  <a:srgbClr val="FFC000"/>
                </a:solidFill>
              </c:spPr>
            </c:marker>
            <c:bubble3D val="0"/>
            <c:extLst>
              <c:ext xmlns:c16="http://schemas.microsoft.com/office/drawing/2014/chart" uri="{C3380CC4-5D6E-409C-BE32-E72D297353CC}">
                <c16:uniqueId val="{00000001-791C-4B73-8AD0-1E5EC224894B}"/>
              </c:ext>
            </c:extLst>
          </c:dPt>
          <c:dPt>
            <c:idx val="2"/>
            <c:marker>
              <c:symbol val="triangle"/>
              <c:size val="7"/>
              <c:spPr>
                <a:solidFill>
                  <a:srgbClr val="FFC000"/>
                </a:solidFill>
              </c:spPr>
            </c:marker>
            <c:bubble3D val="0"/>
            <c:extLst>
              <c:ext xmlns:c16="http://schemas.microsoft.com/office/drawing/2014/chart" uri="{C3380CC4-5D6E-409C-BE32-E72D297353CC}">
                <c16:uniqueId val="{00000002-791C-4B73-8AD0-1E5EC224894B}"/>
              </c:ext>
            </c:extLst>
          </c:dPt>
          <c:dPt>
            <c:idx val="3"/>
            <c:marker>
              <c:symbol val="triangle"/>
              <c:size val="7"/>
              <c:spPr>
                <a:solidFill>
                  <a:srgbClr val="FFC000"/>
                </a:solidFill>
              </c:spPr>
            </c:marker>
            <c:bubble3D val="0"/>
            <c:extLst>
              <c:ext xmlns:c16="http://schemas.microsoft.com/office/drawing/2014/chart" uri="{C3380CC4-5D6E-409C-BE32-E72D297353CC}">
                <c16:uniqueId val="{00000003-791C-4B73-8AD0-1E5EC224894B}"/>
              </c:ext>
            </c:extLst>
          </c:dPt>
          <c:dPt>
            <c:idx val="4"/>
            <c:marker>
              <c:symbol val="triangle"/>
              <c:size val="7"/>
              <c:spPr>
                <a:solidFill>
                  <a:srgbClr val="FFC000"/>
                </a:solidFill>
              </c:spPr>
            </c:marker>
            <c:bubble3D val="0"/>
            <c:extLst>
              <c:ext xmlns:c16="http://schemas.microsoft.com/office/drawing/2014/chart" uri="{C3380CC4-5D6E-409C-BE32-E72D297353CC}">
                <c16:uniqueId val="{00000004-791C-4B73-8AD0-1E5EC224894B}"/>
              </c:ext>
            </c:extLst>
          </c:dPt>
          <c:dPt>
            <c:idx val="5"/>
            <c:marker>
              <c:symbol val="triangle"/>
              <c:size val="7"/>
              <c:spPr>
                <a:solidFill>
                  <a:srgbClr val="FFC000"/>
                </a:solidFill>
              </c:spPr>
            </c:marker>
            <c:bubble3D val="0"/>
            <c:extLst>
              <c:ext xmlns:c16="http://schemas.microsoft.com/office/drawing/2014/chart" uri="{C3380CC4-5D6E-409C-BE32-E72D297353CC}">
                <c16:uniqueId val="{00000005-2139-4CE7-807F-BA57A8F1006D}"/>
              </c:ext>
            </c:extLst>
          </c:dPt>
          <c:xVal>
            <c:numRef>
              <c:f>'1.linie - eff.frontier (ind.)'!$B$2:$B$8</c:f>
              <c:numCache>
                <c:formatCode>0.0</c:formatCode>
                <c:ptCount val="7"/>
                <c:pt idx="0">
                  <c:v>70.102564102564102</c:v>
                </c:pt>
                <c:pt idx="1">
                  <c:v>30.813895781637711</c:v>
                </c:pt>
                <c:pt idx="2">
                  <c:v>22.977928692699493</c:v>
                </c:pt>
                <c:pt idx="3">
                  <c:v>36.211480362537763</c:v>
                </c:pt>
                <c:pt idx="4">
                  <c:v>41.842293906810035</c:v>
                </c:pt>
                <c:pt idx="5">
                  <c:v>36.769230769230774</c:v>
                </c:pt>
                <c:pt idx="6">
                  <c:v>6</c:v>
                </c:pt>
              </c:numCache>
            </c:numRef>
          </c:xVal>
          <c:yVal>
            <c:numRef>
              <c:f>'1.linie - eff.frontier (ind.)'!$C$2:$C$8</c:f>
              <c:numCache>
                <c:formatCode>_-* #\ ##0\ "Kč"_-;\-* #\ ##0\ "Kč"_-;_-* "-"??\ "Kč"_-;_-@_-</c:formatCode>
                <c:ptCount val="7"/>
                <c:pt idx="0">
                  <c:v>7007.05</c:v>
                </c:pt>
                <c:pt idx="1">
                  <c:v>40625.01</c:v>
                </c:pt>
                <c:pt idx="2">
                  <c:v>2690.3519999999999</c:v>
                </c:pt>
                <c:pt idx="3">
                  <c:v>512.4896</c:v>
                </c:pt>
                <c:pt idx="4">
                  <c:v>5367.3088000000007</c:v>
                </c:pt>
                <c:pt idx="5">
                  <c:v>24353.090800000002</c:v>
                </c:pt>
                <c:pt idx="6" formatCode="#\ ##0\ &quot;Kč&quot;">
                  <c:v>0</c:v>
                </c:pt>
              </c:numCache>
            </c:numRef>
          </c:yVal>
          <c:smooth val="0"/>
          <c:extLst>
            <c:ext xmlns:c16="http://schemas.microsoft.com/office/drawing/2014/chart" uri="{C3380CC4-5D6E-409C-BE32-E72D297353CC}">
              <c16:uniqueId val="{00000005-791C-4B73-8AD0-1E5EC224894B}"/>
            </c:ext>
          </c:extLst>
        </c:ser>
        <c:dLbls>
          <c:showLegendKey val="0"/>
          <c:showVal val="0"/>
          <c:showCatName val="0"/>
          <c:showSerName val="0"/>
          <c:showPercent val="0"/>
          <c:showBubbleSize val="0"/>
        </c:dLbls>
        <c:axId val="146581376"/>
        <c:axId val="146582912"/>
      </c:scatterChart>
      <c:valAx>
        <c:axId val="146581376"/>
        <c:scaling>
          <c:orientation val="minMax"/>
        </c:scaling>
        <c:delete val="0"/>
        <c:axPos val="b"/>
        <c:numFmt formatCode="0.0" sourceLinked="1"/>
        <c:majorTickMark val="out"/>
        <c:minorTickMark val="none"/>
        <c:tickLblPos val="nextTo"/>
        <c:crossAx val="146582912"/>
        <c:crosses val="autoZero"/>
        <c:crossBetween val="midCat"/>
      </c:valAx>
      <c:valAx>
        <c:axId val="146582912"/>
        <c:scaling>
          <c:orientation val="minMax"/>
          <c:max val="50000"/>
          <c:min val="0"/>
        </c:scaling>
        <c:delete val="0"/>
        <c:axPos val="l"/>
        <c:numFmt formatCode="_-* #\ ##0\ &quot;Kč&quot;_-;\-* #\ ##0\ &quot;Kč&quot;_-;_-* &quot;-&quot;??\ &quot;Kč&quot;_-;_-@_-" sourceLinked="1"/>
        <c:majorTickMark val="out"/>
        <c:minorTickMark val="none"/>
        <c:tickLblPos val="nextTo"/>
        <c:crossAx val="146581376"/>
        <c:crosses val="autoZero"/>
        <c:crossBetween val="midCat"/>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061444982551108"/>
          <c:y val="0.11176011609167742"/>
          <c:w val="0.56918028588539082"/>
          <c:h val="0.76126934389366685"/>
        </c:manualLayout>
      </c:layout>
      <c:scatterChart>
        <c:scatterStyle val="lineMarker"/>
        <c:varyColors val="0"/>
        <c:ser>
          <c:idx val="7"/>
          <c:order val="0"/>
          <c:tx>
            <c:strRef>
              <c:f>'ICER 1.lin.(po indukci)'!$A$17</c:f>
              <c:strCache>
                <c:ptCount val="1"/>
                <c:pt idx="0">
                  <c:v>EQUORAL 100mg cps 50 (ceny jsou pro 80kg pac., při 2,5mg /kg denně9 - tj. 2x 100mg denně) - ciclosporin </c:v>
                </c:pt>
              </c:strCache>
            </c:strRef>
          </c:tx>
          <c:dPt>
            <c:idx val="0"/>
            <c:marker>
              <c:symbol val="x"/>
              <c:size val="5"/>
            </c:marker>
            <c:bubble3D val="0"/>
            <c:extLst>
              <c:ext xmlns:c16="http://schemas.microsoft.com/office/drawing/2014/chart" uri="{C3380CC4-5D6E-409C-BE32-E72D297353CC}">
                <c16:uniqueId val="{00000015-6564-4552-BFD4-DAFE47380EC0}"/>
              </c:ext>
            </c:extLst>
          </c:dPt>
          <c:dPt>
            <c:idx val="1"/>
            <c:marker>
              <c:symbol val="none"/>
            </c:marker>
            <c:bubble3D val="0"/>
            <c:extLst>
              <c:ext xmlns:c16="http://schemas.microsoft.com/office/drawing/2014/chart" uri="{C3380CC4-5D6E-409C-BE32-E72D297353CC}">
                <c16:uniqueId val="{00000016-6564-4552-BFD4-DAFE47380EC0}"/>
              </c:ext>
            </c:extLst>
          </c:dPt>
          <c:dPt>
            <c:idx val="2"/>
            <c:marker>
              <c:symbol val="none"/>
            </c:marker>
            <c:bubble3D val="0"/>
            <c:extLst>
              <c:ext xmlns:c16="http://schemas.microsoft.com/office/drawing/2014/chart" uri="{C3380CC4-5D6E-409C-BE32-E72D297353CC}">
                <c16:uniqueId val="{00000017-6564-4552-BFD4-DAFE47380EC0}"/>
              </c:ext>
            </c:extLst>
          </c:dPt>
          <c:xVal>
            <c:numRef>
              <c:f>'ICER 1.lin.(po indukci)'!$E$17:$E$19</c:f>
              <c:numCache>
                <c:formatCode>#\ ##0\ "Kč"</c:formatCode>
                <c:ptCount val="3"/>
                <c:pt idx="0">
                  <c:v>14974.791552000002</c:v>
                </c:pt>
                <c:pt idx="1">
                  <c:v>22864.735488000002</c:v>
                </c:pt>
                <c:pt idx="2">
                  <c:v>10949.309952000001</c:v>
                </c:pt>
              </c:numCache>
            </c:numRef>
          </c:xVal>
          <c:yVal>
            <c:numRef>
              <c:f>'ICER 1.lin.(po indukci)'!$F$17:$F$19</c:f>
              <c:numCache>
                <c:formatCode>General</c:formatCode>
                <c:ptCount val="3"/>
                <c:pt idx="0">
                  <c:v>6</c:v>
                </c:pt>
                <c:pt idx="1">
                  <c:v>6</c:v>
                </c:pt>
                <c:pt idx="2">
                  <c:v>6</c:v>
                </c:pt>
              </c:numCache>
            </c:numRef>
          </c:yVal>
          <c:smooth val="0"/>
          <c:extLst>
            <c:ext xmlns:c16="http://schemas.microsoft.com/office/drawing/2014/chart" uri="{C3380CC4-5D6E-409C-BE32-E72D297353CC}">
              <c16:uniqueId val="{00000018-6564-4552-BFD4-DAFE47380EC0}"/>
            </c:ext>
          </c:extLst>
        </c:ser>
        <c:ser>
          <c:idx val="8"/>
          <c:order val="1"/>
          <c:tx>
            <c:strRef>
              <c:f>'ICER 1.lin.(po indukci)'!$A$14</c:f>
              <c:strCache>
                <c:ptCount val="1"/>
                <c:pt idx="0">
                  <c:v>METHOTREXAT EBEWE 2,5mg tbl 50 (při dávce 7x 2,5mg týdně9) - methotrexat</c:v>
                </c:pt>
              </c:strCache>
            </c:strRef>
          </c:tx>
          <c:dPt>
            <c:idx val="0"/>
            <c:marker>
              <c:symbol val="circle"/>
              <c:size val="5"/>
            </c:marker>
            <c:bubble3D val="0"/>
            <c:extLst>
              <c:ext xmlns:c16="http://schemas.microsoft.com/office/drawing/2014/chart" uri="{C3380CC4-5D6E-409C-BE32-E72D297353CC}">
                <c16:uniqueId val="{00000019-6564-4552-BFD4-DAFE47380EC0}"/>
              </c:ext>
            </c:extLst>
          </c:dPt>
          <c:dPt>
            <c:idx val="1"/>
            <c:marker>
              <c:symbol val="none"/>
            </c:marker>
            <c:bubble3D val="0"/>
            <c:extLst>
              <c:ext xmlns:c16="http://schemas.microsoft.com/office/drawing/2014/chart" uri="{C3380CC4-5D6E-409C-BE32-E72D297353CC}">
                <c16:uniqueId val="{0000001A-6564-4552-BFD4-DAFE47380EC0}"/>
              </c:ext>
            </c:extLst>
          </c:dPt>
          <c:dPt>
            <c:idx val="2"/>
            <c:marker>
              <c:symbol val="none"/>
            </c:marker>
            <c:bubble3D val="0"/>
            <c:extLst>
              <c:ext xmlns:c16="http://schemas.microsoft.com/office/drawing/2014/chart" uri="{C3380CC4-5D6E-409C-BE32-E72D297353CC}">
                <c16:uniqueId val="{0000001B-6564-4552-BFD4-DAFE47380EC0}"/>
              </c:ext>
            </c:extLst>
          </c:dPt>
          <c:xVal>
            <c:numRef>
              <c:f>'ICER 1.lin.(po indukci)'!$E$14:$E$16</c:f>
              <c:numCache>
                <c:formatCode>#\ ##0\ "Kč"</c:formatCode>
                <c:ptCount val="3"/>
                <c:pt idx="0">
                  <c:v>1696.3405760000001</c:v>
                </c:pt>
                <c:pt idx="1">
                  <c:v>2265.2040319999996</c:v>
                </c:pt>
                <c:pt idx="2">
                  <c:v>1332.4729600000001</c:v>
                </c:pt>
              </c:numCache>
            </c:numRef>
          </c:xVal>
          <c:yVal>
            <c:numRef>
              <c:f>'ICER 1.lin.(po indukci)'!$F$14:$F$16</c:f>
              <c:numCache>
                <c:formatCode>General</c:formatCode>
                <c:ptCount val="3"/>
                <c:pt idx="0">
                  <c:v>5</c:v>
                </c:pt>
                <c:pt idx="1">
                  <c:v>5</c:v>
                </c:pt>
                <c:pt idx="2">
                  <c:v>5</c:v>
                </c:pt>
              </c:numCache>
            </c:numRef>
          </c:yVal>
          <c:smooth val="0"/>
          <c:extLst>
            <c:ext xmlns:c16="http://schemas.microsoft.com/office/drawing/2014/chart" uri="{C3380CC4-5D6E-409C-BE32-E72D297353CC}">
              <c16:uniqueId val="{0000001C-6564-4552-BFD4-DAFE47380EC0}"/>
            </c:ext>
          </c:extLst>
        </c:ser>
        <c:ser>
          <c:idx val="9"/>
          <c:order val="2"/>
          <c:tx>
            <c:strRef>
              <c:f>'ICER 1.lin.(po indukci)'!$A$11</c:f>
              <c:strCache>
                <c:ptCount val="1"/>
                <c:pt idx="0">
                  <c:v>NEOTIGASON 10mg cps dur 30 (při dávce 30mg denně9) - acitretin </c:v>
                </c:pt>
              </c:strCache>
            </c:strRef>
          </c:tx>
          <c:dPt>
            <c:idx val="1"/>
            <c:marker>
              <c:symbol val="none"/>
            </c:marker>
            <c:bubble3D val="0"/>
            <c:extLst>
              <c:ext xmlns:c16="http://schemas.microsoft.com/office/drawing/2014/chart" uri="{C3380CC4-5D6E-409C-BE32-E72D297353CC}">
                <c16:uniqueId val="{0000001D-6564-4552-BFD4-DAFE47380EC0}"/>
              </c:ext>
            </c:extLst>
          </c:dPt>
          <c:dPt>
            <c:idx val="2"/>
            <c:marker>
              <c:symbol val="none"/>
            </c:marker>
            <c:bubble3D val="0"/>
            <c:extLst>
              <c:ext xmlns:c16="http://schemas.microsoft.com/office/drawing/2014/chart" uri="{C3380CC4-5D6E-409C-BE32-E72D297353CC}">
                <c16:uniqueId val="{0000001E-6564-4552-BFD4-DAFE47380EC0}"/>
              </c:ext>
            </c:extLst>
          </c:dPt>
          <c:xVal>
            <c:numRef>
              <c:f>'ICER 1.lin.(po indukci)'!$E$11:$E$13</c:f>
              <c:numCache>
                <c:formatCode>#\ ##0\ "Kč"</c:formatCode>
                <c:ptCount val="3"/>
                <c:pt idx="0">
                  <c:v>15846.173279999999</c:v>
                </c:pt>
                <c:pt idx="1">
                  <c:v>52999.934399999998</c:v>
                </c:pt>
                <c:pt idx="2">
                  <c:v>8097.9595199999994</c:v>
                </c:pt>
              </c:numCache>
            </c:numRef>
          </c:xVal>
          <c:yVal>
            <c:numRef>
              <c:f>'ICER 1.lin.(po indukci)'!$F$11:$F$13</c:f>
              <c:numCache>
                <c:formatCode>General</c:formatCode>
                <c:ptCount val="3"/>
                <c:pt idx="0">
                  <c:v>4</c:v>
                </c:pt>
                <c:pt idx="1">
                  <c:v>4</c:v>
                </c:pt>
                <c:pt idx="2">
                  <c:v>4</c:v>
                </c:pt>
              </c:numCache>
            </c:numRef>
          </c:yVal>
          <c:smooth val="0"/>
          <c:extLst>
            <c:ext xmlns:c16="http://schemas.microsoft.com/office/drawing/2014/chart" uri="{C3380CC4-5D6E-409C-BE32-E72D297353CC}">
              <c16:uniqueId val="{0000001F-6564-4552-BFD4-DAFE47380EC0}"/>
            </c:ext>
          </c:extLst>
        </c:ser>
        <c:ser>
          <c:idx val="10"/>
          <c:order val="3"/>
          <c:tx>
            <c:strRef>
              <c:f>'ICER 1.lin.(po indukci)'!$A$8</c:f>
              <c:strCache>
                <c:ptCount val="1"/>
                <c:pt idx="0">
                  <c:v>OTEZLA 30mg tbl. 56x30mg - apremilast</c:v>
                </c:pt>
              </c:strCache>
            </c:strRef>
          </c:tx>
          <c:dPt>
            <c:idx val="1"/>
            <c:marker>
              <c:symbol val="none"/>
            </c:marker>
            <c:bubble3D val="0"/>
            <c:extLst>
              <c:ext xmlns:c16="http://schemas.microsoft.com/office/drawing/2014/chart" uri="{C3380CC4-5D6E-409C-BE32-E72D297353CC}">
                <c16:uniqueId val="{00000020-6564-4552-BFD4-DAFE47380EC0}"/>
              </c:ext>
            </c:extLst>
          </c:dPt>
          <c:dPt>
            <c:idx val="2"/>
            <c:marker>
              <c:symbol val="none"/>
            </c:marker>
            <c:bubble3D val="0"/>
            <c:extLst>
              <c:ext xmlns:c16="http://schemas.microsoft.com/office/drawing/2014/chart" uri="{C3380CC4-5D6E-409C-BE32-E72D297353CC}">
                <c16:uniqueId val="{00000021-6564-4552-BFD4-DAFE47380EC0}"/>
              </c:ext>
            </c:extLst>
          </c:dPt>
          <c:xVal>
            <c:numRef>
              <c:f>'ICER 1.lin.(po indukci)'!$E$8:$E$10</c:f>
              <c:numCache>
                <c:formatCode>#\ ##0\ "Kč"</c:formatCode>
                <c:ptCount val="3"/>
                <c:pt idx="0">
                  <c:v>163718.79030000005</c:v>
                </c:pt>
                <c:pt idx="1">
                  <c:v>205156.30050000001</c:v>
                </c:pt>
                <c:pt idx="2">
                  <c:v>133656.28290000002</c:v>
                </c:pt>
              </c:numCache>
            </c:numRef>
          </c:xVal>
          <c:yVal>
            <c:numRef>
              <c:f>'ICER 1.lin.(po indukci)'!$F$8:$F$10</c:f>
              <c:numCache>
                <c:formatCode>General</c:formatCode>
                <c:ptCount val="3"/>
                <c:pt idx="0">
                  <c:v>3</c:v>
                </c:pt>
                <c:pt idx="1">
                  <c:v>3</c:v>
                </c:pt>
                <c:pt idx="2">
                  <c:v>3</c:v>
                </c:pt>
              </c:numCache>
            </c:numRef>
          </c:yVal>
          <c:smooth val="0"/>
          <c:extLst>
            <c:ext xmlns:c16="http://schemas.microsoft.com/office/drawing/2014/chart" uri="{C3380CC4-5D6E-409C-BE32-E72D297353CC}">
              <c16:uniqueId val="{00000022-6564-4552-BFD4-DAFE47380EC0}"/>
            </c:ext>
          </c:extLst>
        </c:ser>
        <c:ser>
          <c:idx val="11"/>
          <c:order val="4"/>
          <c:tx>
            <c:strRef>
              <c:f>'ICER 1.lin.(po indukci)'!$A$5</c:f>
              <c:strCache>
                <c:ptCount val="1"/>
                <c:pt idx="0">
                  <c:v>HYRIMOZ 40mg inj 2x0,8ml (při dávce 40mg co 2 týdny) - adalimumab (iTNF) </c:v>
                </c:pt>
              </c:strCache>
            </c:strRef>
          </c:tx>
          <c:dPt>
            <c:idx val="1"/>
            <c:marker>
              <c:symbol val="none"/>
            </c:marker>
            <c:bubble3D val="0"/>
            <c:extLst>
              <c:ext xmlns:c16="http://schemas.microsoft.com/office/drawing/2014/chart" uri="{C3380CC4-5D6E-409C-BE32-E72D297353CC}">
                <c16:uniqueId val="{00000023-6564-4552-BFD4-DAFE47380EC0}"/>
              </c:ext>
            </c:extLst>
          </c:dPt>
          <c:dPt>
            <c:idx val="2"/>
            <c:marker>
              <c:symbol val="none"/>
            </c:marker>
            <c:bubble3D val="0"/>
            <c:extLst>
              <c:ext xmlns:c16="http://schemas.microsoft.com/office/drawing/2014/chart" uri="{C3380CC4-5D6E-409C-BE32-E72D297353CC}">
                <c16:uniqueId val="{00000024-6564-4552-BFD4-DAFE47380EC0}"/>
              </c:ext>
            </c:extLst>
          </c:dPt>
          <c:xVal>
            <c:numRef>
              <c:f>'ICER 1.lin.(po indukci)'!$E$5:$E$7</c:f>
              <c:numCache>
                <c:formatCode>#\ ##0\ "Kč"</c:formatCode>
                <c:ptCount val="3"/>
                <c:pt idx="0">
                  <c:v>10930.998000000001</c:v>
                </c:pt>
                <c:pt idx="1">
                  <c:v>11701.773499999999</c:v>
                </c:pt>
                <c:pt idx="2">
                  <c:v>10300.363500000001</c:v>
                </c:pt>
              </c:numCache>
            </c:numRef>
          </c:xVal>
          <c:yVal>
            <c:numRef>
              <c:f>'ICER 1.lin.(po indukci)'!$F$5:$F$7</c:f>
              <c:numCache>
                <c:formatCode>General</c:formatCode>
                <c:ptCount val="3"/>
                <c:pt idx="0">
                  <c:v>2</c:v>
                </c:pt>
                <c:pt idx="1">
                  <c:v>2</c:v>
                </c:pt>
                <c:pt idx="2">
                  <c:v>2</c:v>
                </c:pt>
              </c:numCache>
            </c:numRef>
          </c:yVal>
          <c:smooth val="0"/>
          <c:extLst>
            <c:ext xmlns:c16="http://schemas.microsoft.com/office/drawing/2014/chart" uri="{C3380CC4-5D6E-409C-BE32-E72D297353CC}">
              <c16:uniqueId val="{00000025-6564-4552-BFD4-DAFE47380EC0}"/>
            </c:ext>
          </c:extLst>
        </c:ser>
        <c:ser>
          <c:idx val="0"/>
          <c:order val="5"/>
          <c:tx>
            <c:strRef>
              <c:f>'ICER 1.lin.(po indukci)'!$A$20</c:f>
              <c:strCache>
                <c:ptCount val="1"/>
                <c:pt idx="0">
                  <c:v>SKILARENCE  120mg tbl ent 90   (při postupné titraci do dávky 600mg/den v 8.-16. týdnu dle30) - dimethylfumarát</c:v>
                </c:pt>
              </c:strCache>
            </c:strRef>
          </c:tx>
          <c:dPt>
            <c:idx val="1"/>
            <c:marker>
              <c:symbol val="none"/>
            </c:marker>
            <c:bubble3D val="0"/>
            <c:extLst>
              <c:ext xmlns:c16="http://schemas.microsoft.com/office/drawing/2014/chart" uri="{C3380CC4-5D6E-409C-BE32-E72D297353CC}">
                <c16:uniqueId val="{0000000C-1224-4DC6-B10E-C0D4A507F22C}"/>
              </c:ext>
            </c:extLst>
          </c:dPt>
          <c:dPt>
            <c:idx val="2"/>
            <c:marker>
              <c:symbol val="none"/>
            </c:marker>
            <c:bubble3D val="0"/>
            <c:extLst>
              <c:ext xmlns:c16="http://schemas.microsoft.com/office/drawing/2014/chart" uri="{C3380CC4-5D6E-409C-BE32-E72D297353CC}">
                <c16:uniqueId val="{0000000D-1224-4DC6-B10E-C0D4A507F22C}"/>
              </c:ext>
            </c:extLst>
          </c:dPt>
          <c:xVal>
            <c:numRef>
              <c:f>'ICER 1.lin.(po indukci)'!$E$20:$E$22</c:f>
              <c:numCache>
                <c:formatCode>#\ ##0\ "Kč"</c:formatCode>
                <c:ptCount val="3"/>
                <c:pt idx="0">
                  <c:v>79147.545100000003</c:v>
                </c:pt>
                <c:pt idx="1">
                  <c:v>127610.19579200001</c:v>
                </c:pt>
                <c:pt idx="2">
                  <c:v>55525.047024</c:v>
                </c:pt>
              </c:numCache>
            </c:numRef>
          </c:xVal>
          <c:yVal>
            <c:numRef>
              <c:f>'ICER 1.lin.(po indukci)'!$F$20:$F$22</c:f>
              <c:numCache>
                <c:formatCode>General</c:formatCode>
                <c:ptCount val="3"/>
                <c:pt idx="0">
                  <c:v>1</c:v>
                </c:pt>
                <c:pt idx="1">
                  <c:v>1</c:v>
                </c:pt>
                <c:pt idx="2">
                  <c:v>1</c:v>
                </c:pt>
              </c:numCache>
            </c:numRef>
          </c:yVal>
          <c:smooth val="0"/>
          <c:extLst>
            <c:ext xmlns:c16="http://schemas.microsoft.com/office/drawing/2014/chart" uri="{C3380CC4-5D6E-409C-BE32-E72D297353CC}">
              <c16:uniqueId val="{0000000E-1224-4DC6-B10E-C0D4A507F22C}"/>
            </c:ext>
          </c:extLst>
        </c:ser>
        <c:dLbls>
          <c:showLegendKey val="0"/>
          <c:showVal val="0"/>
          <c:showCatName val="0"/>
          <c:showSerName val="0"/>
          <c:showPercent val="0"/>
          <c:showBubbleSize val="0"/>
        </c:dLbls>
        <c:axId val="146704640"/>
        <c:axId val="146714624"/>
      </c:scatterChart>
      <c:valAx>
        <c:axId val="146704640"/>
        <c:scaling>
          <c:logBase val="2"/>
          <c:orientation val="minMax"/>
          <c:max val="256000"/>
          <c:min val="1000"/>
        </c:scaling>
        <c:delete val="0"/>
        <c:axPos val="b"/>
        <c:numFmt formatCode="#\ ##0\ &quot;Kč&quot;" sourceLinked="1"/>
        <c:majorTickMark val="out"/>
        <c:minorTickMark val="none"/>
        <c:tickLblPos val="nextTo"/>
        <c:crossAx val="146714624"/>
        <c:crosses val="autoZero"/>
        <c:crossBetween val="midCat"/>
      </c:valAx>
      <c:valAx>
        <c:axId val="146714624"/>
        <c:scaling>
          <c:orientation val="minMax"/>
        </c:scaling>
        <c:delete val="0"/>
        <c:axPos val="l"/>
        <c:majorGridlines>
          <c:spPr>
            <a:ln>
              <a:noFill/>
            </a:ln>
          </c:spPr>
        </c:majorGridlines>
        <c:numFmt formatCode="General" sourceLinked="1"/>
        <c:majorTickMark val="none"/>
        <c:minorTickMark val="none"/>
        <c:tickLblPos val="none"/>
        <c:crossAx val="146704640"/>
        <c:crossesAt val="10736"/>
        <c:crossBetween val="midCat"/>
      </c:valAx>
      <c:spPr>
        <a:noFill/>
        <a:ln>
          <a:noFill/>
        </a:ln>
      </c:spPr>
    </c:plotArea>
    <c:legend>
      <c:legendPos val="r"/>
      <c:layout>
        <c:manualLayout>
          <c:xMode val="edge"/>
          <c:yMode val="edge"/>
          <c:x val="1.0022414313281275E-2"/>
          <c:y val="0.17147074644571639"/>
          <c:w val="0.23292126115131051"/>
          <c:h val="0.65752343814545777"/>
        </c:manualLayout>
      </c:layout>
      <c:overlay val="0"/>
      <c:txPr>
        <a:bodyPr/>
        <a:lstStyle/>
        <a:p>
          <a:pPr>
            <a:defRPr sz="900"/>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8127256710886"/>
          <c:y val="9.9509958887713676E-2"/>
          <c:w val="0.81096432463699886"/>
          <c:h val="0.67679679833090189"/>
        </c:manualLayout>
      </c:layout>
      <c:scatterChart>
        <c:scatterStyle val="lineMarker"/>
        <c:varyColors val="0"/>
        <c:ser>
          <c:idx val="0"/>
          <c:order val="0"/>
          <c:tx>
            <c:strRef>
              <c:f>'1.linie - eff.frontier (udr.)'!$C$1</c:f>
              <c:strCache>
                <c:ptCount val="1"/>
                <c:pt idx="0">
                  <c:v>cena za příslušné období (vč. bonusů)</c:v>
                </c:pt>
              </c:strCache>
            </c:strRef>
          </c:tx>
          <c:spPr>
            <a:ln w="19050">
              <a:noFill/>
            </a:ln>
          </c:spPr>
          <c:dPt>
            <c:idx val="0"/>
            <c:marker>
              <c:symbol val="triangle"/>
              <c:size val="7"/>
              <c:spPr>
                <a:solidFill>
                  <a:srgbClr val="FFC000"/>
                </a:solidFill>
              </c:spPr>
            </c:marker>
            <c:bubble3D val="0"/>
            <c:extLst>
              <c:ext xmlns:c16="http://schemas.microsoft.com/office/drawing/2014/chart" uri="{C3380CC4-5D6E-409C-BE32-E72D297353CC}">
                <c16:uniqueId val="{00000000-791C-4B73-8AD0-1E5EC224894B}"/>
              </c:ext>
            </c:extLst>
          </c:dPt>
          <c:dPt>
            <c:idx val="1"/>
            <c:marker>
              <c:symbol val="triangle"/>
              <c:size val="7"/>
              <c:spPr>
                <a:solidFill>
                  <a:srgbClr val="FFC000"/>
                </a:solidFill>
              </c:spPr>
            </c:marker>
            <c:bubble3D val="0"/>
            <c:extLst>
              <c:ext xmlns:c16="http://schemas.microsoft.com/office/drawing/2014/chart" uri="{C3380CC4-5D6E-409C-BE32-E72D297353CC}">
                <c16:uniqueId val="{00000001-791C-4B73-8AD0-1E5EC224894B}"/>
              </c:ext>
            </c:extLst>
          </c:dPt>
          <c:dPt>
            <c:idx val="2"/>
            <c:marker>
              <c:symbol val="triangle"/>
              <c:size val="7"/>
              <c:spPr>
                <a:solidFill>
                  <a:srgbClr val="FFC000"/>
                </a:solidFill>
              </c:spPr>
            </c:marker>
            <c:bubble3D val="0"/>
            <c:extLst>
              <c:ext xmlns:c16="http://schemas.microsoft.com/office/drawing/2014/chart" uri="{C3380CC4-5D6E-409C-BE32-E72D297353CC}">
                <c16:uniqueId val="{00000002-791C-4B73-8AD0-1E5EC224894B}"/>
              </c:ext>
            </c:extLst>
          </c:dPt>
          <c:dPt>
            <c:idx val="3"/>
            <c:marker>
              <c:symbol val="triangle"/>
              <c:size val="7"/>
              <c:spPr>
                <a:solidFill>
                  <a:srgbClr val="FFC000"/>
                </a:solidFill>
              </c:spPr>
            </c:marker>
            <c:bubble3D val="0"/>
            <c:extLst>
              <c:ext xmlns:c16="http://schemas.microsoft.com/office/drawing/2014/chart" uri="{C3380CC4-5D6E-409C-BE32-E72D297353CC}">
                <c16:uniqueId val="{00000003-791C-4B73-8AD0-1E5EC224894B}"/>
              </c:ext>
            </c:extLst>
          </c:dPt>
          <c:dPt>
            <c:idx val="4"/>
            <c:marker>
              <c:symbol val="triangle"/>
              <c:size val="7"/>
              <c:spPr>
                <a:solidFill>
                  <a:srgbClr val="FFC000"/>
                </a:solidFill>
              </c:spPr>
            </c:marker>
            <c:bubble3D val="0"/>
            <c:extLst>
              <c:ext xmlns:c16="http://schemas.microsoft.com/office/drawing/2014/chart" uri="{C3380CC4-5D6E-409C-BE32-E72D297353CC}">
                <c16:uniqueId val="{00000004-791C-4B73-8AD0-1E5EC224894B}"/>
              </c:ext>
            </c:extLst>
          </c:dPt>
          <c:dPt>
            <c:idx val="5"/>
            <c:marker>
              <c:symbol val="triangle"/>
              <c:size val="7"/>
              <c:spPr>
                <a:solidFill>
                  <a:srgbClr val="FFC000"/>
                </a:solidFill>
              </c:spPr>
            </c:marker>
            <c:bubble3D val="0"/>
            <c:extLst>
              <c:ext xmlns:c16="http://schemas.microsoft.com/office/drawing/2014/chart" uri="{C3380CC4-5D6E-409C-BE32-E72D297353CC}">
                <c16:uniqueId val="{00000005-742D-4D01-8A8C-5D994F63D9DA}"/>
              </c:ext>
            </c:extLst>
          </c:dPt>
          <c:xVal>
            <c:numRef>
              <c:f>'1.linie - eff.frontier (udr.)'!$B$2:$B$16</c:f>
              <c:numCache>
                <c:formatCode>0.0</c:formatCode>
                <c:ptCount val="15"/>
                <c:pt idx="2">
                  <c:v>57</c:v>
                </c:pt>
                <c:pt idx="3">
                  <c:v>75</c:v>
                </c:pt>
                <c:pt idx="4">
                  <c:v>31</c:v>
                </c:pt>
                <c:pt idx="5">
                  <c:v>53.4</c:v>
                </c:pt>
                <c:pt idx="6">
                  <c:v>29.4</c:v>
                </c:pt>
                <c:pt idx="7">
                  <c:v>47.6</c:v>
                </c:pt>
                <c:pt idx="8">
                  <c:v>41</c:v>
                </c:pt>
                <c:pt idx="9">
                  <c:v>63</c:v>
                </c:pt>
                <c:pt idx="10">
                  <c:v>16</c:v>
                </c:pt>
                <c:pt idx="11">
                  <c:v>32.4</c:v>
                </c:pt>
                <c:pt idx="12">
                  <c:v>46</c:v>
                </c:pt>
                <c:pt idx="13">
                  <c:v>28.1</c:v>
                </c:pt>
                <c:pt idx="14">
                  <c:v>6.4</c:v>
                </c:pt>
              </c:numCache>
            </c:numRef>
          </c:xVal>
          <c:yVal>
            <c:numRef>
              <c:f>'1.linie - eff.frontier (udr.)'!$C$2:$C$16</c:f>
              <c:numCache>
                <c:formatCode>_-* #\ ##0\ "Kč"_-;\-* #\ ##0\ "Kč"_-;_-* "-"??\ "Kč"_-;_-@_-</c:formatCode>
                <c:ptCount val="15"/>
                <c:pt idx="2">
                  <c:v>18218.330000000002</c:v>
                </c:pt>
                <c:pt idx="3">
                  <c:v>18218.330000000002</c:v>
                </c:pt>
                <c:pt idx="4">
                  <c:v>128018.3744</c:v>
                </c:pt>
                <c:pt idx="5">
                  <c:v>128018.3744</c:v>
                </c:pt>
                <c:pt idx="6" formatCode="#\ ##0\ &quot;Kč&quot;">
                  <c:v>8767.6650000000009</c:v>
                </c:pt>
                <c:pt idx="7">
                  <c:v>8767.6650000000009</c:v>
                </c:pt>
                <c:pt idx="8">
                  <c:v>1276.1632</c:v>
                </c:pt>
                <c:pt idx="9">
                  <c:v>1276.1632</c:v>
                </c:pt>
                <c:pt idx="10">
                  <c:v>17491.675999999999</c:v>
                </c:pt>
                <c:pt idx="11">
                  <c:v>17491.675999999999</c:v>
                </c:pt>
                <c:pt idx="12">
                  <c:v>22498.936599999997</c:v>
                </c:pt>
                <c:pt idx="13">
                  <c:v>89884.914199999985</c:v>
                </c:pt>
                <c:pt idx="14" formatCode="#\ ##0\ &quot;Kč&quot;">
                  <c:v>0</c:v>
                </c:pt>
              </c:numCache>
            </c:numRef>
          </c:yVal>
          <c:smooth val="0"/>
          <c:extLst>
            <c:ext xmlns:c16="http://schemas.microsoft.com/office/drawing/2014/chart" uri="{C3380CC4-5D6E-409C-BE32-E72D297353CC}">
              <c16:uniqueId val="{00000005-791C-4B73-8AD0-1E5EC224894B}"/>
            </c:ext>
          </c:extLst>
        </c:ser>
        <c:dLbls>
          <c:showLegendKey val="0"/>
          <c:showVal val="0"/>
          <c:showCatName val="0"/>
          <c:showSerName val="0"/>
          <c:showPercent val="0"/>
          <c:showBubbleSize val="0"/>
        </c:dLbls>
        <c:axId val="126028800"/>
        <c:axId val="126042880"/>
      </c:scatterChart>
      <c:valAx>
        <c:axId val="126028800"/>
        <c:scaling>
          <c:orientation val="minMax"/>
        </c:scaling>
        <c:delete val="0"/>
        <c:axPos val="b"/>
        <c:numFmt formatCode="0.0" sourceLinked="1"/>
        <c:majorTickMark val="out"/>
        <c:minorTickMark val="none"/>
        <c:tickLblPos val="nextTo"/>
        <c:crossAx val="126042880"/>
        <c:crosses val="autoZero"/>
        <c:crossBetween val="midCat"/>
      </c:valAx>
      <c:valAx>
        <c:axId val="126042880"/>
        <c:scaling>
          <c:orientation val="minMax"/>
          <c:max val="150000"/>
          <c:min val="0"/>
        </c:scaling>
        <c:delete val="0"/>
        <c:axPos val="l"/>
        <c:numFmt formatCode="_-* #\ ##0\ &quot;Kč&quot;_-;\-* #\ ##0\ &quot;Kč&quot;_-;_-* &quot;-&quot;??\ &quot;Kč&quot;_-;_-@_-" sourceLinked="1"/>
        <c:majorTickMark val="out"/>
        <c:minorTickMark val="none"/>
        <c:tickLblPos val="nextTo"/>
        <c:crossAx val="126028800"/>
        <c:crosses val="autoZero"/>
        <c:crossBetween val="midCat"/>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061444982551108"/>
          <c:y val="0.11176011609167742"/>
          <c:w val="0.56918028588539082"/>
          <c:h val="0.76126934389366685"/>
        </c:manualLayout>
      </c:layout>
      <c:scatterChart>
        <c:scatterStyle val="lineMarker"/>
        <c:varyColors val="0"/>
        <c:ser>
          <c:idx val="7"/>
          <c:order val="0"/>
          <c:tx>
            <c:strRef>
              <c:f>'ICER 1.lin.(udrž.terap.)'!$A$17</c:f>
              <c:strCache>
                <c:ptCount val="1"/>
                <c:pt idx="0">
                  <c:v>EQUORAL 100mg cps 50 (ceny jsou pro 80kg pac., při 2,5mg /kg denně9 - tj. 2x 100mg denně) - ciclosporin </c:v>
                </c:pt>
              </c:strCache>
            </c:strRef>
          </c:tx>
          <c:dPt>
            <c:idx val="0"/>
            <c:marker>
              <c:symbol val="x"/>
              <c:size val="5"/>
            </c:marker>
            <c:bubble3D val="0"/>
            <c:extLst>
              <c:ext xmlns:c16="http://schemas.microsoft.com/office/drawing/2014/chart" uri="{C3380CC4-5D6E-409C-BE32-E72D297353CC}">
                <c16:uniqueId val="{00000015-6564-4552-BFD4-DAFE47380EC0}"/>
              </c:ext>
            </c:extLst>
          </c:dPt>
          <c:dPt>
            <c:idx val="1"/>
            <c:marker>
              <c:symbol val="none"/>
            </c:marker>
            <c:bubble3D val="0"/>
            <c:extLst>
              <c:ext xmlns:c16="http://schemas.microsoft.com/office/drawing/2014/chart" uri="{C3380CC4-5D6E-409C-BE32-E72D297353CC}">
                <c16:uniqueId val="{00000016-6564-4552-BFD4-DAFE47380EC0}"/>
              </c:ext>
            </c:extLst>
          </c:dPt>
          <c:dPt>
            <c:idx val="2"/>
            <c:marker>
              <c:symbol val="none"/>
            </c:marker>
            <c:bubble3D val="0"/>
            <c:extLst>
              <c:ext xmlns:c16="http://schemas.microsoft.com/office/drawing/2014/chart" uri="{C3380CC4-5D6E-409C-BE32-E72D297353CC}">
                <c16:uniqueId val="{00000017-6564-4552-BFD4-DAFE47380EC0}"/>
              </c:ext>
            </c:extLst>
          </c:dPt>
          <c:xVal>
            <c:numRef>
              <c:f>'ICER 1.lin.(udrž.terap.)'!$D$17:$D$19</c:f>
              <c:numCache>
                <c:formatCode>#\ ##0\ "Kč"</c:formatCode>
                <c:ptCount val="3"/>
                <c:pt idx="0">
                  <c:v>0</c:v>
                </c:pt>
                <c:pt idx="1">
                  <c:v>0</c:v>
                </c:pt>
                <c:pt idx="2">
                  <c:v>0</c:v>
                </c:pt>
              </c:numCache>
            </c:numRef>
          </c:xVal>
          <c:yVal>
            <c:numRef>
              <c:f>'ICER 1.lin.(udrž.terap.)'!$E$17:$E$19</c:f>
              <c:numCache>
                <c:formatCode>General</c:formatCode>
                <c:ptCount val="3"/>
                <c:pt idx="0">
                  <c:v>5</c:v>
                </c:pt>
                <c:pt idx="1">
                  <c:v>5</c:v>
                </c:pt>
                <c:pt idx="2">
                  <c:v>5</c:v>
                </c:pt>
              </c:numCache>
            </c:numRef>
          </c:yVal>
          <c:smooth val="0"/>
          <c:extLst>
            <c:ext xmlns:c16="http://schemas.microsoft.com/office/drawing/2014/chart" uri="{C3380CC4-5D6E-409C-BE32-E72D297353CC}">
              <c16:uniqueId val="{00000018-6564-4552-BFD4-DAFE47380EC0}"/>
            </c:ext>
          </c:extLst>
        </c:ser>
        <c:ser>
          <c:idx val="8"/>
          <c:order val="1"/>
          <c:tx>
            <c:strRef>
              <c:f>'ICER 1.lin.(udrž.terap.)'!$A$14</c:f>
              <c:strCache>
                <c:ptCount val="1"/>
                <c:pt idx="0">
                  <c:v>METHOTREXAT EBEWE 10mg tbl 50 (při dávce 2x 10mg týdně9) - methotrexat</c:v>
                </c:pt>
              </c:strCache>
            </c:strRef>
          </c:tx>
          <c:dPt>
            <c:idx val="0"/>
            <c:marker>
              <c:symbol val="circle"/>
              <c:size val="5"/>
            </c:marker>
            <c:bubble3D val="0"/>
            <c:extLst>
              <c:ext xmlns:c16="http://schemas.microsoft.com/office/drawing/2014/chart" uri="{C3380CC4-5D6E-409C-BE32-E72D297353CC}">
                <c16:uniqueId val="{00000019-6564-4552-BFD4-DAFE47380EC0}"/>
              </c:ext>
            </c:extLst>
          </c:dPt>
          <c:dPt>
            <c:idx val="1"/>
            <c:marker>
              <c:symbol val="none"/>
            </c:marker>
            <c:bubble3D val="0"/>
            <c:extLst>
              <c:ext xmlns:c16="http://schemas.microsoft.com/office/drawing/2014/chart" uri="{C3380CC4-5D6E-409C-BE32-E72D297353CC}">
                <c16:uniqueId val="{0000001A-6564-4552-BFD4-DAFE47380EC0}"/>
              </c:ext>
            </c:extLst>
          </c:dPt>
          <c:dPt>
            <c:idx val="2"/>
            <c:marker>
              <c:symbol val="none"/>
            </c:marker>
            <c:bubble3D val="0"/>
            <c:extLst>
              <c:ext xmlns:c16="http://schemas.microsoft.com/office/drawing/2014/chart" uri="{C3380CC4-5D6E-409C-BE32-E72D297353CC}">
                <c16:uniqueId val="{0000001B-6564-4552-BFD4-DAFE47380EC0}"/>
              </c:ext>
            </c:extLst>
          </c:dPt>
          <c:xVal>
            <c:numRef>
              <c:f>'ICER 1.lin.(udrž.terap.)'!$D$14:$D$16</c:f>
              <c:numCache>
                <c:formatCode>#\ ##0\ "Kč"</c:formatCode>
                <c:ptCount val="3"/>
                <c:pt idx="0">
                  <c:v>0</c:v>
                </c:pt>
                <c:pt idx="1">
                  <c:v>0</c:v>
                </c:pt>
                <c:pt idx="2">
                  <c:v>0</c:v>
                </c:pt>
              </c:numCache>
            </c:numRef>
          </c:xVal>
          <c:yVal>
            <c:numRef>
              <c:f>'ICER 1.lin.(udrž.terap.)'!$E$14:$E$16</c:f>
              <c:numCache>
                <c:formatCode>General</c:formatCode>
                <c:ptCount val="3"/>
                <c:pt idx="0">
                  <c:v>4</c:v>
                </c:pt>
                <c:pt idx="1">
                  <c:v>4</c:v>
                </c:pt>
                <c:pt idx="2">
                  <c:v>4</c:v>
                </c:pt>
              </c:numCache>
            </c:numRef>
          </c:yVal>
          <c:smooth val="0"/>
          <c:extLst>
            <c:ext xmlns:c16="http://schemas.microsoft.com/office/drawing/2014/chart" uri="{C3380CC4-5D6E-409C-BE32-E72D297353CC}">
              <c16:uniqueId val="{0000001C-6564-4552-BFD4-DAFE47380EC0}"/>
            </c:ext>
          </c:extLst>
        </c:ser>
        <c:ser>
          <c:idx val="9"/>
          <c:order val="2"/>
          <c:tx>
            <c:strRef>
              <c:f>'ICER 1.lin.(udrž.terap.)'!$A$11</c:f>
              <c:strCache>
                <c:ptCount val="1"/>
                <c:pt idx="0">
                  <c:v>NEOTIGASON 10mg cps dur 30 (při dávce 30mg denně9) - acitretin </c:v>
                </c:pt>
              </c:strCache>
            </c:strRef>
          </c:tx>
          <c:dPt>
            <c:idx val="1"/>
            <c:marker>
              <c:symbol val="none"/>
            </c:marker>
            <c:bubble3D val="0"/>
            <c:extLst>
              <c:ext xmlns:c16="http://schemas.microsoft.com/office/drawing/2014/chart" uri="{C3380CC4-5D6E-409C-BE32-E72D297353CC}">
                <c16:uniqueId val="{0000001D-6564-4552-BFD4-DAFE47380EC0}"/>
              </c:ext>
            </c:extLst>
          </c:dPt>
          <c:dPt>
            <c:idx val="2"/>
            <c:marker>
              <c:symbol val="none"/>
            </c:marker>
            <c:bubble3D val="0"/>
            <c:extLst>
              <c:ext xmlns:c16="http://schemas.microsoft.com/office/drawing/2014/chart" uri="{C3380CC4-5D6E-409C-BE32-E72D297353CC}">
                <c16:uniqueId val="{0000001E-6564-4552-BFD4-DAFE47380EC0}"/>
              </c:ext>
            </c:extLst>
          </c:dPt>
          <c:xVal>
            <c:numRef>
              <c:f>'ICER 1.lin.(udrž.terap.)'!$D$11:$D$13</c:f>
              <c:numCache>
                <c:formatCode>#\ ##0\ "Kč"</c:formatCode>
                <c:ptCount val="3"/>
                <c:pt idx="0">
                  <c:v>0</c:v>
                </c:pt>
                <c:pt idx="1">
                  <c:v>0</c:v>
                </c:pt>
                <c:pt idx="2">
                  <c:v>0</c:v>
                </c:pt>
              </c:numCache>
            </c:numRef>
          </c:xVal>
          <c:yVal>
            <c:numRef>
              <c:f>'ICER 1.lin.(udrž.terap.)'!$E$11:$E$13</c:f>
              <c:numCache>
                <c:formatCode>General</c:formatCode>
                <c:ptCount val="3"/>
                <c:pt idx="0">
                  <c:v>3</c:v>
                </c:pt>
                <c:pt idx="1">
                  <c:v>3</c:v>
                </c:pt>
                <c:pt idx="2">
                  <c:v>3</c:v>
                </c:pt>
              </c:numCache>
            </c:numRef>
          </c:yVal>
          <c:smooth val="0"/>
          <c:extLst>
            <c:ext xmlns:c16="http://schemas.microsoft.com/office/drawing/2014/chart" uri="{C3380CC4-5D6E-409C-BE32-E72D297353CC}">
              <c16:uniqueId val="{0000001F-6564-4552-BFD4-DAFE47380EC0}"/>
            </c:ext>
          </c:extLst>
        </c:ser>
        <c:ser>
          <c:idx val="10"/>
          <c:order val="3"/>
          <c:tx>
            <c:strRef>
              <c:f>'ICER 1.lin.(udrž.terap.)'!$A$8</c:f>
              <c:strCache>
                <c:ptCount val="1"/>
                <c:pt idx="0">
                  <c:v>OTEZLA 30mg tbl. 56x30mg - apremilast</c:v>
                </c:pt>
              </c:strCache>
            </c:strRef>
          </c:tx>
          <c:dPt>
            <c:idx val="1"/>
            <c:marker>
              <c:symbol val="none"/>
            </c:marker>
            <c:bubble3D val="0"/>
            <c:extLst>
              <c:ext xmlns:c16="http://schemas.microsoft.com/office/drawing/2014/chart" uri="{C3380CC4-5D6E-409C-BE32-E72D297353CC}">
                <c16:uniqueId val="{00000020-6564-4552-BFD4-DAFE47380EC0}"/>
              </c:ext>
            </c:extLst>
          </c:dPt>
          <c:dPt>
            <c:idx val="2"/>
            <c:marker>
              <c:symbol val="none"/>
            </c:marker>
            <c:bubble3D val="0"/>
            <c:extLst>
              <c:ext xmlns:c16="http://schemas.microsoft.com/office/drawing/2014/chart" uri="{C3380CC4-5D6E-409C-BE32-E72D297353CC}">
                <c16:uniqueId val="{00000021-6564-4552-BFD4-DAFE47380EC0}"/>
              </c:ext>
            </c:extLst>
          </c:dPt>
          <c:xVal>
            <c:numRef>
              <c:f>'ICER 1.lin.(udrž.terap.)'!$D$8:$D$10</c:f>
              <c:numCache>
                <c:formatCode>#\ ##0\ "Kč"</c:formatCode>
                <c:ptCount val="3"/>
                <c:pt idx="0">
                  <c:v>0</c:v>
                </c:pt>
                <c:pt idx="1">
                  <c:v>0</c:v>
                </c:pt>
                <c:pt idx="2">
                  <c:v>0</c:v>
                </c:pt>
              </c:numCache>
            </c:numRef>
          </c:xVal>
          <c:yVal>
            <c:numRef>
              <c:f>'ICER 1.lin.(udrž.terap.)'!$E$8:$E$10</c:f>
              <c:numCache>
                <c:formatCode>General</c:formatCode>
                <c:ptCount val="3"/>
                <c:pt idx="0">
                  <c:v>2</c:v>
                </c:pt>
                <c:pt idx="1">
                  <c:v>2</c:v>
                </c:pt>
                <c:pt idx="2">
                  <c:v>2</c:v>
                </c:pt>
              </c:numCache>
            </c:numRef>
          </c:yVal>
          <c:smooth val="0"/>
          <c:extLst>
            <c:ext xmlns:c16="http://schemas.microsoft.com/office/drawing/2014/chart" uri="{C3380CC4-5D6E-409C-BE32-E72D297353CC}">
              <c16:uniqueId val="{00000022-6564-4552-BFD4-DAFE47380EC0}"/>
            </c:ext>
          </c:extLst>
        </c:ser>
        <c:ser>
          <c:idx val="11"/>
          <c:order val="4"/>
          <c:tx>
            <c:strRef>
              <c:f>'ICER 1.lin.(udrž.terap.)'!$A$5</c:f>
              <c:strCache>
                <c:ptCount val="1"/>
                <c:pt idx="0">
                  <c:v>HYRIMOZ 40mg inj 2x0,8ml (při dávce 40mg co 2 týdny) - adalimumab (iTNF) </c:v>
                </c:pt>
              </c:strCache>
            </c:strRef>
          </c:tx>
          <c:dPt>
            <c:idx val="1"/>
            <c:marker>
              <c:symbol val="none"/>
            </c:marker>
            <c:bubble3D val="0"/>
            <c:extLst>
              <c:ext xmlns:c16="http://schemas.microsoft.com/office/drawing/2014/chart" uri="{C3380CC4-5D6E-409C-BE32-E72D297353CC}">
                <c16:uniqueId val="{00000023-6564-4552-BFD4-DAFE47380EC0}"/>
              </c:ext>
            </c:extLst>
          </c:dPt>
          <c:dPt>
            <c:idx val="2"/>
            <c:marker>
              <c:symbol val="none"/>
            </c:marker>
            <c:bubble3D val="0"/>
            <c:extLst>
              <c:ext xmlns:c16="http://schemas.microsoft.com/office/drawing/2014/chart" uri="{C3380CC4-5D6E-409C-BE32-E72D297353CC}">
                <c16:uniqueId val="{00000024-6564-4552-BFD4-DAFE47380EC0}"/>
              </c:ext>
            </c:extLst>
          </c:dPt>
          <c:xVal>
            <c:numRef>
              <c:f>'ICER 1.lin.(udrž.terap.)'!$D$5:$D$7</c:f>
              <c:numCache>
                <c:formatCode>#\ ##0\ "Kč"</c:formatCode>
                <c:ptCount val="3"/>
                <c:pt idx="0">
                  <c:v>0</c:v>
                </c:pt>
                <c:pt idx="1">
                  <c:v>0</c:v>
                </c:pt>
                <c:pt idx="2">
                  <c:v>0</c:v>
                </c:pt>
              </c:numCache>
            </c:numRef>
          </c:xVal>
          <c:yVal>
            <c:numRef>
              <c:f>'ICER 1.lin.(udrž.terap.)'!$E$5:$E$7</c:f>
              <c:numCache>
                <c:formatCode>General</c:formatCode>
                <c:ptCount val="3"/>
                <c:pt idx="0">
                  <c:v>1</c:v>
                </c:pt>
                <c:pt idx="1">
                  <c:v>1</c:v>
                </c:pt>
                <c:pt idx="2">
                  <c:v>1</c:v>
                </c:pt>
              </c:numCache>
            </c:numRef>
          </c:yVal>
          <c:smooth val="0"/>
          <c:extLst>
            <c:ext xmlns:c16="http://schemas.microsoft.com/office/drawing/2014/chart" uri="{C3380CC4-5D6E-409C-BE32-E72D297353CC}">
              <c16:uniqueId val="{00000025-6564-4552-BFD4-DAFE47380EC0}"/>
            </c:ext>
          </c:extLst>
        </c:ser>
        <c:dLbls>
          <c:showLegendKey val="0"/>
          <c:showVal val="0"/>
          <c:showCatName val="0"/>
          <c:showSerName val="0"/>
          <c:showPercent val="0"/>
          <c:showBubbleSize val="0"/>
        </c:dLbls>
        <c:axId val="143012992"/>
        <c:axId val="143014528"/>
      </c:scatterChart>
      <c:valAx>
        <c:axId val="143012992"/>
        <c:scaling>
          <c:logBase val="2"/>
          <c:orientation val="minMax"/>
          <c:max val="1048000"/>
          <c:min val="2000"/>
        </c:scaling>
        <c:delete val="0"/>
        <c:axPos val="b"/>
        <c:numFmt formatCode="#\ ##0\ &quot;Kč&quot;" sourceLinked="1"/>
        <c:majorTickMark val="out"/>
        <c:minorTickMark val="none"/>
        <c:tickLblPos val="nextTo"/>
        <c:crossAx val="143014528"/>
        <c:crosses val="autoZero"/>
        <c:crossBetween val="midCat"/>
      </c:valAx>
      <c:valAx>
        <c:axId val="143014528"/>
        <c:scaling>
          <c:orientation val="minMax"/>
        </c:scaling>
        <c:delete val="0"/>
        <c:axPos val="l"/>
        <c:majorGridlines>
          <c:spPr>
            <a:ln>
              <a:noFill/>
            </a:ln>
          </c:spPr>
        </c:majorGridlines>
        <c:numFmt formatCode="General" sourceLinked="1"/>
        <c:majorTickMark val="none"/>
        <c:minorTickMark val="none"/>
        <c:tickLblPos val="none"/>
        <c:crossAx val="143012992"/>
        <c:crossesAt val="29333"/>
        <c:crossBetween val="midCat"/>
      </c:valAx>
      <c:spPr>
        <a:noFill/>
        <a:ln>
          <a:noFill/>
        </a:ln>
      </c:spPr>
    </c:plotArea>
    <c:legend>
      <c:legendPos val="r"/>
      <c:layout>
        <c:manualLayout>
          <c:xMode val="edge"/>
          <c:yMode val="edge"/>
          <c:x val="1.0022414313281275E-2"/>
          <c:y val="0.17147074644571639"/>
          <c:w val="0.20533914168713591"/>
          <c:h val="0.66685983214618016"/>
        </c:manualLayout>
      </c:layout>
      <c:overlay val="0"/>
      <c:txPr>
        <a:bodyPr/>
        <a:lstStyle/>
        <a:p>
          <a:pPr>
            <a:defRPr sz="900"/>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119063</xdr:colOff>
      <xdr:row>47</xdr:row>
      <xdr:rowOff>35719</xdr:rowOff>
    </xdr:from>
    <xdr:to>
      <xdr:col>5</xdr:col>
      <xdr:colOff>18079</xdr:colOff>
      <xdr:row>52</xdr:row>
      <xdr:rowOff>63767</xdr:rowOff>
    </xdr:to>
    <xdr:pic>
      <xdr:nvPicPr>
        <xdr:cNvPr id="2050" name="Picture 2">
          <a:extLst>
            <a:ext uri="{FF2B5EF4-FFF2-40B4-BE49-F238E27FC236}">
              <a16:creationId xmlns:a16="http://schemas.microsoft.com/office/drawing/2014/main" id="{00000000-0008-0000-02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063" y="49291875"/>
          <a:ext cx="6024562" cy="1831181"/>
        </a:xfrm>
        <a:prstGeom prst="rect">
          <a:avLst/>
        </a:prstGeom>
        <a:noFill/>
      </xdr:spPr>
    </xdr:pic>
    <xdr:clientData/>
  </xdr:twoCellAnchor>
  <xdr:twoCellAnchor editAs="oneCell">
    <xdr:from>
      <xdr:col>2</xdr:col>
      <xdr:colOff>190500</xdr:colOff>
      <xdr:row>53</xdr:row>
      <xdr:rowOff>11906</xdr:rowOff>
    </xdr:from>
    <xdr:to>
      <xdr:col>5</xdr:col>
      <xdr:colOff>1180747</xdr:colOff>
      <xdr:row>54</xdr:row>
      <xdr:rowOff>2293</xdr:rowOff>
    </xdr:to>
    <xdr:pic>
      <xdr:nvPicPr>
        <xdr:cNvPr id="2054" name="Picture 6">
          <a:extLst>
            <a:ext uri="{FF2B5EF4-FFF2-40B4-BE49-F238E27FC236}">
              <a16:creationId xmlns:a16="http://schemas.microsoft.com/office/drawing/2014/main" id="{00000000-0008-0000-0200-000006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78781" y="51280219"/>
          <a:ext cx="3474244" cy="34528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27273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285749</xdr:colOff>
      <xdr:row>0</xdr:row>
      <xdr:rowOff>95249</xdr:rowOff>
    </xdr:from>
    <xdr:to>
      <xdr:col>29</xdr:col>
      <xdr:colOff>338667</xdr:colOff>
      <xdr:row>31</xdr:row>
      <xdr:rowOff>42334</xdr:rowOff>
    </xdr:to>
    <xdr:graphicFrame macro="">
      <xdr:nvGraphicFramePr>
        <xdr:cNvPr id="8" name="Graf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238124</xdr:colOff>
      <xdr:row>0</xdr:row>
      <xdr:rowOff>178595</xdr:rowOff>
    </xdr:from>
    <xdr:to>
      <xdr:col>20</xdr:col>
      <xdr:colOff>583406</xdr:colOff>
      <xdr:row>0</xdr:row>
      <xdr:rowOff>488156</xdr:rowOff>
    </xdr:to>
    <xdr:sp macro="" textlink="">
      <xdr:nvSpPr>
        <xdr:cNvPr id="6" name="TextovéPole 5">
          <a:extLst>
            <a:ext uri="{FF2B5EF4-FFF2-40B4-BE49-F238E27FC236}">
              <a16:creationId xmlns:a16="http://schemas.microsoft.com/office/drawing/2014/main" id="{00000000-0008-0000-0300-000006000000}"/>
            </a:ext>
          </a:extLst>
        </xdr:cNvPr>
        <xdr:cNvSpPr txBox="1"/>
      </xdr:nvSpPr>
      <xdr:spPr>
        <a:xfrm>
          <a:off x="9560718" y="178595"/>
          <a:ext cx="7024688" cy="309561"/>
        </a:xfrm>
        <a:prstGeom prst="rect">
          <a:avLst/>
        </a:prstGeom>
        <a:solidFill>
          <a:schemeClr val="lt1"/>
        </a:solidFill>
        <a:ln w="1905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400" b="1"/>
            <a:t>CER po indukční době léčbou přípravky 2. linie (tj. po konven., apremilastu a adalimumabu)</a:t>
          </a:r>
        </a:p>
      </xdr:txBody>
    </xdr:sp>
    <xdr:clientData/>
  </xdr:twoCellAnchor>
  <xdr:twoCellAnchor>
    <xdr:from>
      <xdr:col>16</xdr:col>
      <xdr:colOff>494392</xdr:colOff>
      <xdr:row>1</xdr:row>
      <xdr:rowOff>70303</xdr:rowOff>
    </xdr:from>
    <xdr:to>
      <xdr:col>18</xdr:col>
      <xdr:colOff>601547</xdr:colOff>
      <xdr:row>3</xdr:row>
      <xdr:rowOff>46491</xdr:rowOff>
    </xdr:to>
    <xdr:sp macro="" textlink="">
      <xdr:nvSpPr>
        <xdr:cNvPr id="7" name="TextovéPole 6">
          <a:extLst>
            <a:ext uri="{FF2B5EF4-FFF2-40B4-BE49-F238E27FC236}">
              <a16:creationId xmlns:a16="http://schemas.microsoft.com/office/drawing/2014/main" id="{00000000-0008-0000-0300-000007000000}"/>
            </a:ext>
          </a:extLst>
        </xdr:cNvPr>
        <xdr:cNvSpPr txBox="1"/>
      </xdr:nvSpPr>
      <xdr:spPr>
        <a:xfrm>
          <a:off x="14428106" y="814160"/>
          <a:ext cx="1322727" cy="447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900"/>
            <a:t>náklad. nejefektivnější non - iTNF</a:t>
          </a:r>
        </a:p>
      </xdr:txBody>
    </xdr:sp>
    <xdr:clientData/>
  </xdr:twoCellAnchor>
  <xdr:twoCellAnchor>
    <xdr:from>
      <xdr:col>19</xdr:col>
      <xdr:colOff>212326</xdr:colOff>
      <xdr:row>2</xdr:row>
      <xdr:rowOff>127000</xdr:rowOff>
    </xdr:from>
    <xdr:to>
      <xdr:col>20</xdr:col>
      <xdr:colOff>253999</xdr:colOff>
      <xdr:row>3</xdr:row>
      <xdr:rowOff>88733</xdr:rowOff>
    </xdr:to>
    <xdr:sp macro="" textlink="">
      <xdr:nvSpPr>
        <xdr:cNvPr id="9" name="Levá složená závorka 8">
          <a:extLst>
            <a:ext uri="{FF2B5EF4-FFF2-40B4-BE49-F238E27FC236}">
              <a16:creationId xmlns:a16="http://schemas.microsoft.com/office/drawing/2014/main" id="{00000000-0008-0000-0300-000009000000}"/>
            </a:ext>
          </a:extLst>
        </xdr:cNvPr>
        <xdr:cNvSpPr/>
      </xdr:nvSpPr>
      <xdr:spPr>
        <a:xfrm rot="5400000">
          <a:off x="16231618" y="917065"/>
          <a:ext cx="125018" cy="649459"/>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cs-CZ"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0.28153</cdr:x>
      <cdr:y>0.90709</cdr:y>
    </cdr:from>
    <cdr:to>
      <cdr:x>0.93956</cdr:x>
      <cdr:y>0.99374</cdr:y>
    </cdr:to>
    <cdr:sp macro="" textlink="">
      <cdr:nvSpPr>
        <cdr:cNvPr id="2" name="TextovéPole 1"/>
        <cdr:cNvSpPr txBox="1"/>
      </cdr:nvSpPr>
      <cdr:spPr>
        <a:xfrm xmlns:a="http://schemas.openxmlformats.org/drawingml/2006/main">
          <a:off x="3816776" y="6134427"/>
          <a:ext cx="8921078" cy="585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200"/>
            <a:t>                           </a:t>
          </a:r>
          <a:r>
            <a:rPr lang="cs-CZ" sz="1200" b="1"/>
            <a:t>Cena vynaložená přípravkem</a:t>
          </a:r>
          <a:r>
            <a:rPr lang="cs-CZ" sz="1200" b="1" baseline="0"/>
            <a:t> </a:t>
          </a:r>
          <a:r>
            <a:rPr lang="cs-CZ" sz="1200" b="1"/>
            <a:t>k léčení pacientů pro dosažení PASI 100 u 1 pacienta po 16 týdnech léčby (u etaner. za 12 týdnů)</a:t>
          </a:r>
        </a:p>
        <a:p xmlns:a="http://schemas.openxmlformats.org/drawingml/2006/main">
          <a:r>
            <a:rPr lang="cs-CZ" sz="1200" b="1"/>
            <a:t>                                                                               (bodová hodnota s 95% CI, logaritmická</a:t>
          </a:r>
          <a:r>
            <a:rPr lang="cs-CZ" sz="1200" b="1" baseline="0"/>
            <a:t> stupnice)</a:t>
          </a:r>
          <a:endParaRPr lang="cs-CZ" sz="1200" b="1"/>
        </a:p>
      </cdr:txBody>
    </cdr:sp>
  </cdr:relSizeAnchor>
  <cdr:relSizeAnchor xmlns:cdr="http://schemas.openxmlformats.org/drawingml/2006/chartDrawing">
    <cdr:from>
      <cdr:x>0.53859</cdr:x>
      <cdr:y>0.0318</cdr:y>
    </cdr:from>
    <cdr:to>
      <cdr:x>0.5394</cdr:x>
      <cdr:y>0.87409</cdr:y>
    </cdr:to>
    <cdr:cxnSp macro="">
      <cdr:nvCxnSpPr>
        <cdr:cNvPr id="6" name="Přímá spojnice 5">
          <a:extLst xmlns:a="http://schemas.openxmlformats.org/drawingml/2006/main">
            <a:ext uri="{FF2B5EF4-FFF2-40B4-BE49-F238E27FC236}">
              <a16:creationId xmlns:a16="http://schemas.microsoft.com/office/drawing/2014/main" id="{A90A6E6C-5882-47F7-A682-6EC9D3D30DFA}"/>
            </a:ext>
          </a:extLst>
        </cdr:cNvPr>
        <cdr:cNvCxnSpPr/>
      </cdr:nvCxnSpPr>
      <cdr:spPr>
        <a:xfrm xmlns:a="http://schemas.openxmlformats.org/drawingml/2006/main" flipH="1" flipV="1">
          <a:off x="7230137" y="217869"/>
          <a:ext cx="10874" cy="5770059"/>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0.58608</cdr:x>
      <cdr:y>0.02783</cdr:y>
    </cdr:from>
    <cdr:to>
      <cdr:x>0.58608</cdr:x>
      <cdr:y>0.87358</cdr:y>
    </cdr:to>
    <cdr:cxnSp macro="">
      <cdr:nvCxnSpPr>
        <cdr:cNvPr id="8" name="Přímá spojnice 7">
          <a:extLst xmlns:a="http://schemas.openxmlformats.org/drawingml/2006/main">
            <a:ext uri="{FF2B5EF4-FFF2-40B4-BE49-F238E27FC236}">
              <a16:creationId xmlns:a16="http://schemas.microsoft.com/office/drawing/2014/main" id="{08B75269-0E3D-48C1-A9EE-72E9935A9AEE}"/>
            </a:ext>
          </a:extLst>
        </cdr:cNvPr>
        <cdr:cNvCxnSpPr/>
      </cdr:nvCxnSpPr>
      <cdr:spPr>
        <a:xfrm xmlns:a="http://schemas.openxmlformats.org/drawingml/2006/main" flipV="1">
          <a:off x="7867640" y="190616"/>
          <a:ext cx="0" cy="5793761"/>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0.51826</cdr:x>
      <cdr:y>0.1258</cdr:y>
    </cdr:from>
    <cdr:to>
      <cdr:x>0.55377</cdr:x>
      <cdr:y>0.14468</cdr:y>
    </cdr:to>
    <cdr:cxnSp macro="">
      <cdr:nvCxnSpPr>
        <cdr:cNvPr id="5" name="Přímá spojnice se šipkou 4">
          <a:extLst xmlns:a="http://schemas.openxmlformats.org/drawingml/2006/main">
            <a:ext uri="{FF2B5EF4-FFF2-40B4-BE49-F238E27FC236}">
              <a16:creationId xmlns:a16="http://schemas.microsoft.com/office/drawing/2014/main" id="{49D27C36-5F1E-4996-B109-E538AB6A42CF}"/>
            </a:ext>
          </a:extLst>
        </cdr:cNvPr>
        <cdr:cNvCxnSpPr/>
      </cdr:nvCxnSpPr>
      <cdr:spPr>
        <a:xfrm xmlns:a="http://schemas.openxmlformats.org/drawingml/2006/main">
          <a:off x="6957285" y="861771"/>
          <a:ext cx="476693" cy="12933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285749</xdr:colOff>
      <xdr:row>0</xdr:row>
      <xdr:rowOff>95249</xdr:rowOff>
    </xdr:from>
    <xdr:to>
      <xdr:col>29</xdr:col>
      <xdr:colOff>338667</xdr:colOff>
      <xdr:row>31</xdr:row>
      <xdr:rowOff>42334</xdr:rowOff>
    </xdr:to>
    <xdr:graphicFrame macro="">
      <xdr:nvGraphicFramePr>
        <xdr:cNvPr id="3" name="Graf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784225</xdr:colOff>
      <xdr:row>0</xdr:row>
      <xdr:rowOff>28575</xdr:rowOff>
    </xdr:to>
    <xdr:pic>
      <xdr:nvPicPr>
        <xdr:cNvPr id="5" name="Obrázek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784225</xdr:colOff>
      <xdr:row>0</xdr:row>
      <xdr:rowOff>28575</xdr:rowOff>
    </xdr:to>
    <xdr:pic>
      <xdr:nvPicPr>
        <xdr:cNvPr id="6" name="Obrázek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0.26904</cdr:x>
      <cdr:y>0.90767</cdr:y>
    </cdr:from>
    <cdr:to>
      <cdr:x>0.92707</cdr:x>
      <cdr:y>1</cdr:y>
    </cdr:to>
    <cdr:sp macro="" textlink="">
      <cdr:nvSpPr>
        <cdr:cNvPr id="2" name="TextovéPole 1"/>
        <cdr:cNvSpPr txBox="1"/>
      </cdr:nvSpPr>
      <cdr:spPr>
        <a:xfrm xmlns:a="http://schemas.openxmlformats.org/drawingml/2006/main">
          <a:off x="3647443" y="6138334"/>
          <a:ext cx="8921078" cy="624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200" b="1"/>
            <a:t>                                                                                                                    ←              ČÍM NIŽŠÍ</a:t>
          </a:r>
          <a:r>
            <a:rPr lang="cs-CZ" sz="1200" b="1" baseline="0"/>
            <a:t> ČÍSLO, TÍM VYŠŠÍ ÚČINNOST</a:t>
          </a:r>
        </a:p>
        <a:p xmlns:a="http://schemas.openxmlformats.org/drawingml/2006/main">
          <a:endParaRPr lang="cs-CZ" sz="300" b="1"/>
        </a:p>
        <a:p xmlns:a="http://schemas.openxmlformats.org/drawingml/2006/main">
          <a:r>
            <a:rPr lang="cs-CZ" sz="1200" b="1" baseline="0"/>
            <a:t>      </a:t>
          </a:r>
          <a:r>
            <a:rPr lang="cs-CZ" sz="1200" b="1"/>
            <a:t>Počet pacientů nutných léčit abychom u 1 dosáhli PASI 100 po 12-16 týdnech léč</a:t>
          </a:r>
          <a:r>
            <a:rPr lang="cs-CZ" sz="1200" b="1" baseline="0"/>
            <a:t>by </a:t>
          </a:r>
          <a:r>
            <a:rPr lang="cs-CZ" sz="1200" b="1" baseline="30000"/>
            <a:t>4</a:t>
          </a:r>
          <a:r>
            <a:rPr lang="cs-CZ" sz="1200" b="1"/>
            <a:t>  (bod.hodnota s 95% CI, logar.</a:t>
          </a:r>
          <a:r>
            <a:rPr lang="cs-CZ" sz="1200" b="1" baseline="0"/>
            <a:t> stupnice)</a:t>
          </a:r>
          <a:endParaRPr lang="cs-CZ" sz="1200" b="1"/>
        </a:p>
      </cdr:txBody>
    </cdr:sp>
  </cdr:relSizeAnchor>
  <cdr:relSizeAnchor xmlns:cdr="http://schemas.openxmlformats.org/drawingml/2006/chartDrawing">
    <cdr:from>
      <cdr:x>0.38251</cdr:x>
      <cdr:y>0.06573</cdr:y>
    </cdr:from>
    <cdr:to>
      <cdr:x>0.46526</cdr:x>
      <cdr:y>0.24413</cdr:y>
    </cdr:to>
    <cdr:sp macro="" textlink="">
      <cdr:nvSpPr>
        <cdr:cNvPr id="3" name="TextovéPole 2"/>
        <cdr:cNvSpPr txBox="1"/>
      </cdr:nvSpPr>
      <cdr:spPr>
        <a:xfrm xmlns:a="http://schemas.openxmlformats.org/drawingml/2006/main">
          <a:off x="5185834" y="444501"/>
          <a:ext cx="1121833" cy="1206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b="1">
              <a:solidFill>
                <a:srgbClr val="92D050"/>
              </a:solidFill>
            </a:rPr>
            <a:t>hranice nejvyšší účinnosti tří nejúčinnějších léčiv</a:t>
          </a:r>
        </a:p>
      </cdr:txBody>
    </cdr:sp>
  </cdr:relSizeAnchor>
  <cdr:relSizeAnchor xmlns:cdr="http://schemas.openxmlformats.org/drawingml/2006/chartDrawing">
    <cdr:from>
      <cdr:x>0.44965</cdr:x>
      <cdr:y>0.10955</cdr:y>
    </cdr:from>
    <cdr:to>
      <cdr:x>0.51401</cdr:x>
      <cdr:y>0.12188</cdr:y>
    </cdr:to>
    <cdr:cxnSp macro="">
      <cdr:nvCxnSpPr>
        <cdr:cNvPr id="7" name="Přímá spojnice se šipkou 6">
          <a:extLst xmlns:a="http://schemas.openxmlformats.org/drawingml/2006/main">
            <a:ext uri="{FF2B5EF4-FFF2-40B4-BE49-F238E27FC236}">
              <a16:creationId xmlns:a16="http://schemas.microsoft.com/office/drawing/2014/main" id="{900199E0-259E-4F54-812B-861EA61C3885}"/>
            </a:ext>
          </a:extLst>
        </cdr:cNvPr>
        <cdr:cNvCxnSpPr/>
      </cdr:nvCxnSpPr>
      <cdr:spPr>
        <a:xfrm xmlns:a="http://schemas.openxmlformats.org/drawingml/2006/main">
          <a:off x="6030585" y="759845"/>
          <a:ext cx="863135" cy="85500"/>
        </a:xfrm>
        <a:prstGeom xmlns:a="http://schemas.openxmlformats.org/drawingml/2006/main" prst="straightConnector1">
          <a:avLst/>
        </a:prstGeom>
        <a:ln xmlns:a="http://schemas.openxmlformats.org/drawingml/2006/main">
          <a:solidFill>
            <a:srgbClr val="92D05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0.25371</cdr:x>
      <cdr:y>0.02504</cdr:y>
    </cdr:from>
    <cdr:to>
      <cdr:x>0.34817</cdr:x>
      <cdr:y>0.8529</cdr:y>
    </cdr:to>
    <cdr:sp macro="" textlink="">
      <cdr:nvSpPr>
        <cdr:cNvPr id="13" name="TextovéPole 12"/>
        <cdr:cNvSpPr txBox="1"/>
      </cdr:nvSpPr>
      <cdr:spPr>
        <a:xfrm xmlns:a="http://schemas.openxmlformats.org/drawingml/2006/main">
          <a:off x="3439583" y="169334"/>
          <a:ext cx="1280584" cy="55985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b="1"/>
            <a:t>  NNT      (95%  CI)</a:t>
          </a:r>
        </a:p>
        <a:p xmlns:a="http://schemas.openxmlformats.org/drawingml/2006/main">
          <a:endParaRPr lang="cs-CZ" sz="600"/>
        </a:p>
        <a:p xmlns:a="http://schemas.openxmlformats.org/drawingml/2006/main">
          <a:r>
            <a:rPr lang="cs-CZ" sz="1100"/>
            <a:t> 16,8     (13,1,</a:t>
          </a:r>
          <a:r>
            <a:rPr lang="cs-CZ" sz="1100" baseline="0"/>
            <a:t> 22,1)</a:t>
          </a:r>
        </a:p>
        <a:p xmlns:a="http://schemas.openxmlformats.org/drawingml/2006/main">
          <a:endParaRPr lang="cs-CZ" sz="1500" baseline="0"/>
        </a:p>
        <a:p xmlns:a="http://schemas.openxmlformats.org/drawingml/2006/main">
          <a:r>
            <a:rPr lang="cs-CZ" sz="1100"/>
            <a:t>    6.0      (4.4,</a:t>
          </a:r>
          <a:r>
            <a:rPr lang="cs-CZ" sz="1100" baseline="0"/>
            <a:t> 8,6)</a:t>
          </a:r>
        </a:p>
        <a:p xmlns:a="http://schemas.openxmlformats.org/drawingml/2006/main">
          <a:endParaRPr lang="cs-CZ" sz="1600" baseline="0"/>
        </a:p>
        <a:p xmlns:a="http://schemas.openxmlformats.org/drawingml/2006/main">
          <a:r>
            <a:rPr lang="cs-CZ" sz="1100" baseline="0"/>
            <a:t>    5,7      (4.9, 6,8)    </a:t>
          </a:r>
        </a:p>
        <a:p xmlns:a="http://schemas.openxmlformats.org/drawingml/2006/main">
          <a:endParaRPr lang="cs-CZ" sz="1700" baseline="0"/>
        </a:p>
        <a:p xmlns:a="http://schemas.openxmlformats.org/drawingml/2006/main">
          <a:r>
            <a:rPr lang="cs-CZ" sz="1100" baseline="0"/>
            <a:t>    3.1      (2.7, 3.6)</a:t>
          </a:r>
        </a:p>
        <a:p xmlns:a="http://schemas.openxmlformats.org/drawingml/2006/main">
          <a:endParaRPr lang="cs-CZ" sz="1100" baseline="0"/>
        </a:p>
        <a:p xmlns:a="http://schemas.openxmlformats.org/drawingml/2006/main">
          <a:endParaRPr lang="cs-CZ" sz="500" baseline="0"/>
        </a:p>
        <a:p xmlns:a="http://schemas.openxmlformats.org/drawingml/2006/main">
          <a:r>
            <a:rPr lang="cs-CZ" sz="1100"/>
            <a:t>    7,2      (5.1,</a:t>
          </a:r>
          <a:r>
            <a:rPr lang="cs-CZ" sz="1100" baseline="0"/>
            <a:t> 10,6)</a:t>
          </a:r>
        </a:p>
        <a:p xmlns:a="http://schemas.openxmlformats.org/drawingml/2006/main">
          <a:endParaRPr lang="cs-CZ" sz="1400" baseline="0"/>
        </a:p>
        <a:p xmlns:a="http://schemas.openxmlformats.org/drawingml/2006/main">
          <a:r>
            <a:rPr lang="cs-CZ" sz="1100" baseline="0"/>
            <a:t>    1,7      (1,6, 2,0)</a:t>
          </a:r>
        </a:p>
        <a:p xmlns:a="http://schemas.openxmlformats.org/drawingml/2006/main">
          <a:endParaRPr lang="cs-CZ" sz="1600" baseline="0"/>
        </a:p>
        <a:p xmlns:a="http://schemas.openxmlformats.org/drawingml/2006/main">
          <a:r>
            <a:rPr lang="cs-CZ" sz="1100" baseline="0"/>
            <a:t>    3.1      (2.6, 3.7)</a:t>
          </a:r>
        </a:p>
        <a:p xmlns:a="http://schemas.openxmlformats.org/drawingml/2006/main">
          <a:endParaRPr lang="cs-CZ" sz="1400" baseline="0"/>
        </a:p>
        <a:p xmlns:a="http://schemas.openxmlformats.org/drawingml/2006/main">
          <a:endParaRPr lang="cs-CZ" sz="500" baseline="0"/>
        </a:p>
        <a:p xmlns:a="http://schemas.openxmlformats.org/drawingml/2006/main">
          <a:r>
            <a:rPr lang="cs-CZ" sz="1100" baseline="0"/>
            <a:t>     2.7     (2.3, 3,1)</a:t>
          </a:r>
        </a:p>
        <a:p xmlns:a="http://schemas.openxmlformats.org/drawingml/2006/main">
          <a:endParaRPr lang="cs-CZ" sz="1100" baseline="0"/>
        </a:p>
        <a:p xmlns:a="http://schemas.openxmlformats.org/drawingml/2006/main">
          <a:endParaRPr lang="cs-CZ" sz="500" baseline="0"/>
        </a:p>
        <a:p xmlns:a="http://schemas.openxmlformats.org/drawingml/2006/main">
          <a:r>
            <a:rPr lang="cs-CZ" sz="1100" baseline="0"/>
            <a:t>     2.3     (2.0, 2.6)</a:t>
          </a:r>
        </a:p>
        <a:p xmlns:a="http://schemas.openxmlformats.org/drawingml/2006/main">
          <a:r>
            <a:rPr lang="cs-CZ" sz="1100" baseline="0"/>
            <a:t>       </a:t>
          </a:r>
          <a:endParaRPr lang="cs-CZ" sz="1600" baseline="0"/>
        </a:p>
        <a:p xmlns:a="http://schemas.openxmlformats.org/drawingml/2006/main">
          <a:endParaRPr lang="cs-CZ" sz="500" baseline="0"/>
        </a:p>
        <a:p xmlns:a="http://schemas.openxmlformats.org/drawingml/2006/main">
          <a:r>
            <a:rPr lang="cs-CZ" sz="1100" baseline="0"/>
            <a:t>     2.3     (2.0, 2.7)</a:t>
          </a:r>
        </a:p>
        <a:p xmlns:a="http://schemas.openxmlformats.org/drawingml/2006/main">
          <a:endParaRPr lang="cs-CZ" sz="1200" baseline="0"/>
        </a:p>
        <a:p xmlns:a="http://schemas.openxmlformats.org/drawingml/2006/main">
          <a:endParaRPr lang="cs-CZ" sz="500" baseline="0"/>
        </a:p>
        <a:p xmlns:a="http://schemas.openxmlformats.org/drawingml/2006/main">
          <a:r>
            <a:rPr lang="cs-CZ" sz="1100" baseline="0"/>
            <a:t>     4,3     (3.1, 6,3)</a:t>
          </a:r>
        </a:p>
        <a:p xmlns:a="http://schemas.openxmlformats.org/drawingml/2006/main">
          <a:endParaRPr lang="cs-CZ" sz="1200" baseline="0"/>
        </a:p>
        <a:p xmlns:a="http://schemas.openxmlformats.org/drawingml/2006/main">
          <a:endParaRPr lang="cs-CZ" sz="400" baseline="0"/>
        </a:p>
        <a:p xmlns:a="http://schemas.openxmlformats.org/drawingml/2006/main">
          <a:r>
            <a:rPr lang="cs-CZ" sz="1100" baseline="0">
              <a:effectLst/>
              <a:latin typeface="+mn-lt"/>
              <a:ea typeface="+mn-ea"/>
              <a:cs typeface="+mn-cs"/>
            </a:rPr>
            <a:t>     4,3     (3.1, 6,3)</a:t>
          </a:r>
        </a:p>
        <a:p xmlns:a="http://schemas.openxmlformats.org/drawingml/2006/main">
          <a:endParaRPr lang="cs-CZ" sz="300" baseline="0"/>
        </a:p>
        <a:p xmlns:a="http://schemas.openxmlformats.org/drawingml/2006/main">
          <a:r>
            <a:rPr lang="cs-CZ" sz="110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1100" baseline="0">
              <a:effectLst/>
              <a:latin typeface="+mn-lt"/>
              <a:ea typeface="+mn-ea"/>
              <a:cs typeface="+mn-cs"/>
            </a:rPr>
            <a:t>     7,6     (5.6, 10,8)</a:t>
          </a:r>
          <a:endParaRPr lang="cs-CZ">
            <a:effectLst/>
          </a:endParaRPr>
        </a:p>
        <a:p xmlns:a="http://schemas.openxmlformats.org/drawingml/2006/main">
          <a:endParaRPr lang="cs-CZ" sz="1100"/>
        </a:p>
      </cdr:txBody>
    </cdr:sp>
  </cdr:relSizeAnchor>
  <cdr:relSizeAnchor xmlns:cdr="http://schemas.openxmlformats.org/drawingml/2006/chartDrawing">
    <cdr:from>
      <cdr:x>0.358</cdr:x>
      <cdr:y>0.01419</cdr:y>
    </cdr:from>
    <cdr:to>
      <cdr:x>0.86999</cdr:x>
      <cdr:y>0.05882</cdr:y>
    </cdr:to>
    <cdr:sp macro="" textlink="">
      <cdr:nvSpPr>
        <cdr:cNvPr id="15" name="TextovéPole 5">
          <a:extLst xmlns:a="http://schemas.openxmlformats.org/drawingml/2006/main">
            <a:ext uri="{FF2B5EF4-FFF2-40B4-BE49-F238E27FC236}">
              <a16:creationId xmlns:a16="http://schemas.microsoft.com/office/drawing/2014/main" id="{4A2ED943-2977-4B6A-AEE0-EB79CD0D67FE}"/>
            </a:ext>
          </a:extLst>
        </cdr:cNvPr>
        <cdr:cNvSpPr txBox="1"/>
      </cdr:nvSpPr>
      <cdr:spPr>
        <a:xfrm xmlns:a="http://schemas.openxmlformats.org/drawingml/2006/main">
          <a:off x="4801394" y="98425"/>
          <a:ext cx="6866732" cy="309561"/>
        </a:xfrm>
        <a:prstGeom xmlns:a="http://schemas.openxmlformats.org/drawingml/2006/main" prst="rect">
          <a:avLst/>
        </a:prstGeom>
        <a:solidFill xmlns:a="http://schemas.openxmlformats.org/drawingml/2006/main">
          <a:schemeClr val="lt1"/>
        </a:solidFill>
        <a:ln xmlns:a="http://schemas.openxmlformats.org/drawingml/2006/main" w="19050" cmpd="sng">
          <a:solidFill>
            <a:schemeClr val="tx1"/>
          </a:solidFill>
          <a:prstDash val="soli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cs-CZ" sz="1400" b="1"/>
            <a:t>přípravky 2. linie (tj. po konven., apremilastu a adalimumabu)</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127001</xdr:colOff>
      <xdr:row>0</xdr:row>
      <xdr:rowOff>95250</xdr:rowOff>
    </xdr:from>
    <xdr:to>
      <xdr:col>29</xdr:col>
      <xdr:colOff>0</xdr:colOff>
      <xdr:row>31</xdr:row>
      <xdr:rowOff>169333</xdr:rowOff>
    </xdr:to>
    <xdr:graphicFrame macro="">
      <xdr:nvGraphicFramePr>
        <xdr:cNvPr id="3" name="Graf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784225</xdr:colOff>
      <xdr:row>0</xdr:row>
      <xdr:rowOff>28575</xdr:rowOff>
    </xdr:to>
    <xdr:pic>
      <xdr:nvPicPr>
        <xdr:cNvPr id="5" name="Obráze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0.27909</cdr:x>
      <cdr:y>0.90138</cdr:y>
    </cdr:from>
    <cdr:to>
      <cdr:x>0.93712</cdr:x>
      <cdr:y>0.98803</cdr:y>
    </cdr:to>
    <cdr:sp macro="" textlink="">
      <cdr:nvSpPr>
        <cdr:cNvPr id="2" name="TextovéPole 1"/>
        <cdr:cNvSpPr txBox="1"/>
      </cdr:nvSpPr>
      <cdr:spPr>
        <a:xfrm xmlns:a="http://schemas.openxmlformats.org/drawingml/2006/main">
          <a:off x="3307371" y="7171382"/>
          <a:ext cx="7798107" cy="6893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200"/>
            <a:t>                                                </a:t>
          </a:r>
          <a:r>
            <a:rPr lang="cs-CZ" sz="1200" b="1"/>
            <a:t>Cena vynaložená přípravkem</a:t>
          </a:r>
          <a:r>
            <a:rPr lang="cs-CZ" sz="1200" b="1" baseline="0"/>
            <a:t> </a:t>
          </a:r>
          <a:r>
            <a:rPr lang="cs-CZ" sz="1200" b="1"/>
            <a:t>k léčení pacientů pro udrženíí PASI 100 u 1 pacienta po</a:t>
          </a:r>
          <a:r>
            <a:rPr lang="cs-CZ" sz="1200" b="1" baseline="0"/>
            <a:t> 1 roku</a:t>
          </a:r>
          <a:r>
            <a:rPr lang="cs-CZ" sz="1200" b="1"/>
            <a:t> léčby</a:t>
          </a:r>
        </a:p>
        <a:p xmlns:a="http://schemas.openxmlformats.org/drawingml/2006/main">
          <a:r>
            <a:rPr lang="cs-CZ" sz="1200" b="1"/>
            <a:t>                                                             (bodová hodnota s 95% CI</a:t>
          </a:r>
          <a:r>
            <a:rPr lang="cs-CZ" sz="1200" b="1">
              <a:latin typeface="+mn-lt"/>
              <a:ea typeface="+mn-ea"/>
              <a:cs typeface="+mn-cs"/>
            </a:rPr>
            <a:t>, logaritmická</a:t>
          </a:r>
          <a:r>
            <a:rPr lang="cs-CZ" sz="1200" b="1" baseline="0">
              <a:latin typeface="+mn-lt"/>
              <a:ea typeface="+mn-ea"/>
              <a:cs typeface="+mn-cs"/>
            </a:rPr>
            <a:t> stupnice </a:t>
          </a:r>
          <a:r>
            <a:rPr lang="cs-CZ" sz="1200" b="1" baseline="0"/>
            <a:t>)</a:t>
          </a:r>
          <a:endParaRPr lang="cs-CZ" sz="1200" b="1"/>
        </a:p>
      </cdr:txBody>
    </cdr:sp>
  </cdr:relSizeAnchor>
  <cdr:relSizeAnchor xmlns:cdr="http://schemas.openxmlformats.org/drawingml/2006/chartDrawing">
    <cdr:from>
      <cdr:x>0.68109</cdr:x>
      <cdr:y>0.03661</cdr:y>
    </cdr:from>
    <cdr:to>
      <cdr:x>0.6819</cdr:x>
      <cdr:y>0.8789</cdr:y>
    </cdr:to>
    <cdr:cxnSp macro="">
      <cdr:nvCxnSpPr>
        <cdr:cNvPr id="6" name="Přímá spojnice 5">
          <a:extLst xmlns:a="http://schemas.openxmlformats.org/drawingml/2006/main">
            <a:ext uri="{FF2B5EF4-FFF2-40B4-BE49-F238E27FC236}">
              <a16:creationId xmlns:a16="http://schemas.microsoft.com/office/drawing/2014/main" id="{D58E2670-6350-444D-ABBB-CE455CDDD03C}"/>
            </a:ext>
          </a:extLst>
        </cdr:cNvPr>
        <cdr:cNvCxnSpPr/>
      </cdr:nvCxnSpPr>
      <cdr:spPr>
        <a:xfrm xmlns:a="http://schemas.openxmlformats.org/drawingml/2006/main" flipH="1" flipV="1">
          <a:off x="8133942" y="290185"/>
          <a:ext cx="9673" cy="6675489"/>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0.7119</cdr:x>
      <cdr:y>0.0388</cdr:y>
    </cdr:from>
    <cdr:to>
      <cdr:x>0.7119</cdr:x>
      <cdr:y>0.88455</cdr:y>
    </cdr:to>
    <cdr:cxnSp macro="">
      <cdr:nvCxnSpPr>
        <cdr:cNvPr id="8" name="Přímá spojnice 7">
          <a:extLst xmlns:a="http://schemas.openxmlformats.org/drawingml/2006/main">
            <a:ext uri="{FF2B5EF4-FFF2-40B4-BE49-F238E27FC236}">
              <a16:creationId xmlns:a16="http://schemas.microsoft.com/office/drawing/2014/main" id="{5A17FE1B-846C-4E3C-A1E2-5CF25B81BE2C}"/>
            </a:ext>
          </a:extLst>
        </cdr:cNvPr>
        <cdr:cNvCxnSpPr/>
      </cdr:nvCxnSpPr>
      <cdr:spPr>
        <a:xfrm xmlns:a="http://schemas.openxmlformats.org/drawingml/2006/main" flipV="1">
          <a:off x="8498606" y="305614"/>
          <a:ext cx="0" cy="6661673"/>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0.00429</cdr:x>
      <cdr:y>0.00639</cdr:y>
    </cdr:from>
    <cdr:to>
      <cdr:x>0.59705</cdr:x>
      <cdr:y>0.04529</cdr:y>
    </cdr:to>
    <cdr:sp macro="" textlink="">
      <cdr:nvSpPr>
        <cdr:cNvPr id="5" name="TextovéPole 5">
          <a:extLst xmlns:a="http://schemas.openxmlformats.org/drawingml/2006/main">
            <a:ext uri="{FF2B5EF4-FFF2-40B4-BE49-F238E27FC236}">
              <a16:creationId xmlns:a16="http://schemas.microsoft.com/office/drawing/2014/main" id="{4A2ED943-2977-4B6A-AEE0-EB79CD0D67FE}"/>
            </a:ext>
          </a:extLst>
        </cdr:cNvPr>
        <cdr:cNvSpPr txBox="1"/>
      </cdr:nvSpPr>
      <cdr:spPr>
        <a:xfrm xmlns:a="http://schemas.openxmlformats.org/drawingml/2006/main">
          <a:off x="50800" y="50800"/>
          <a:ext cx="7024688" cy="309561"/>
        </a:xfrm>
        <a:prstGeom xmlns:a="http://schemas.openxmlformats.org/drawingml/2006/main" prst="rect">
          <a:avLst/>
        </a:prstGeom>
        <a:solidFill xmlns:a="http://schemas.openxmlformats.org/drawingml/2006/main">
          <a:schemeClr val="lt1"/>
        </a:solidFill>
        <a:ln xmlns:a="http://schemas.openxmlformats.org/drawingml/2006/main" w="19050" cmpd="sng">
          <a:solidFill>
            <a:schemeClr val="tx1"/>
          </a:solidFill>
          <a:prstDash val="soli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cs-CZ" sz="1400" b="1"/>
            <a:t>CER udržovací léčby přípravky 2. linie (tj. po konven., apremilastu a adalimumabu)</a:t>
          </a:r>
        </a:p>
      </cdr:txBody>
    </cdr:sp>
  </cdr:relSizeAnchor>
  <cdr:relSizeAnchor xmlns:cdr="http://schemas.openxmlformats.org/drawingml/2006/chartDrawing">
    <cdr:from>
      <cdr:x>0.52723</cdr:x>
      <cdr:y>0.16436</cdr:y>
    </cdr:from>
    <cdr:to>
      <cdr:x>0.63789</cdr:x>
      <cdr:y>0.22145</cdr:y>
    </cdr:to>
    <cdr:sp macro="" textlink="">
      <cdr:nvSpPr>
        <cdr:cNvPr id="7" name="TextovéPole 6">
          <a:extLst xmlns:a="http://schemas.openxmlformats.org/drawingml/2006/main">
            <a:ext uri="{FF2B5EF4-FFF2-40B4-BE49-F238E27FC236}">
              <a16:creationId xmlns:a16="http://schemas.microsoft.com/office/drawing/2014/main" id="{AF3924DC-0C29-48A5-BBD2-3595FCA1BF3B}"/>
            </a:ext>
          </a:extLst>
        </cdr:cNvPr>
        <cdr:cNvSpPr txBox="1"/>
      </cdr:nvSpPr>
      <cdr:spPr>
        <a:xfrm xmlns:a="http://schemas.openxmlformats.org/drawingml/2006/main">
          <a:off x="6296479" y="1302657"/>
          <a:ext cx="1321593" cy="45243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cs-CZ" sz="900"/>
            <a:t>náklad. nejefektivnější non - iTNF</a:t>
          </a:r>
        </a:p>
      </cdr:txBody>
    </cdr:sp>
  </cdr:relSizeAnchor>
  <cdr:relSizeAnchor xmlns:cdr="http://schemas.openxmlformats.org/drawingml/2006/chartDrawing">
    <cdr:from>
      <cdr:x>0.68252</cdr:x>
      <cdr:y>0.22789</cdr:y>
    </cdr:from>
    <cdr:to>
      <cdr:x>0.71165</cdr:x>
      <cdr:y>0.24992</cdr:y>
    </cdr:to>
    <cdr:sp macro="" textlink="">
      <cdr:nvSpPr>
        <cdr:cNvPr id="9" name="Levá složená závorka 8">
          <a:extLst xmlns:a="http://schemas.openxmlformats.org/drawingml/2006/main">
            <a:ext uri="{FF2B5EF4-FFF2-40B4-BE49-F238E27FC236}">
              <a16:creationId xmlns:a16="http://schemas.microsoft.com/office/drawing/2014/main" id="{8DCE037D-A895-4B3A-A06D-94E39F73A6CE}"/>
            </a:ext>
          </a:extLst>
        </cdr:cNvPr>
        <cdr:cNvSpPr/>
      </cdr:nvSpPr>
      <cdr:spPr>
        <a:xfrm xmlns:a="http://schemas.openxmlformats.org/drawingml/2006/main" rot="5400000">
          <a:off x="8173327" y="1728081"/>
          <a:ext cx="175249" cy="345281"/>
        </a:xfrm>
        <a:prstGeom xmlns:a="http://schemas.openxmlformats.org/drawingml/2006/main" prst="leftBrace">
          <a:avLst/>
        </a:prstGeom>
        <a:noFill xmlns:a="http://schemas.openxmlformats.org/drawingml/2006/main"/>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cs-CZ" sz="1100"/>
        </a:p>
      </cdr:txBody>
    </cdr:sp>
  </cdr:relSizeAnchor>
  <cdr:relSizeAnchor xmlns:cdr="http://schemas.openxmlformats.org/drawingml/2006/chartDrawing">
    <cdr:from>
      <cdr:x>0.64223</cdr:x>
      <cdr:y>0.18371</cdr:y>
    </cdr:from>
    <cdr:to>
      <cdr:x>0.69123</cdr:x>
      <cdr:y>0.22148</cdr:y>
    </cdr:to>
    <cdr:cxnSp macro="">
      <cdr:nvCxnSpPr>
        <cdr:cNvPr id="4" name="Přímá spojnice se šipkou 3">
          <a:extLst xmlns:a="http://schemas.openxmlformats.org/drawingml/2006/main">
            <a:ext uri="{FF2B5EF4-FFF2-40B4-BE49-F238E27FC236}">
              <a16:creationId xmlns:a16="http://schemas.microsoft.com/office/drawing/2014/main" id="{3B14AB5C-0E34-45F0-B125-E69D9079DCC5}"/>
            </a:ext>
          </a:extLst>
        </cdr:cNvPr>
        <cdr:cNvCxnSpPr/>
      </cdr:nvCxnSpPr>
      <cdr:spPr>
        <a:xfrm xmlns:a="http://schemas.openxmlformats.org/drawingml/2006/main">
          <a:off x="7669892" y="1455964"/>
          <a:ext cx="585107" cy="29935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19845</xdr:colOff>
      <xdr:row>0</xdr:row>
      <xdr:rowOff>107157</xdr:rowOff>
    </xdr:from>
    <xdr:to>
      <xdr:col>27</xdr:col>
      <xdr:colOff>71438</xdr:colOff>
      <xdr:row>31</xdr:row>
      <xdr:rowOff>181240</xdr:rowOff>
    </xdr:to>
    <xdr:graphicFrame macro="">
      <xdr:nvGraphicFramePr>
        <xdr:cNvPr id="3" name="Graf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784225</xdr:colOff>
      <xdr:row>0</xdr:row>
      <xdr:rowOff>28575</xdr:rowOff>
    </xdr:to>
    <xdr:pic>
      <xdr:nvPicPr>
        <xdr:cNvPr id="5" name="Obrázek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784225</xdr:colOff>
      <xdr:row>0</xdr:row>
      <xdr:rowOff>28575</xdr:rowOff>
    </xdr:to>
    <xdr:pic>
      <xdr:nvPicPr>
        <xdr:cNvPr id="6" name="Obrázek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c:userShapes xmlns:c="http://schemas.openxmlformats.org/drawingml/2006/chart">
  <cdr:relSizeAnchor xmlns:cdr="http://schemas.openxmlformats.org/drawingml/2006/chartDrawing">
    <cdr:from>
      <cdr:x>0.23938</cdr:x>
      <cdr:y>0.90434</cdr:y>
    </cdr:from>
    <cdr:to>
      <cdr:x>0.99217</cdr:x>
      <cdr:y>0.98664</cdr:y>
    </cdr:to>
    <cdr:sp macro="" textlink="">
      <cdr:nvSpPr>
        <cdr:cNvPr id="7" name="TextovéPole 1"/>
        <cdr:cNvSpPr txBox="1"/>
      </cdr:nvSpPr>
      <cdr:spPr>
        <a:xfrm xmlns:a="http://schemas.openxmlformats.org/drawingml/2006/main">
          <a:off x="2836863" y="6861175"/>
          <a:ext cx="8921078" cy="624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200" b="1"/>
            <a:t>                                                                                                                               ←              ČÍM NIŽŠÍ</a:t>
          </a:r>
          <a:r>
            <a:rPr lang="cs-CZ" sz="1200" b="1" baseline="0"/>
            <a:t> ČÍSLO, TÍM VYŠŠÍ ÚČINNOST</a:t>
          </a:r>
        </a:p>
        <a:p xmlns:a="http://schemas.openxmlformats.org/drawingml/2006/main">
          <a:endParaRPr lang="cs-CZ" sz="300" b="1"/>
        </a:p>
        <a:p xmlns:a="http://schemas.openxmlformats.org/drawingml/2006/main">
          <a:r>
            <a:rPr lang="cs-CZ" sz="1200" b="1" baseline="0"/>
            <a:t>                                                       </a:t>
          </a:r>
          <a:r>
            <a:rPr lang="cs-CZ" sz="1200" b="1"/>
            <a:t>Počet pacientů nutných léčit abychom u 1 udrželi PASI 100 po  1 roce léč</a:t>
          </a:r>
          <a:r>
            <a:rPr lang="cs-CZ" sz="1200" b="1" baseline="0"/>
            <a:t>by</a:t>
          </a:r>
          <a:r>
            <a:rPr lang="cs-CZ" sz="1200" b="1" baseline="30000"/>
            <a:t>6</a:t>
          </a:r>
          <a:r>
            <a:rPr lang="cs-CZ" sz="1200" b="1"/>
            <a:t>  </a:t>
          </a:r>
        </a:p>
        <a:p xmlns:a="http://schemas.openxmlformats.org/drawingml/2006/main">
          <a:r>
            <a:rPr lang="cs-CZ" sz="1200" b="1"/>
            <a:t>                                                                                 (bodová hodnota s 95% CI, logaritmická</a:t>
          </a:r>
          <a:r>
            <a:rPr lang="cs-CZ" sz="1200" b="1" baseline="0"/>
            <a:t> stupnice)</a:t>
          </a:r>
          <a:endParaRPr lang="cs-CZ" sz="1200" b="1"/>
        </a:p>
      </cdr:txBody>
    </cdr:sp>
  </cdr:relSizeAnchor>
  <cdr:relSizeAnchor xmlns:cdr="http://schemas.openxmlformats.org/drawingml/2006/chartDrawing">
    <cdr:from>
      <cdr:x>0.40014</cdr:x>
      <cdr:y>0.1699</cdr:y>
    </cdr:from>
    <cdr:to>
      <cdr:x>0.4948</cdr:x>
      <cdr:y>0.32892</cdr:y>
    </cdr:to>
    <cdr:sp macro="" textlink="">
      <cdr:nvSpPr>
        <cdr:cNvPr id="9" name="TextovéPole 1"/>
        <cdr:cNvSpPr txBox="1"/>
      </cdr:nvSpPr>
      <cdr:spPr>
        <a:xfrm xmlns:a="http://schemas.openxmlformats.org/drawingml/2006/main">
          <a:off x="4741878" y="1289044"/>
          <a:ext cx="1121786" cy="12064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cs-CZ" sz="1100" b="1">
            <a:solidFill>
              <a:srgbClr val="92D050"/>
            </a:solidFill>
          </a:endParaRPr>
        </a:p>
        <a:p xmlns:a="http://schemas.openxmlformats.org/drawingml/2006/main">
          <a:endParaRPr lang="cs-CZ" sz="1100" b="1">
            <a:solidFill>
              <a:srgbClr val="92D050"/>
            </a:solidFill>
          </a:endParaRPr>
        </a:p>
        <a:p xmlns:a="http://schemas.openxmlformats.org/drawingml/2006/main">
          <a:r>
            <a:rPr lang="cs-CZ" sz="1100" b="1">
              <a:solidFill>
                <a:srgbClr val="0070C0"/>
              </a:solidFill>
            </a:rPr>
            <a:t>hranice nejvyšší účinnosti  čtyř nejúčinnějších léčiv</a:t>
          </a:r>
        </a:p>
      </cdr:txBody>
    </cdr:sp>
  </cdr:relSizeAnchor>
  <cdr:relSizeAnchor xmlns:cdr="http://schemas.openxmlformats.org/drawingml/2006/chartDrawing">
    <cdr:from>
      <cdr:x>0.47555</cdr:x>
      <cdr:y>0.2919</cdr:y>
    </cdr:from>
    <cdr:to>
      <cdr:x>0.52177</cdr:x>
      <cdr:y>0.30131</cdr:y>
    </cdr:to>
    <cdr:cxnSp macro="">
      <cdr:nvCxnSpPr>
        <cdr:cNvPr id="11" name="Přímá spojnice se šipkou 10">
          <a:extLst xmlns:a="http://schemas.openxmlformats.org/drawingml/2006/main">
            <a:ext uri="{FF2B5EF4-FFF2-40B4-BE49-F238E27FC236}">
              <a16:creationId xmlns:a16="http://schemas.microsoft.com/office/drawing/2014/main" id="{6296D1BC-19F8-4027-9A66-5848D7F242A0}"/>
            </a:ext>
          </a:extLst>
        </cdr:cNvPr>
        <cdr:cNvCxnSpPr/>
      </cdr:nvCxnSpPr>
      <cdr:spPr>
        <a:xfrm xmlns:a="http://schemas.openxmlformats.org/drawingml/2006/main">
          <a:off x="5635575" y="2214595"/>
          <a:ext cx="547739" cy="7139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dr:relSizeAnchor xmlns:cdr="http://schemas.openxmlformats.org/drawingml/2006/chartDrawing">
    <cdr:from>
      <cdr:x>0.26904</cdr:x>
      <cdr:y>0.90767</cdr:y>
    </cdr:from>
    <cdr:to>
      <cdr:x>0.92707</cdr:x>
      <cdr:y>1</cdr:y>
    </cdr:to>
    <cdr:sp macro="" textlink="">
      <cdr:nvSpPr>
        <cdr:cNvPr id="15" name="TextovéPole 1"/>
        <cdr:cNvSpPr txBox="1"/>
      </cdr:nvSpPr>
      <cdr:spPr>
        <a:xfrm xmlns:a="http://schemas.openxmlformats.org/drawingml/2006/main">
          <a:off x="3647443" y="6138334"/>
          <a:ext cx="8921078" cy="6244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200" b="1"/>
            <a:t>                                                                                   </a:t>
          </a:r>
          <a:endParaRPr lang="cs-CZ" sz="1200" b="1" baseline="0"/>
        </a:p>
      </cdr:txBody>
    </cdr:sp>
  </cdr:relSizeAnchor>
  <cdr:relSizeAnchor xmlns:cdr="http://schemas.openxmlformats.org/drawingml/2006/chartDrawing">
    <cdr:from>
      <cdr:x>0.28366</cdr:x>
      <cdr:y>0.03446</cdr:y>
    </cdr:from>
    <cdr:to>
      <cdr:x>0.40723</cdr:x>
      <cdr:y>0.86232</cdr:y>
    </cdr:to>
    <cdr:sp macro="" textlink="">
      <cdr:nvSpPr>
        <cdr:cNvPr id="23" name="TextovéPole 12"/>
        <cdr:cNvSpPr txBox="1"/>
      </cdr:nvSpPr>
      <cdr:spPr>
        <a:xfrm xmlns:a="http://schemas.openxmlformats.org/drawingml/2006/main">
          <a:off x="3361529" y="261415"/>
          <a:ext cx="1464469" cy="62809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b="1"/>
            <a:t>  NNT      (95%  CI)</a:t>
          </a:r>
        </a:p>
        <a:p xmlns:a="http://schemas.openxmlformats.org/drawingml/2006/main">
          <a:endParaRPr lang="cs-CZ" sz="600"/>
        </a:p>
        <a:p xmlns:a="http://schemas.openxmlformats.org/drawingml/2006/main">
          <a:r>
            <a:rPr lang="cs-CZ" sz="1100"/>
            <a:t> </a:t>
          </a:r>
          <a:r>
            <a:rPr lang="cs-CZ" sz="1100" baseline="0"/>
            <a:t>   5,9</a:t>
          </a:r>
          <a:r>
            <a:rPr lang="cs-CZ" sz="1100"/>
            <a:t>     (4.4, 8.1</a:t>
          </a:r>
          <a:r>
            <a:rPr lang="cs-CZ" sz="1100" baseline="0"/>
            <a:t>)</a:t>
          </a:r>
        </a:p>
        <a:p xmlns:a="http://schemas.openxmlformats.org/drawingml/2006/main">
          <a:endParaRPr lang="cs-CZ" sz="1600" baseline="0"/>
        </a:p>
        <a:p xmlns:a="http://schemas.openxmlformats.org/drawingml/2006/main">
          <a:r>
            <a:rPr lang="cs-CZ" sz="1100"/>
            <a:t>    2,9      (2,6,</a:t>
          </a:r>
          <a:r>
            <a:rPr lang="cs-CZ" sz="1100" baseline="0"/>
            <a:t> 4,2)</a:t>
          </a:r>
        </a:p>
        <a:p xmlns:a="http://schemas.openxmlformats.org/drawingml/2006/main">
          <a:endParaRPr lang="cs-CZ" sz="1800" baseline="0"/>
        </a:p>
        <a:p xmlns:a="http://schemas.openxmlformats.org/drawingml/2006/main">
          <a:r>
            <a:rPr lang="cs-CZ" sz="1100" baseline="0"/>
            <a:t>    3.3     (3.1, 3.5)    </a:t>
          </a:r>
        </a:p>
        <a:p xmlns:a="http://schemas.openxmlformats.org/drawingml/2006/main">
          <a:endParaRPr lang="cs-CZ" sz="2000" baseline="0"/>
        </a:p>
        <a:p xmlns:a="http://schemas.openxmlformats.org/drawingml/2006/main">
          <a:r>
            <a:rPr lang="cs-CZ" sz="1100" baseline="0"/>
            <a:t>    2.4      (2.2, 2.7)</a:t>
          </a:r>
        </a:p>
        <a:p xmlns:a="http://schemas.openxmlformats.org/drawingml/2006/main">
          <a:endParaRPr lang="cs-CZ" sz="1300" baseline="0"/>
        </a:p>
        <a:p xmlns:a="http://schemas.openxmlformats.org/drawingml/2006/main">
          <a:endParaRPr lang="cs-CZ" sz="500" baseline="0"/>
        </a:p>
        <a:p xmlns:a="http://schemas.openxmlformats.org/drawingml/2006/main">
          <a:r>
            <a:rPr lang="cs-CZ" sz="1100"/>
            <a:t>    3,5      (3,2,</a:t>
          </a:r>
          <a:r>
            <a:rPr lang="cs-CZ" sz="1100" baseline="0"/>
            <a:t> 4,6)</a:t>
          </a:r>
        </a:p>
        <a:p xmlns:a="http://schemas.openxmlformats.org/drawingml/2006/main">
          <a:endParaRPr lang="cs-CZ" sz="2000" baseline="0"/>
        </a:p>
        <a:p xmlns:a="http://schemas.openxmlformats.org/drawingml/2006/main">
          <a:r>
            <a:rPr lang="cs-CZ" sz="1100" baseline="0"/>
            <a:t>    1,8      (1,5, 2,0)</a:t>
          </a:r>
        </a:p>
        <a:p xmlns:a="http://schemas.openxmlformats.org/drawingml/2006/main">
          <a:endParaRPr lang="cs-CZ" sz="2000" baseline="0"/>
        </a:p>
        <a:p xmlns:a="http://schemas.openxmlformats.org/drawingml/2006/main">
          <a:r>
            <a:rPr lang="cs-CZ" sz="1100" baseline="0"/>
            <a:t>    1.8      (1.6, 2.1)</a:t>
          </a:r>
        </a:p>
        <a:p xmlns:a="http://schemas.openxmlformats.org/drawingml/2006/main">
          <a:endParaRPr lang="cs-CZ" sz="1300" baseline="0"/>
        </a:p>
        <a:p xmlns:a="http://schemas.openxmlformats.org/drawingml/2006/main">
          <a:endParaRPr lang="cs-CZ" sz="500" baseline="0"/>
        </a:p>
        <a:p xmlns:a="http://schemas.openxmlformats.org/drawingml/2006/main">
          <a:r>
            <a:rPr lang="cs-CZ" sz="1100" baseline="0"/>
            <a:t>     2.1     (1.7, 2.7)</a:t>
          </a:r>
        </a:p>
        <a:p xmlns:a="http://schemas.openxmlformats.org/drawingml/2006/main">
          <a:endParaRPr lang="cs-CZ" sz="1500" baseline="0"/>
        </a:p>
        <a:p xmlns:a="http://schemas.openxmlformats.org/drawingml/2006/main">
          <a:endParaRPr lang="cs-CZ" sz="500" baseline="0"/>
        </a:p>
        <a:p xmlns:a="http://schemas.openxmlformats.org/drawingml/2006/main">
          <a:r>
            <a:rPr lang="cs-CZ" sz="1100" baseline="0"/>
            <a:t>     1.5     (1.4, 1.7)</a:t>
          </a:r>
        </a:p>
        <a:p xmlns:a="http://schemas.openxmlformats.org/drawingml/2006/main">
          <a:r>
            <a:rPr lang="cs-CZ" sz="1100" baseline="0"/>
            <a:t>       </a:t>
          </a:r>
          <a:endParaRPr lang="cs-CZ" sz="1600" baseline="0"/>
        </a:p>
        <a:p xmlns:a="http://schemas.openxmlformats.org/drawingml/2006/main">
          <a:endParaRPr lang="cs-CZ" sz="900" baseline="0"/>
        </a:p>
        <a:p xmlns:a="http://schemas.openxmlformats.org/drawingml/2006/main">
          <a:r>
            <a:rPr lang="cs-CZ" sz="1100" baseline="0"/>
            <a:t>     1.8     (1.6, 2,0)</a:t>
          </a:r>
        </a:p>
        <a:p xmlns:a="http://schemas.openxmlformats.org/drawingml/2006/main">
          <a:endParaRPr lang="cs-CZ" sz="1300" baseline="0"/>
        </a:p>
        <a:p xmlns:a="http://schemas.openxmlformats.org/drawingml/2006/main">
          <a:endParaRPr lang="cs-CZ" sz="500" baseline="0"/>
        </a:p>
        <a:p xmlns:a="http://schemas.openxmlformats.org/drawingml/2006/main">
          <a:r>
            <a:rPr lang="cs-CZ" sz="1100" baseline="0"/>
            <a:t>     3.3     (2,0, 8,6)</a:t>
          </a:r>
        </a:p>
        <a:p xmlns:a="http://schemas.openxmlformats.org/drawingml/2006/main">
          <a:endParaRPr lang="cs-CZ" sz="1100" baseline="0"/>
        </a:p>
        <a:p xmlns:a="http://schemas.openxmlformats.org/drawingml/2006/main">
          <a:endParaRPr lang="cs-CZ" sz="900" baseline="0"/>
        </a:p>
        <a:p xmlns:a="http://schemas.openxmlformats.org/drawingml/2006/main">
          <a:r>
            <a:rPr lang="cs-CZ" sz="1100" baseline="0">
              <a:effectLst/>
              <a:latin typeface="+mn-lt"/>
              <a:ea typeface="+mn-ea"/>
              <a:cs typeface="+mn-cs"/>
            </a:rPr>
            <a:t>     3.3     (2,0, 8,6)</a:t>
          </a:r>
        </a:p>
        <a:p xmlns:a="http://schemas.openxmlformats.org/drawingml/2006/main">
          <a:endParaRPr lang="cs-CZ" sz="300" baseline="0"/>
        </a:p>
        <a:p xmlns:a="http://schemas.openxmlformats.org/drawingml/2006/main">
          <a:r>
            <a:rPr lang="cs-CZ" sz="1100"/>
            <a:t>   </a:t>
          </a:r>
        </a:p>
        <a:p xmlns:a="http://schemas.openxmlformats.org/drawingml/2006/main">
          <a:endParaRPr lang="cs-CZ" sz="600"/>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1100" baseline="0">
              <a:effectLst/>
              <a:latin typeface="+mn-lt"/>
              <a:ea typeface="+mn-ea"/>
              <a:cs typeface="+mn-cs"/>
            </a:rPr>
            <a:t>     3.5     (3,0, 4.2)</a:t>
          </a:r>
          <a:endParaRPr lang="cs-CZ">
            <a:effectLst/>
          </a:endParaRPr>
        </a:p>
        <a:p xmlns:a="http://schemas.openxmlformats.org/drawingml/2006/main">
          <a:endParaRPr lang="cs-CZ" sz="1100"/>
        </a:p>
      </cdr:txBody>
    </cdr:sp>
  </cdr:relSizeAnchor>
  <cdr:relSizeAnchor xmlns:cdr="http://schemas.openxmlformats.org/drawingml/2006/chartDrawing">
    <cdr:from>
      <cdr:x>0.40214</cdr:x>
      <cdr:y>0.00983</cdr:y>
    </cdr:from>
    <cdr:to>
      <cdr:x>0.98158</cdr:x>
      <cdr:y>0.05064</cdr:y>
    </cdr:to>
    <cdr:sp macro="" textlink="">
      <cdr:nvSpPr>
        <cdr:cNvPr id="14" name="TextovéPole 5">
          <a:extLst xmlns:a="http://schemas.openxmlformats.org/drawingml/2006/main">
            <a:ext uri="{FF2B5EF4-FFF2-40B4-BE49-F238E27FC236}">
              <a16:creationId xmlns:a16="http://schemas.microsoft.com/office/drawing/2014/main" id="{97C16189-37A0-4258-BA40-94CA329A13F0}"/>
            </a:ext>
          </a:extLst>
        </cdr:cNvPr>
        <cdr:cNvSpPr txBox="1"/>
      </cdr:nvSpPr>
      <cdr:spPr>
        <a:xfrm xmlns:a="http://schemas.openxmlformats.org/drawingml/2006/main">
          <a:off x="4765675" y="74612"/>
          <a:ext cx="6866732" cy="309561"/>
        </a:xfrm>
        <a:prstGeom xmlns:a="http://schemas.openxmlformats.org/drawingml/2006/main" prst="rect">
          <a:avLst/>
        </a:prstGeom>
        <a:solidFill xmlns:a="http://schemas.openxmlformats.org/drawingml/2006/main">
          <a:schemeClr val="lt1"/>
        </a:solidFill>
        <a:ln xmlns:a="http://schemas.openxmlformats.org/drawingml/2006/main" w="19050" cmpd="sng">
          <a:solidFill>
            <a:schemeClr val="tx1"/>
          </a:solidFill>
          <a:prstDash val="soli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cs-CZ" sz="1400" b="1"/>
            <a:t>přípravky 2. linie (tj. po konven., apremilastu a adalimumabu)</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81553</xdr:colOff>
      <xdr:row>0</xdr:row>
      <xdr:rowOff>91234</xdr:rowOff>
    </xdr:from>
    <xdr:to>
      <xdr:col>20</xdr:col>
      <xdr:colOff>575702</xdr:colOff>
      <xdr:row>19</xdr:row>
      <xdr:rowOff>163187</xdr:rowOff>
    </xdr:to>
    <xdr:graphicFrame macro="">
      <xdr:nvGraphicFramePr>
        <xdr:cNvPr id="5" name="Graf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560917</xdr:colOff>
      <xdr:row>17</xdr:row>
      <xdr:rowOff>285751</xdr:rowOff>
    </xdr:from>
    <xdr:to>
      <xdr:col>9</xdr:col>
      <xdr:colOff>243417</xdr:colOff>
      <xdr:row>17</xdr:row>
      <xdr:rowOff>370416</xdr:rowOff>
    </xdr:to>
    <xdr:cxnSp macro="">
      <xdr:nvCxnSpPr>
        <xdr:cNvPr id="7" name="Přímá spojnice 6">
          <a:extLst>
            <a:ext uri="{FF2B5EF4-FFF2-40B4-BE49-F238E27FC236}">
              <a16:creationId xmlns:a16="http://schemas.microsoft.com/office/drawing/2014/main" id="{00000000-0008-0000-0700-000007000000}"/>
            </a:ext>
          </a:extLst>
        </xdr:cNvPr>
        <xdr:cNvCxnSpPr/>
      </xdr:nvCxnSpPr>
      <xdr:spPr>
        <a:xfrm flipV="1">
          <a:off x="5958417" y="6339418"/>
          <a:ext cx="2137833" cy="84665"/>
        </a:xfrm>
        <a:prstGeom prst="lin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14</xdr:row>
      <xdr:rowOff>313765</xdr:rowOff>
    </xdr:from>
    <xdr:to>
      <xdr:col>7</xdr:col>
      <xdr:colOff>38100</xdr:colOff>
      <xdr:row>15</xdr:row>
      <xdr:rowOff>247650</xdr:rowOff>
    </xdr:to>
    <xdr:cxnSp macro="">
      <xdr:nvCxnSpPr>
        <xdr:cNvPr id="8" name="Přímá spojnice se šipkou 7">
          <a:extLst>
            <a:ext uri="{FF2B5EF4-FFF2-40B4-BE49-F238E27FC236}">
              <a16:creationId xmlns:a16="http://schemas.microsoft.com/office/drawing/2014/main" id="{00000000-0008-0000-0700-000008000000}"/>
            </a:ext>
          </a:extLst>
        </xdr:cNvPr>
        <xdr:cNvCxnSpPr/>
      </xdr:nvCxnSpPr>
      <xdr:spPr>
        <a:xfrm>
          <a:off x="6381750" y="5323915"/>
          <a:ext cx="266700" cy="305360"/>
        </a:xfrm>
        <a:prstGeom prst="straightConnector1">
          <a:avLst/>
        </a:prstGeom>
        <a:ln>
          <a:tailEnd type="arrow"/>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11</xdr:col>
      <xdr:colOff>400050</xdr:colOff>
      <xdr:row>16</xdr:row>
      <xdr:rowOff>190500</xdr:rowOff>
    </xdr:from>
    <xdr:to>
      <xdr:col>14</xdr:col>
      <xdr:colOff>145678</xdr:colOff>
      <xdr:row>17</xdr:row>
      <xdr:rowOff>28575</xdr:rowOff>
    </xdr:to>
    <xdr:cxnSp macro="">
      <xdr:nvCxnSpPr>
        <xdr:cNvPr id="13" name="Přímá spojnice se šipkou 12">
          <a:extLst>
            <a:ext uri="{FF2B5EF4-FFF2-40B4-BE49-F238E27FC236}">
              <a16:creationId xmlns:a16="http://schemas.microsoft.com/office/drawing/2014/main" id="{00000000-0008-0000-0700-00000D000000}"/>
            </a:ext>
          </a:extLst>
        </xdr:cNvPr>
        <xdr:cNvCxnSpPr/>
      </xdr:nvCxnSpPr>
      <xdr:spPr>
        <a:xfrm flipH="1">
          <a:off x="9448800" y="5915025"/>
          <a:ext cx="1574428" cy="190500"/>
        </a:xfrm>
        <a:prstGeom prst="straightConnector1">
          <a:avLst/>
        </a:prstGeom>
        <a:ln>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228600</xdr:colOff>
      <xdr:row>15</xdr:row>
      <xdr:rowOff>171450</xdr:rowOff>
    </xdr:from>
    <xdr:to>
      <xdr:col>13</xdr:col>
      <xdr:colOff>550335</xdr:colOff>
      <xdr:row>15</xdr:row>
      <xdr:rowOff>190500</xdr:rowOff>
    </xdr:to>
    <xdr:cxnSp macro="">
      <xdr:nvCxnSpPr>
        <xdr:cNvPr id="15" name="Přímá spojnice se šipkou 14">
          <a:extLst>
            <a:ext uri="{FF2B5EF4-FFF2-40B4-BE49-F238E27FC236}">
              <a16:creationId xmlns:a16="http://schemas.microsoft.com/office/drawing/2014/main" id="{00000000-0008-0000-0700-00000F000000}"/>
            </a:ext>
          </a:extLst>
        </xdr:cNvPr>
        <xdr:cNvCxnSpPr/>
      </xdr:nvCxnSpPr>
      <xdr:spPr>
        <a:xfrm flipH="1" flipV="1">
          <a:off x="9886950" y="5553075"/>
          <a:ext cx="93133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347383</xdr:colOff>
      <xdr:row>5</xdr:row>
      <xdr:rowOff>127000</xdr:rowOff>
    </xdr:from>
    <xdr:to>
      <xdr:col>17</xdr:col>
      <xdr:colOff>263072</xdr:colOff>
      <xdr:row>16</xdr:row>
      <xdr:rowOff>313766</xdr:rowOff>
    </xdr:to>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9618383" y="2013857"/>
          <a:ext cx="3562403" cy="4042123"/>
        </a:xfrm>
        <a:prstGeom prst="line">
          <a:avLst/>
        </a:prstGeom>
        <a:ln w="25400">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257175</xdr:colOff>
      <xdr:row>1</xdr:row>
      <xdr:rowOff>36176</xdr:rowOff>
    </xdr:from>
    <xdr:to>
      <xdr:col>16</xdr:col>
      <xdr:colOff>271621</xdr:colOff>
      <xdr:row>17</xdr:row>
      <xdr:rowOff>414057</xdr:rowOff>
    </xdr:to>
    <xdr:cxnSp macro="">
      <xdr:nvCxnSpPr>
        <xdr:cNvPr id="29" name="Přímá spojnice 28">
          <a:extLst>
            <a:ext uri="{FF2B5EF4-FFF2-40B4-BE49-F238E27FC236}">
              <a16:creationId xmlns:a16="http://schemas.microsoft.com/office/drawing/2014/main" id="{00000000-0008-0000-0700-00001D000000}"/>
            </a:ext>
          </a:extLst>
        </xdr:cNvPr>
        <xdr:cNvCxnSpPr/>
      </xdr:nvCxnSpPr>
      <xdr:spPr>
        <a:xfrm flipV="1">
          <a:off x="12353925" y="398126"/>
          <a:ext cx="14446" cy="6092881"/>
        </a:xfrm>
        <a:prstGeom prst="line">
          <a:avLst/>
        </a:prstGeom>
        <a:ln>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215711</xdr:colOff>
      <xdr:row>2</xdr:row>
      <xdr:rowOff>177055</xdr:rowOff>
    </xdr:from>
    <xdr:to>
      <xdr:col>4</xdr:col>
      <xdr:colOff>520511</xdr:colOff>
      <xdr:row>17</xdr:row>
      <xdr:rowOff>131671</xdr:rowOff>
    </xdr:to>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5135093" y="1264026"/>
          <a:ext cx="304800" cy="52662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144000" rtlCol="0" anchor="t"/>
        <a:lstStyle/>
        <a:p>
          <a:r>
            <a:rPr lang="cs-CZ" sz="1100"/>
            <a:t>         cena intervence</a:t>
          </a:r>
          <a:r>
            <a:rPr lang="cs-CZ" sz="1000" baseline="30000"/>
            <a:t>22</a:t>
          </a:r>
          <a:r>
            <a:rPr lang="cs-CZ" sz="1100"/>
            <a:t> za 16 týdnů resp. 1 rok udržovací léčby</a:t>
          </a:r>
        </a:p>
      </xdr:txBody>
    </xdr:sp>
    <xdr:clientData/>
  </xdr:twoCellAnchor>
  <xdr:twoCellAnchor>
    <xdr:from>
      <xdr:col>6</xdr:col>
      <xdr:colOff>173688</xdr:colOff>
      <xdr:row>18</xdr:row>
      <xdr:rowOff>130815</xdr:rowOff>
    </xdr:from>
    <xdr:to>
      <xdr:col>20</xdr:col>
      <xdr:colOff>482474</xdr:colOff>
      <xdr:row>19</xdr:row>
      <xdr:rowOff>2493</xdr:rowOff>
    </xdr:to>
    <xdr:sp macro="" textlink="">
      <xdr:nvSpPr>
        <xdr:cNvPr id="6" name="TextovéPole 5">
          <a:extLst>
            <a:ext uri="{FF2B5EF4-FFF2-40B4-BE49-F238E27FC236}">
              <a16:creationId xmlns:a16="http://schemas.microsoft.com/office/drawing/2014/main" id="{00000000-0008-0000-0700-000006000000}"/>
            </a:ext>
          </a:extLst>
        </xdr:cNvPr>
        <xdr:cNvSpPr txBox="1"/>
      </xdr:nvSpPr>
      <xdr:spPr>
        <a:xfrm>
          <a:off x="6185021" y="6957065"/>
          <a:ext cx="8902453" cy="2632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000" b="0" i="0" baseline="0">
              <a:solidFill>
                <a:schemeClr val="dk1"/>
              </a:solidFill>
              <a:effectLst/>
              <a:latin typeface="+mn-lt"/>
              <a:ea typeface="+mn-ea"/>
              <a:cs typeface="+mn-cs"/>
            </a:rPr>
            <a:t>                                                          četnost  dosažení PASI 100 intervence vůči placebu v % pacientů </a:t>
          </a:r>
          <a:endParaRPr lang="cs-CZ" sz="1000" b="0"/>
        </a:p>
      </xdr:txBody>
    </xdr:sp>
    <xdr:clientData/>
  </xdr:twoCellAnchor>
  <xdr:twoCellAnchor>
    <xdr:from>
      <xdr:col>9</xdr:col>
      <xdr:colOff>465668</xdr:colOff>
      <xdr:row>6</xdr:row>
      <xdr:rowOff>145144</xdr:rowOff>
    </xdr:from>
    <xdr:to>
      <xdr:col>11</xdr:col>
      <xdr:colOff>433916</xdr:colOff>
      <xdr:row>8</xdr:row>
      <xdr:rowOff>24192</xdr:rowOff>
    </xdr:to>
    <xdr:sp macro="" textlink="">
      <xdr:nvSpPr>
        <xdr:cNvPr id="25" name="TextovéPole 104">
          <a:extLst>
            <a:ext uri="{FF2B5EF4-FFF2-40B4-BE49-F238E27FC236}">
              <a16:creationId xmlns:a16="http://schemas.microsoft.com/office/drawing/2014/main" id="{00000000-0008-0000-0700-000019000000}"/>
            </a:ext>
          </a:extLst>
        </xdr:cNvPr>
        <xdr:cNvSpPr txBox="1"/>
      </xdr:nvSpPr>
      <xdr:spPr>
        <a:xfrm>
          <a:off x="8521097" y="2385787"/>
          <a:ext cx="1183819" cy="58661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cs-CZ" sz="700" b="1"/>
            <a:t>REMSIMA 120mg inj. 2x1ml  (udrž. s.c. bez ohledu na hmot. !!) - inflix. (biobetter) - ROK UDRŽ. LÉČBY</a:t>
          </a:r>
        </a:p>
      </xdr:txBody>
    </xdr:sp>
    <xdr:clientData/>
  </xdr:twoCellAnchor>
  <xdr:twoCellAnchor>
    <xdr:from>
      <xdr:col>10</xdr:col>
      <xdr:colOff>449793</xdr:colOff>
      <xdr:row>8</xdr:row>
      <xdr:rowOff>24192</xdr:rowOff>
    </xdr:from>
    <xdr:to>
      <xdr:col>12</xdr:col>
      <xdr:colOff>90714</xdr:colOff>
      <xdr:row>10</xdr:row>
      <xdr:rowOff>217714</xdr:rowOff>
    </xdr:to>
    <xdr:cxnSp macro="">
      <xdr:nvCxnSpPr>
        <xdr:cNvPr id="26" name="Přímá spojnice se šipkou 25">
          <a:extLst>
            <a:ext uri="{FF2B5EF4-FFF2-40B4-BE49-F238E27FC236}">
              <a16:creationId xmlns:a16="http://schemas.microsoft.com/office/drawing/2014/main" id="{00000000-0008-0000-0700-00001A000000}"/>
            </a:ext>
          </a:extLst>
        </xdr:cNvPr>
        <xdr:cNvCxnSpPr>
          <a:stCxn id="25" idx="2"/>
        </xdr:cNvCxnSpPr>
      </xdr:nvCxnSpPr>
      <xdr:spPr>
        <a:xfrm>
          <a:off x="9113007" y="2972406"/>
          <a:ext cx="856493" cy="8648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281213</xdr:colOff>
      <xdr:row>9</xdr:row>
      <xdr:rowOff>10584</xdr:rowOff>
    </xdr:from>
    <xdr:to>
      <xdr:col>11</xdr:col>
      <xdr:colOff>303017</xdr:colOff>
      <xdr:row>10</xdr:row>
      <xdr:rowOff>163842</xdr:rowOff>
    </xdr:to>
    <xdr:sp macro="" textlink="">
      <xdr:nvSpPr>
        <xdr:cNvPr id="28" name="TextovéPole 104">
          <a:extLst>
            <a:ext uri="{FF2B5EF4-FFF2-40B4-BE49-F238E27FC236}">
              <a16:creationId xmlns:a16="http://schemas.microsoft.com/office/drawing/2014/main" id="{00000000-0008-0000-0700-00001C000000}"/>
            </a:ext>
          </a:extLst>
        </xdr:cNvPr>
        <xdr:cNvSpPr txBox="1"/>
      </xdr:nvSpPr>
      <xdr:spPr>
        <a:xfrm>
          <a:off x="8336642" y="3303513"/>
          <a:ext cx="1237375" cy="4798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cs-CZ" sz="700" b="1"/>
            <a:t>HUMIRA 40mg inj 2x0,4ml  (při dávce 40mg co 2 týdny) - adalimumab (iTNF)- ROK UDRŽOVACÍ LÉČBY</a:t>
          </a:r>
        </a:p>
      </xdr:txBody>
    </xdr:sp>
    <xdr:clientData/>
  </xdr:twoCellAnchor>
  <xdr:twoCellAnchor>
    <xdr:from>
      <xdr:col>7</xdr:col>
      <xdr:colOff>555625</xdr:colOff>
      <xdr:row>15</xdr:row>
      <xdr:rowOff>132291</xdr:rowOff>
    </xdr:from>
    <xdr:to>
      <xdr:col>9</xdr:col>
      <xdr:colOff>354543</xdr:colOff>
      <xdr:row>17</xdr:row>
      <xdr:rowOff>37041</xdr:rowOff>
    </xdr:to>
    <xdr:sp macro="" textlink="">
      <xdr:nvSpPr>
        <xdr:cNvPr id="30" name="TextovéPole 104">
          <a:extLst>
            <a:ext uri="{FF2B5EF4-FFF2-40B4-BE49-F238E27FC236}">
              <a16:creationId xmlns:a16="http://schemas.microsoft.com/office/drawing/2014/main" id="{00000000-0008-0000-0700-00001E000000}"/>
            </a:ext>
          </a:extLst>
        </xdr:cNvPr>
        <xdr:cNvSpPr txBox="1"/>
      </xdr:nvSpPr>
      <xdr:spPr>
        <a:xfrm>
          <a:off x="7389813" y="5490104"/>
          <a:ext cx="1021293" cy="5953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cs-CZ" sz="700" b="1"/>
            <a:t>HUMIRA 40mg inj 2x0,4ml  (při dávce 40mg co 2 týdny) - adalimumab (iTNF)- PRVNÍCH</a:t>
          </a:r>
          <a:r>
            <a:rPr lang="cs-CZ" sz="700" b="1" baseline="0"/>
            <a:t> 16 TÝDNŮ</a:t>
          </a:r>
          <a:endParaRPr lang="cs-CZ" sz="700" b="1"/>
        </a:p>
      </xdr:txBody>
    </xdr:sp>
    <xdr:clientData/>
  </xdr:twoCellAnchor>
  <xdr:twoCellAnchor>
    <xdr:from>
      <xdr:col>9</xdr:col>
      <xdr:colOff>52917</xdr:colOff>
      <xdr:row>15</xdr:row>
      <xdr:rowOff>158750</xdr:rowOff>
    </xdr:from>
    <xdr:to>
      <xdr:col>9</xdr:col>
      <xdr:colOff>269875</xdr:colOff>
      <xdr:row>16</xdr:row>
      <xdr:rowOff>31751</xdr:rowOff>
    </xdr:to>
    <xdr:cxnSp macro="">
      <xdr:nvCxnSpPr>
        <xdr:cNvPr id="31" name="Přímá spojnice se šipkou 30">
          <a:extLst>
            <a:ext uri="{FF2B5EF4-FFF2-40B4-BE49-F238E27FC236}">
              <a16:creationId xmlns:a16="http://schemas.microsoft.com/office/drawing/2014/main" id="{00000000-0008-0000-0700-00001F000000}"/>
            </a:ext>
          </a:extLst>
        </xdr:cNvPr>
        <xdr:cNvCxnSpPr/>
      </xdr:nvCxnSpPr>
      <xdr:spPr>
        <a:xfrm flipV="1">
          <a:off x="8109480" y="5516563"/>
          <a:ext cx="216958" cy="214313"/>
        </a:xfrm>
        <a:prstGeom prst="straightConnector1">
          <a:avLst/>
        </a:prstGeom>
        <a:ln>
          <a:tailEnd type="arrow"/>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10</xdr:col>
      <xdr:colOff>465666</xdr:colOff>
      <xdr:row>13</xdr:row>
      <xdr:rowOff>51405</xdr:rowOff>
    </xdr:from>
    <xdr:to>
      <xdr:col>12</xdr:col>
      <xdr:colOff>211666</xdr:colOff>
      <xdr:row>14</xdr:row>
      <xdr:rowOff>349250</xdr:rowOff>
    </xdr:to>
    <xdr:sp macro="" textlink="">
      <xdr:nvSpPr>
        <xdr:cNvPr id="32" name="TextovéPole 104">
          <a:extLst>
            <a:ext uri="{FF2B5EF4-FFF2-40B4-BE49-F238E27FC236}">
              <a16:creationId xmlns:a16="http://schemas.microsoft.com/office/drawing/2014/main" id="{00000000-0008-0000-0700-000020000000}"/>
            </a:ext>
          </a:extLst>
        </xdr:cNvPr>
        <xdr:cNvSpPr txBox="1"/>
      </xdr:nvSpPr>
      <xdr:spPr>
        <a:xfrm>
          <a:off x="9128880" y="4705048"/>
          <a:ext cx="961572" cy="66977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cs-CZ" sz="700" b="1"/>
            <a:t>NFLECTRA 100mg inf. (ceny pro 61-80kg pac. + cena za aplik.) - inflix. (iTNF) - ROK UDRŽOVACÍ LÉČBY</a:t>
          </a:r>
        </a:p>
      </xdr:txBody>
    </xdr:sp>
    <xdr:clientData/>
  </xdr:twoCellAnchor>
  <xdr:twoCellAnchor>
    <xdr:from>
      <xdr:col>11</xdr:col>
      <xdr:colOff>480786</xdr:colOff>
      <xdr:row>13</xdr:row>
      <xdr:rowOff>308428</xdr:rowOff>
    </xdr:from>
    <xdr:to>
      <xdr:col>12</xdr:col>
      <xdr:colOff>81643</xdr:colOff>
      <xdr:row>13</xdr:row>
      <xdr:rowOff>317500</xdr:rowOff>
    </xdr:to>
    <xdr:cxnSp macro="">
      <xdr:nvCxnSpPr>
        <xdr:cNvPr id="35" name="Přímá spojnice se šipkou 34">
          <a:extLst>
            <a:ext uri="{FF2B5EF4-FFF2-40B4-BE49-F238E27FC236}">
              <a16:creationId xmlns:a16="http://schemas.microsoft.com/office/drawing/2014/main" id="{00000000-0008-0000-0700-000023000000}"/>
            </a:ext>
          </a:extLst>
        </xdr:cNvPr>
        <xdr:cNvCxnSpPr/>
      </xdr:nvCxnSpPr>
      <xdr:spPr>
        <a:xfrm flipV="1">
          <a:off x="9751786" y="4962071"/>
          <a:ext cx="208643" cy="90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c:userShapes xmlns:c="http://schemas.openxmlformats.org/drawingml/2006/chart">
  <cdr:relSizeAnchor xmlns:cdr="http://schemas.openxmlformats.org/drawingml/2006/chartDrawing">
    <cdr:from>
      <cdr:x>0.71256</cdr:x>
      <cdr:y>0.54062</cdr:y>
    </cdr:from>
    <cdr:to>
      <cdr:x>0.92061</cdr:x>
      <cdr:y>0.5881</cdr:y>
    </cdr:to>
    <cdr:sp macro="" textlink="">
      <cdr:nvSpPr>
        <cdr:cNvPr id="21" name="TextovéPole 20"/>
        <cdr:cNvSpPr txBox="1"/>
      </cdr:nvSpPr>
      <cdr:spPr>
        <a:xfrm xmlns:a="http://schemas.openxmlformats.org/drawingml/2006/main">
          <a:off x="7251058" y="3952452"/>
          <a:ext cx="2117124" cy="347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chemeClr val="accent4">
                  <a:lumMod val="75000"/>
                </a:schemeClr>
              </a:solidFill>
            </a:rPr>
            <a:t>SKYRIZI 75mg inj. - risankizumab (antiIL-23) - PRVNÍCH 16 TÝDNŮ</a:t>
          </a:r>
        </a:p>
      </cdr:txBody>
    </cdr:sp>
  </cdr:relSizeAnchor>
  <cdr:relSizeAnchor xmlns:cdr="http://schemas.openxmlformats.org/drawingml/2006/chartDrawing">
    <cdr:from>
      <cdr:x>0.1095</cdr:x>
      <cdr:y>0.63281</cdr:y>
    </cdr:from>
    <cdr:to>
      <cdr:x>0.17699</cdr:x>
      <cdr:y>0.79214</cdr:y>
    </cdr:to>
    <cdr:sp macro="" textlink="">
      <cdr:nvSpPr>
        <cdr:cNvPr id="27" name="TextovéPole 26"/>
        <cdr:cNvSpPr txBox="1"/>
      </cdr:nvSpPr>
      <cdr:spPr>
        <a:xfrm xmlns:a="http://schemas.openxmlformats.org/drawingml/2006/main">
          <a:off x="1114276" y="4626442"/>
          <a:ext cx="686760" cy="11648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ENBREL 50mg inj. (při dávce 100mg týdně do 12. týdne) - etanercept (iTNF) - PRVNÍCH 12 TÝDNŮ</a:t>
          </a:r>
        </a:p>
      </cdr:txBody>
    </cdr:sp>
  </cdr:relSizeAnchor>
  <cdr:relSizeAnchor xmlns:cdr="http://schemas.openxmlformats.org/drawingml/2006/chartDrawing">
    <cdr:from>
      <cdr:x>0.11185</cdr:x>
      <cdr:y>0.37811</cdr:y>
    </cdr:from>
    <cdr:to>
      <cdr:x>0.25921</cdr:x>
      <cdr:y>0.47002</cdr:y>
    </cdr:to>
    <cdr:sp macro="" textlink="">
      <cdr:nvSpPr>
        <cdr:cNvPr id="36" name="TextovéPole 35"/>
        <cdr:cNvSpPr txBox="1"/>
      </cdr:nvSpPr>
      <cdr:spPr>
        <a:xfrm xmlns:a="http://schemas.openxmlformats.org/drawingml/2006/main">
          <a:off x="1116543" y="2612496"/>
          <a:ext cx="1471083"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STELARA 45mg inj. (jen do 100kg) - ustekinumab (antiIL-12 a IL-23) - PRVNÍCH 16 TÝDNŮ</a:t>
          </a:r>
        </a:p>
      </cdr:txBody>
    </cdr:sp>
  </cdr:relSizeAnchor>
  <cdr:relSizeAnchor xmlns:cdr="http://schemas.openxmlformats.org/drawingml/2006/chartDrawing">
    <cdr:from>
      <cdr:x>0.65137</cdr:x>
      <cdr:y>0.21449</cdr:y>
    </cdr:from>
    <cdr:to>
      <cdr:x>0.79872</cdr:x>
      <cdr:y>0.28764</cdr:y>
    </cdr:to>
    <cdr:sp macro="" textlink="">
      <cdr:nvSpPr>
        <cdr:cNvPr id="120" name="TextovéPole 119"/>
        <cdr:cNvSpPr txBox="1"/>
      </cdr:nvSpPr>
      <cdr:spPr>
        <a:xfrm xmlns:a="http://schemas.openxmlformats.org/drawingml/2006/main">
          <a:off x="6656190" y="1501977"/>
          <a:ext cx="1505729" cy="5122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rgbClr val="0070C0"/>
              </a:solidFill>
            </a:rPr>
            <a:t>KYNTHEUM 210mg inj. - brodalumab (antiIL-17) - ROK UDRŽOVACÍ LÉČBY</a:t>
          </a:r>
        </a:p>
      </cdr:txBody>
    </cdr:sp>
  </cdr:relSizeAnchor>
  <cdr:relSizeAnchor xmlns:cdr="http://schemas.openxmlformats.org/drawingml/2006/chartDrawing">
    <cdr:from>
      <cdr:x>0.83845</cdr:x>
      <cdr:y>0.11332</cdr:y>
    </cdr:from>
    <cdr:to>
      <cdr:x>1</cdr:x>
      <cdr:y>0.19441</cdr:y>
    </cdr:to>
    <cdr:sp macro="" textlink="">
      <cdr:nvSpPr>
        <cdr:cNvPr id="123" name="TextovéPole 122"/>
        <cdr:cNvSpPr txBox="1"/>
      </cdr:nvSpPr>
      <cdr:spPr>
        <a:xfrm xmlns:a="http://schemas.openxmlformats.org/drawingml/2006/main">
          <a:off x="8423440" y="817793"/>
          <a:ext cx="1622979" cy="585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0.02607</cdr:x>
      <cdr:y>0.01039</cdr:y>
    </cdr:from>
    <cdr:to>
      <cdr:x>0.9825</cdr:x>
      <cdr:y>0.07141</cdr:y>
    </cdr:to>
    <cdr:sp macro="" textlink="">
      <cdr:nvSpPr>
        <cdr:cNvPr id="9" name="TextovéPole 8"/>
        <cdr:cNvSpPr txBox="1"/>
      </cdr:nvSpPr>
      <cdr:spPr>
        <a:xfrm xmlns:a="http://schemas.openxmlformats.org/drawingml/2006/main">
          <a:off x="262467" y="74613"/>
          <a:ext cx="962977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0.11185</cdr:x>
      <cdr:y>0.37811</cdr:y>
    </cdr:from>
    <cdr:to>
      <cdr:x>0.25921</cdr:x>
      <cdr:y>0.47002</cdr:y>
    </cdr:to>
    <cdr:sp macro="" textlink="">
      <cdr:nvSpPr>
        <cdr:cNvPr id="50" name="TextovéPole 35"/>
        <cdr:cNvSpPr txBox="1"/>
      </cdr:nvSpPr>
      <cdr:spPr>
        <a:xfrm xmlns:a="http://schemas.openxmlformats.org/drawingml/2006/main">
          <a:off x="1116543" y="2612496"/>
          <a:ext cx="1471083"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STELARA 45mg inj. (jen do 100kg) - ustekinumab (antiIL-12 a IL-23) - PRVNÍCH 16 TÝDNŮ</a:t>
          </a:r>
        </a:p>
      </cdr:txBody>
    </cdr:sp>
  </cdr:relSizeAnchor>
  <cdr:relSizeAnchor xmlns:cdr="http://schemas.openxmlformats.org/drawingml/2006/chartDrawing">
    <cdr:from>
      <cdr:x>0.58775</cdr:x>
      <cdr:y>0.12514</cdr:y>
    </cdr:from>
    <cdr:to>
      <cdr:x>0.67474</cdr:x>
      <cdr:y>0.21413</cdr:y>
    </cdr:to>
    <cdr:sp macro="" textlink="">
      <cdr:nvSpPr>
        <cdr:cNvPr id="121" name="TextovéPole 116"/>
        <cdr:cNvSpPr txBox="1"/>
      </cdr:nvSpPr>
      <cdr:spPr>
        <a:xfrm xmlns:a="http://schemas.openxmlformats.org/drawingml/2006/main">
          <a:off x="6023102" y="871156"/>
          <a:ext cx="891451" cy="619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TALTZ 80mg inj. - ixekizumab (antiIL-17) - ROK UDRŽOVACÍ LÉČBY</a:t>
          </a:r>
        </a:p>
      </cdr:txBody>
    </cdr:sp>
  </cdr:relSizeAnchor>
  <cdr:relSizeAnchor xmlns:cdr="http://schemas.openxmlformats.org/drawingml/2006/chartDrawing">
    <cdr:from>
      <cdr:x>0.83845</cdr:x>
      <cdr:y>0.11332</cdr:y>
    </cdr:from>
    <cdr:to>
      <cdr:x>1</cdr:x>
      <cdr:y>0.19441</cdr:y>
    </cdr:to>
    <cdr:sp macro="" textlink="">
      <cdr:nvSpPr>
        <cdr:cNvPr id="129" name="TextovéPole 122"/>
        <cdr:cNvSpPr txBox="1"/>
      </cdr:nvSpPr>
      <cdr:spPr>
        <a:xfrm xmlns:a="http://schemas.openxmlformats.org/drawingml/2006/main">
          <a:off x="8423440" y="817793"/>
          <a:ext cx="1622979" cy="585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0.51862</cdr:x>
      <cdr:y>0.28622</cdr:y>
    </cdr:from>
    <cdr:to>
      <cdr:x>0.66598</cdr:x>
      <cdr:y>0.34531</cdr:y>
    </cdr:to>
    <cdr:sp macro="" textlink="">
      <cdr:nvSpPr>
        <cdr:cNvPr id="143" name="TextovéPole 17"/>
        <cdr:cNvSpPr txBox="1"/>
      </cdr:nvSpPr>
      <cdr:spPr>
        <a:xfrm xmlns:a="http://schemas.openxmlformats.org/drawingml/2006/main">
          <a:off x="5299614" y="2004266"/>
          <a:ext cx="1505831" cy="413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TALTZ 80mg inj. - ixekizumab (antiIL-17) - PRVNÍCH 16 TÝDNŮ</a:t>
          </a:r>
        </a:p>
      </cdr:txBody>
    </cdr:sp>
  </cdr:relSizeAnchor>
  <cdr:relSizeAnchor xmlns:cdr="http://schemas.openxmlformats.org/drawingml/2006/chartDrawing">
    <cdr:from>
      <cdr:x>0.81899</cdr:x>
      <cdr:y>0.42107</cdr:y>
    </cdr:from>
    <cdr:to>
      <cdr:x>0.97206</cdr:x>
      <cdr:y>0.49026</cdr:y>
    </cdr:to>
    <cdr:sp macro="" textlink="">
      <cdr:nvSpPr>
        <cdr:cNvPr id="145" name="TextovéPole 20"/>
        <cdr:cNvSpPr txBox="1"/>
      </cdr:nvSpPr>
      <cdr:spPr>
        <a:xfrm xmlns:a="http://schemas.openxmlformats.org/drawingml/2006/main">
          <a:off x="8334064" y="3078392"/>
          <a:ext cx="1557617" cy="505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chemeClr val="accent4">
                  <a:lumMod val="75000"/>
                </a:schemeClr>
              </a:solidFill>
            </a:rPr>
            <a:t>BIMZELX 160mg inj. 2x1ml - bimekizumab (antiIL-17) - PRVNÍCH 16 TÝDNŮ</a:t>
          </a:r>
        </a:p>
      </cdr:txBody>
    </cdr:sp>
  </cdr:relSizeAnchor>
  <cdr:relSizeAnchor xmlns:cdr="http://schemas.openxmlformats.org/drawingml/2006/chartDrawing">
    <cdr:from>
      <cdr:x>0.66616</cdr:x>
      <cdr:y>0.43689</cdr:y>
    </cdr:from>
    <cdr:to>
      <cdr:x>0.75292</cdr:x>
      <cdr:y>0.54238</cdr:y>
    </cdr:to>
    <cdr:cxnSp macro="">
      <cdr:nvCxnSpPr>
        <cdr:cNvPr id="146" name="Přímá spojnice se šipkou 22">
          <a:extLst xmlns:a="http://schemas.openxmlformats.org/drawingml/2006/main">
            <a:ext uri="{FF2B5EF4-FFF2-40B4-BE49-F238E27FC236}">
              <a16:creationId xmlns:a16="http://schemas.microsoft.com/office/drawing/2014/main" id="{03D0A105-EA61-40C4-956F-4A2E02EB211C}"/>
            </a:ext>
          </a:extLst>
        </cdr:cNvPr>
        <cdr:cNvCxnSpPr/>
      </cdr:nvCxnSpPr>
      <cdr:spPr>
        <a:xfrm xmlns:a="http://schemas.openxmlformats.org/drawingml/2006/main" flipH="1" flipV="1">
          <a:off x="6778912" y="3194096"/>
          <a:ext cx="882800" cy="77119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0.24401</cdr:x>
      <cdr:y>0.71364</cdr:y>
    </cdr:from>
    <cdr:to>
      <cdr:x>0.26729</cdr:x>
      <cdr:y>0.7539</cdr:y>
    </cdr:to>
    <cdr:cxnSp macro="">
      <cdr:nvCxnSpPr>
        <cdr:cNvPr id="151" name="Přímá spojnice se šipkou 29">
          <a:extLst xmlns:a="http://schemas.openxmlformats.org/drawingml/2006/main">
            <a:ext uri="{FF2B5EF4-FFF2-40B4-BE49-F238E27FC236}">
              <a16:creationId xmlns:a16="http://schemas.microsoft.com/office/drawing/2014/main" id="{3F7623D6-0609-40A4-9DDB-73155D90B3A1}"/>
            </a:ext>
          </a:extLst>
        </cdr:cNvPr>
        <cdr:cNvCxnSpPr/>
      </cdr:nvCxnSpPr>
      <cdr:spPr>
        <a:xfrm xmlns:a="http://schemas.openxmlformats.org/drawingml/2006/main">
          <a:off x="2483054" y="5217388"/>
          <a:ext cx="236864" cy="29431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0.11185</cdr:x>
      <cdr:y>0.37811</cdr:y>
    </cdr:from>
    <cdr:to>
      <cdr:x>0.25921</cdr:x>
      <cdr:y>0.47002</cdr:y>
    </cdr:to>
    <cdr:sp macro="" textlink="">
      <cdr:nvSpPr>
        <cdr:cNvPr id="154" name="TextovéPole 35"/>
        <cdr:cNvSpPr txBox="1"/>
      </cdr:nvSpPr>
      <cdr:spPr>
        <a:xfrm xmlns:a="http://schemas.openxmlformats.org/drawingml/2006/main">
          <a:off x="1116543" y="2612496"/>
          <a:ext cx="1471083"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STELARA 45mg inj. (jen do 100kg) - ustekinumab (antiIL-12 a IL-23) - PRVNÍCH 16 TÝDNŮ</a:t>
          </a:r>
        </a:p>
      </cdr:txBody>
    </cdr:sp>
  </cdr:relSizeAnchor>
  <cdr:relSizeAnchor xmlns:cdr="http://schemas.openxmlformats.org/drawingml/2006/chartDrawing">
    <cdr:from>
      <cdr:x>0.10771</cdr:x>
      <cdr:y>0.86426</cdr:y>
    </cdr:from>
    <cdr:to>
      <cdr:x>0.43357</cdr:x>
      <cdr:y>0.91107</cdr:y>
    </cdr:to>
    <cdr:cxnSp macro="">
      <cdr:nvCxnSpPr>
        <cdr:cNvPr id="159" name="Přímá spojnice 48">
          <a:extLst xmlns:a="http://schemas.openxmlformats.org/drawingml/2006/main">
            <a:ext uri="{FF2B5EF4-FFF2-40B4-BE49-F238E27FC236}">
              <a16:creationId xmlns:a16="http://schemas.microsoft.com/office/drawing/2014/main" id="{373E65D5-AC0F-43ED-9888-9D5951F19DE0}"/>
            </a:ext>
          </a:extLst>
        </cdr:cNvPr>
        <cdr:cNvCxnSpPr/>
      </cdr:nvCxnSpPr>
      <cdr:spPr>
        <a:xfrm xmlns:a="http://schemas.openxmlformats.org/drawingml/2006/main" flipV="1">
          <a:off x="1096098" y="6318531"/>
          <a:ext cx="3315908" cy="342260"/>
        </a:xfrm>
        <a:prstGeom xmlns:a="http://schemas.openxmlformats.org/drawingml/2006/main" prst="line">
          <a:avLst/>
        </a:prstGeom>
        <a:ln xmlns:a="http://schemas.openxmlformats.org/drawingml/2006/main" w="381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0.89387</cdr:x>
      <cdr:y>0.26013</cdr:y>
    </cdr:from>
    <cdr:to>
      <cdr:x>0.99726</cdr:x>
      <cdr:y>0.34312</cdr:y>
    </cdr:to>
    <cdr:sp macro="" textlink="">
      <cdr:nvSpPr>
        <cdr:cNvPr id="160" name="TextovéPole 50"/>
        <cdr:cNvSpPr txBox="1"/>
      </cdr:nvSpPr>
      <cdr:spPr>
        <a:xfrm xmlns:a="http://schemas.openxmlformats.org/drawingml/2006/main">
          <a:off x="9096065" y="1901834"/>
          <a:ext cx="1052046" cy="606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rgbClr val="0070C0"/>
              </a:solidFill>
            </a:rPr>
            <a:t>SKYRIZI 75mg inj. - risankizumab (antiIL-23) - ROK UDRŽOVACÍ LÉČBY</a:t>
          </a:r>
        </a:p>
      </cdr:txBody>
    </cdr:sp>
  </cdr:relSizeAnchor>
  <cdr:relSizeAnchor xmlns:cdr="http://schemas.openxmlformats.org/drawingml/2006/chartDrawing">
    <cdr:from>
      <cdr:x>0.28785</cdr:x>
      <cdr:y>0.56253</cdr:y>
    </cdr:from>
    <cdr:to>
      <cdr:x>0.42642</cdr:x>
      <cdr:y>0.64377</cdr:y>
    </cdr:to>
    <cdr:sp macro="" textlink="">
      <cdr:nvSpPr>
        <cdr:cNvPr id="167" name="TextovéPole 104"/>
        <cdr:cNvSpPr txBox="1"/>
      </cdr:nvSpPr>
      <cdr:spPr>
        <a:xfrm xmlns:a="http://schemas.openxmlformats.org/drawingml/2006/main">
          <a:off x="2941487" y="3939159"/>
          <a:ext cx="1416008" cy="5688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CIMZIA 200mg inj.  (při udrž. dávce 200mg) - certolizumab peg. (iTNF) - ROK UDRŽOVACÍ LÉČBY</a:t>
          </a:r>
        </a:p>
      </cdr:txBody>
    </cdr:sp>
  </cdr:relSizeAnchor>
  <cdr:relSizeAnchor xmlns:cdr="http://schemas.openxmlformats.org/drawingml/2006/chartDrawing">
    <cdr:from>
      <cdr:x>0.39593</cdr:x>
      <cdr:y>0.50515</cdr:y>
    </cdr:from>
    <cdr:to>
      <cdr:x>0.43134</cdr:x>
      <cdr:y>0.5316</cdr:y>
    </cdr:to>
    <cdr:cxnSp macro="">
      <cdr:nvCxnSpPr>
        <cdr:cNvPr id="168" name="Přímá spojnice se šipkou 106">
          <a:extLst xmlns:a="http://schemas.openxmlformats.org/drawingml/2006/main">
            <a:ext uri="{FF2B5EF4-FFF2-40B4-BE49-F238E27FC236}">
              <a16:creationId xmlns:a16="http://schemas.microsoft.com/office/drawing/2014/main" id="{6FF84112-41FB-433C-8B6D-710695B5815F}"/>
            </a:ext>
          </a:extLst>
        </cdr:cNvPr>
        <cdr:cNvCxnSpPr/>
      </cdr:nvCxnSpPr>
      <cdr:spPr>
        <a:xfrm xmlns:a="http://schemas.openxmlformats.org/drawingml/2006/main">
          <a:off x="4045946" y="3537337"/>
          <a:ext cx="361819" cy="18518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0.15937</cdr:x>
      <cdr:y>0.16984</cdr:y>
    </cdr:from>
    <cdr:to>
      <cdr:x>0.36529</cdr:x>
      <cdr:y>0.22232</cdr:y>
    </cdr:to>
    <cdr:sp macro="" textlink="">
      <cdr:nvSpPr>
        <cdr:cNvPr id="171" name="TextovéPole 110"/>
        <cdr:cNvSpPr txBox="1"/>
      </cdr:nvSpPr>
      <cdr:spPr>
        <a:xfrm xmlns:a="http://schemas.openxmlformats.org/drawingml/2006/main">
          <a:off x="1621741" y="1241704"/>
          <a:ext cx="2095500" cy="383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STELARA 45mg inj. (jen do 100kg) - ustekinumab (antiIL-12 a IL-23) - ROK UDRŽOVACÍ LÉČBY</a:t>
          </a:r>
        </a:p>
      </cdr:txBody>
    </cdr:sp>
  </cdr:relSizeAnchor>
  <cdr:relSizeAnchor xmlns:cdr="http://schemas.openxmlformats.org/drawingml/2006/chartDrawing">
    <cdr:from>
      <cdr:x>0.34431</cdr:x>
      <cdr:y>0.18734</cdr:y>
    </cdr:from>
    <cdr:to>
      <cdr:x>0.47351</cdr:x>
      <cdr:y>0.19552</cdr:y>
    </cdr:to>
    <cdr:cxnSp macro="">
      <cdr:nvCxnSpPr>
        <cdr:cNvPr id="172" name="Přímá spojnice se šipkou 112">
          <a:extLst xmlns:a="http://schemas.openxmlformats.org/drawingml/2006/main">
            <a:ext uri="{FF2B5EF4-FFF2-40B4-BE49-F238E27FC236}">
              <a16:creationId xmlns:a16="http://schemas.microsoft.com/office/drawing/2014/main" id="{68061552-9674-48D3-A7F2-D83A601D6867}"/>
            </a:ext>
          </a:extLst>
        </cdr:cNvPr>
        <cdr:cNvCxnSpPr/>
      </cdr:nvCxnSpPr>
      <cdr:spPr>
        <a:xfrm xmlns:a="http://schemas.openxmlformats.org/drawingml/2006/main" flipV="1">
          <a:off x="3528422" y="1308942"/>
          <a:ext cx="1323975" cy="571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0.49854</cdr:x>
      <cdr:y>0.07489</cdr:y>
    </cdr:from>
    <cdr:to>
      <cdr:x>0.62162</cdr:x>
      <cdr:y>0.14899</cdr:y>
    </cdr:to>
    <cdr:sp macro="" textlink="">
      <cdr:nvSpPr>
        <cdr:cNvPr id="173" name="TextovéPole 113"/>
        <cdr:cNvSpPr txBox="1"/>
      </cdr:nvSpPr>
      <cdr:spPr>
        <a:xfrm xmlns:a="http://schemas.openxmlformats.org/drawingml/2006/main">
          <a:off x="5073153" y="547502"/>
          <a:ext cx="1252447" cy="541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COSENTYX 150mg inj. - secukinumab (antiIL-17) - ROK UDRŽOVACÍ LÉČBY</a:t>
          </a:r>
        </a:p>
      </cdr:txBody>
    </cdr:sp>
  </cdr:relSizeAnchor>
  <cdr:relSizeAnchor xmlns:cdr="http://schemas.openxmlformats.org/drawingml/2006/chartDrawing">
    <cdr:from>
      <cdr:x>0.83571</cdr:x>
      <cdr:y>0.07964</cdr:y>
    </cdr:from>
    <cdr:to>
      <cdr:x>0.99754</cdr:x>
      <cdr:y>0.16476</cdr:y>
    </cdr:to>
    <cdr:sp macro="" textlink="">
      <cdr:nvSpPr>
        <cdr:cNvPr id="180" name="TextovéPole 123"/>
        <cdr:cNvSpPr txBox="1"/>
      </cdr:nvSpPr>
      <cdr:spPr>
        <a:xfrm xmlns:a="http://schemas.openxmlformats.org/drawingml/2006/main">
          <a:off x="8564146" y="556465"/>
          <a:ext cx="1658394" cy="594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u="none">
              <a:solidFill>
                <a:schemeClr val="tx1"/>
              </a:solidFill>
            </a:rPr>
            <a:t>TREMFYA 100mg inj. - guselkumab (antiIL-23) - ROK UDRŽ. LÉČBY</a:t>
          </a:r>
        </a:p>
      </cdr:txBody>
    </cdr:sp>
  </cdr:relSizeAnchor>
  <cdr:relSizeAnchor xmlns:cdr="http://schemas.openxmlformats.org/drawingml/2006/chartDrawing">
    <cdr:from>
      <cdr:x>0.79586</cdr:x>
      <cdr:y>0.09788</cdr:y>
    </cdr:from>
    <cdr:to>
      <cdr:x>0.83991</cdr:x>
      <cdr:y>0.10248</cdr:y>
    </cdr:to>
    <cdr:cxnSp macro="">
      <cdr:nvCxnSpPr>
        <cdr:cNvPr id="181" name="Přímá spojnice se šipkou 125">
          <a:extLst xmlns:a="http://schemas.openxmlformats.org/drawingml/2006/main">
            <a:ext uri="{FF2B5EF4-FFF2-40B4-BE49-F238E27FC236}">
              <a16:creationId xmlns:a16="http://schemas.microsoft.com/office/drawing/2014/main" id="{AA63C85D-7B3F-4EF7-921C-4682F41D2E61}"/>
            </a:ext>
          </a:extLst>
        </cdr:cNvPr>
        <cdr:cNvCxnSpPr/>
      </cdr:nvCxnSpPr>
      <cdr:spPr>
        <a:xfrm xmlns:a="http://schemas.openxmlformats.org/drawingml/2006/main" flipH="1" flipV="1">
          <a:off x="8098741" y="715590"/>
          <a:ext cx="448235" cy="33617"/>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0.0322</cdr:x>
      <cdr:y>0.01835</cdr:y>
    </cdr:from>
    <cdr:to>
      <cdr:x>0.98817</cdr:x>
      <cdr:y>0.06478</cdr:y>
    </cdr:to>
    <cdr:sp macro="" textlink="">
      <cdr:nvSpPr>
        <cdr:cNvPr id="183" name="TextovéPole 182"/>
        <cdr:cNvSpPr txBox="1"/>
      </cdr:nvSpPr>
      <cdr:spPr>
        <a:xfrm xmlns:a="http://schemas.openxmlformats.org/drawingml/2006/main">
          <a:off x="321858" y="131758"/>
          <a:ext cx="9556617" cy="3333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cs-CZ" sz="1200" b="1" i="0" baseline="0">
              <a:effectLst/>
              <a:latin typeface="+mn-lt"/>
              <a:ea typeface="+mn-ea"/>
              <a:cs typeface="+mn-cs"/>
            </a:rPr>
            <a:t>Četnost  dosažení PASI 100 intervence vůči placebu v % pac. oproti ceně intervence za prvních 16 týdnů (u etaner. za 12 týdnů), resp. 1 rok udrž.  léčby</a:t>
          </a:r>
          <a:endParaRPr lang="cs-CZ" sz="1200">
            <a:effectLst/>
          </a:endParaRPr>
        </a:p>
        <a:p xmlns:a="http://schemas.openxmlformats.org/drawingml/2006/main">
          <a:endParaRPr lang="cs-CZ" sz="1100"/>
        </a:p>
      </cdr:txBody>
    </cdr:sp>
  </cdr:relSizeAnchor>
  <cdr:relSizeAnchor xmlns:cdr="http://schemas.openxmlformats.org/drawingml/2006/chartDrawing">
    <cdr:from>
      <cdr:x>0.43817</cdr:x>
      <cdr:y>0.86925</cdr:y>
    </cdr:from>
    <cdr:to>
      <cdr:x>0.66348</cdr:x>
      <cdr:y>0.91475</cdr:y>
    </cdr:to>
    <cdr:sp macro="" textlink="">
      <cdr:nvSpPr>
        <cdr:cNvPr id="264" name="TextovéPole 7"/>
        <cdr:cNvSpPr txBox="1"/>
      </cdr:nvSpPr>
      <cdr:spPr>
        <a:xfrm xmlns:a="http://schemas.openxmlformats.org/drawingml/2006/main">
          <a:off x="4501423" y="6044573"/>
          <a:ext cx="2314643" cy="316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ZESSLY 100mg inf. 1 (ceny pro 61-80kg + cena za aplik.) - infliximab (iTNF) - PRVNÍCH 16 TÝDNŮ</a:t>
          </a:r>
        </a:p>
      </cdr:txBody>
    </cdr:sp>
  </cdr:relSizeAnchor>
  <cdr:relSizeAnchor xmlns:cdr="http://schemas.openxmlformats.org/drawingml/2006/chartDrawing">
    <cdr:from>
      <cdr:x>0.71256</cdr:x>
      <cdr:y>0.54062</cdr:y>
    </cdr:from>
    <cdr:to>
      <cdr:x>0.92061</cdr:x>
      <cdr:y>0.5881</cdr:y>
    </cdr:to>
    <cdr:sp macro="" textlink="">
      <cdr:nvSpPr>
        <cdr:cNvPr id="265" name="TextovéPole 20"/>
        <cdr:cNvSpPr txBox="1"/>
      </cdr:nvSpPr>
      <cdr:spPr>
        <a:xfrm xmlns:a="http://schemas.openxmlformats.org/drawingml/2006/main">
          <a:off x="7251058" y="3952452"/>
          <a:ext cx="2117124" cy="347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chemeClr val="accent4">
                  <a:lumMod val="75000"/>
                </a:schemeClr>
              </a:solidFill>
            </a:rPr>
            <a:t>SKYRIZI 75mg inj. - risankizumab (antiIL-23) - PRVNÍCH 16 TÝDNŮ</a:t>
          </a:r>
        </a:p>
      </cdr:txBody>
    </cdr:sp>
  </cdr:relSizeAnchor>
  <cdr:relSizeAnchor xmlns:cdr="http://schemas.openxmlformats.org/drawingml/2006/chartDrawing">
    <cdr:from>
      <cdr:x>0.11185</cdr:x>
      <cdr:y>0.37811</cdr:y>
    </cdr:from>
    <cdr:to>
      <cdr:x>0.25921</cdr:x>
      <cdr:y>0.47002</cdr:y>
    </cdr:to>
    <cdr:sp macro="" textlink="">
      <cdr:nvSpPr>
        <cdr:cNvPr id="269" name="TextovéPole 35"/>
        <cdr:cNvSpPr txBox="1"/>
      </cdr:nvSpPr>
      <cdr:spPr>
        <a:xfrm xmlns:a="http://schemas.openxmlformats.org/drawingml/2006/main">
          <a:off x="1116543" y="2612496"/>
          <a:ext cx="1471083"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STELARA 45mg inj. (jen do 100kg) - ustekinumab (antiIL-12 a IL-23) - PRVNÍCH 16 TÝDNŮ</a:t>
          </a:r>
        </a:p>
      </cdr:txBody>
    </cdr:sp>
  </cdr:relSizeAnchor>
  <cdr:relSizeAnchor xmlns:cdr="http://schemas.openxmlformats.org/drawingml/2006/chartDrawing">
    <cdr:from>
      <cdr:x>0.44348</cdr:x>
      <cdr:y>0.22088</cdr:y>
    </cdr:from>
    <cdr:to>
      <cdr:x>0.92928</cdr:x>
      <cdr:y>0.85659</cdr:y>
    </cdr:to>
    <cdr:cxnSp macro="">
      <cdr:nvCxnSpPr>
        <cdr:cNvPr id="273" name="Přímá spojnice 52">
          <a:extLst xmlns:a="http://schemas.openxmlformats.org/drawingml/2006/main">
            <a:ext uri="{FF2B5EF4-FFF2-40B4-BE49-F238E27FC236}">
              <a16:creationId xmlns:a16="http://schemas.microsoft.com/office/drawing/2014/main" id="{7FEF8BCB-0643-4CDE-9337-60C3B49F0026}"/>
            </a:ext>
          </a:extLst>
        </cdr:cNvPr>
        <cdr:cNvCxnSpPr/>
      </cdr:nvCxnSpPr>
      <cdr:spPr>
        <a:xfrm xmlns:a="http://schemas.openxmlformats.org/drawingml/2006/main" flipV="1">
          <a:off x="4555936" y="1535954"/>
          <a:ext cx="4990699" cy="4420572"/>
        </a:xfrm>
        <a:prstGeom xmlns:a="http://schemas.openxmlformats.org/drawingml/2006/main" prst="line">
          <a:avLst/>
        </a:prstGeom>
        <a:ln xmlns:a="http://schemas.openxmlformats.org/drawingml/2006/main" w="381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0.79452</cdr:x>
      <cdr:y>0.20202</cdr:y>
    </cdr:from>
    <cdr:to>
      <cdr:x>0.81087</cdr:x>
      <cdr:y>0.23425</cdr:y>
    </cdr:to>
    <cdr:cxnSp macro="">
      <cdr:nvCxnSpPr>
        <cdr:cNvPr id="274" name="Přímá spojnice se šipkou 55">
          <a:extLst xmlns:a="http://schemas.openxmlformats.org/drawingml/2006/main">
            <a:ext uri="{FF2B5EF4-FFF2-40B4-BE49-F238E27FC236}">
              <a16:creationId xmlns:a16="http://schemas.microsoft.com/office/drawing/2014/main" id="{D70B6B82-DBCA-4911-8B2C-1DEC1D69EA0D}"/>
            </a:ext>
          </a:extLst>
        </cdr:cNvPr>
        <cdr:cNvCxnSpPr/>
      </cdr:nvCxnSpPr>
      <cdr:spPr>
        <a:xfrm xmlns:a="http://schemas.openxmlformats.org/drawingml/2006/main">
          <a:off x="8119018" y="1414623"/>
          <a:ext cx="167013" cy="225742"/>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0.12882</cdr:x>
      <cdr:y>0.57067</cdr:y>
    </cdr:from>
    <cdr:to>
      <cdr:x>0.27638</cdr:x>
      <cdr:y>0.64681</cdr:y>
    </cdr:to>
    <cdr:sp macro="" textlink="">
      <cdr:nvSpPr>
        <cdr:cNvPr id="276" name="TextovéPole 101"/>
        <cdr:cNvSpPr txBox="1"/>
      </cdr:nvSpPr>
      <cdr:spPr>
        <a:xfrm xmlns:a="http://schemas.openxmlformats.org/drawingml/2006/main">
          <a:off x="1316371" y="3996105"/>
          <a:ext cx="1507874" cy="533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ENBREL 50mg </a:t>
          </a:r>
          <a:r>
            <a:rPr lang="cs-CZ" sz="700" b="1"/>
            <a:t>inj. (při udržovací dávce 50mg 1x týdně) - etanercept (iTNF) - ROK UDRŽOVACÍ LÉČBY</a:t>
          </a:r>
        </a:p>
      </cdr:txBody>
    </cdr:sp>
  </cdr:relSizeAnchor>
  <cdr:relSizeAnchor xmlns:cdr="http://schemas.openxmlformats.org/drawingml/2006/chartDrawing">
    <cdr:from>
      <cdr:x>0.83845</cdr:x>
      <cdr:y>0.11332</cdr:y>
    </cdr:from>
    <cdr:to>
      <cdr:x>1</cdr:x>
      <cdr:y>0.19441</cdr:y>
    </cdr:to>
    <cdr:sp macro="" textlink="">
      <cdr:nvSpPr>
        <cdr:cNvPr id="278" name="TextovéPole 122"/>
        <cdr:cNvSpPr txBox="1"/>
      </cdr:nvSpPr>
      <cdr:spPr>
        <a:xfrm xmlns:a="http://schemas.openxmlformats.org/drawingml/2006/main">
          <a:off x="8423440" y="817793"/>
          <a:ext cx="1622979" cy="585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0.02607</cdr:x>
      <cdr:y>0.01039</cdr:y>
    </cdr:from>
    <cdr:to>
      <cdr:x>0.9825</cdr:x>
      <cdr:y>0.07141</cdr:y>
    </cdr:to>
    <cdr:sp macro="" textlink="">
      <cdr:nvSpPr>
        <cdr:cNvPr id="279" name="TextovéPole 8"/>
        <cdr:cNvSpPr txBox="1"/>
      </cdr:nvSpPr>
      <cdr:spPr>
        <a:xfrm xmlns:a="http://schemas.openxmlformats.org/drawingml/2006/main">
          <a:off x="262467" y="74613"/>
          <a:ext cx="962977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0.40465</cdr:x>
      <cdr:y>0.83841</cdr:y>
    </cdr:from>
    <cdr:to>
      <cdr:x>0.44329</cdr:x>
      <cdr:y>0.88293</cdr:y>
    </cdr:to>
    <cdr:cxnSp macro="">
      <cdr:nvCxnSpPr>
        <cdr:cNvPr id="280" name="Přímá spojnice se šipkou 9">
          <a:extLst xmlns:a="http://schemas.openxmlformats.org/drawingml/2006/main">
            <a:ext uri="{FF2B5EF4-FFF2-40B4-BE49-F238E27FC236}">
              <a16:creationId xmlns:a16="http://schemas.microsoft.com/office/drawing/2014/main" id="{C7C89F35-8DF6-4797-918F-7D685C9915F2}"/>
            </a:ext>
          </a:extLst>
        </cdr:cNvPr>
        <cdr:cNvCxnSpPr/>
      </cdr:nvCxnSpPr>
      <cdr:spPr>
        <a:xfrm xmlns:a="http://schemas.openxmlformats.org/drawingml/2006/main" flipH="1" flipV="1">
          <a:off x="4157072" y="5830141"/>
          <a:ext cx="396875" cy="30956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0.83347</cdr:x>
      <cdr:y>0.40352</cdr:y>
    </cdr:from>
    <cdr:to>
      <cdr:x>0.86965</cdr:x>
      <cdr:y>0.42589</cdr:y>
    </cdr:to>
    <cdr:cxnSp macro="">
      <cdr:nvCxnSpPr>
        <cdr:cNvPr id="281" name="Přímá spojnice se šipkou 19">
          <a:extLst xmlns:a="http://schemas.openxmlformats.org/drawingml/2006/main">
            <a:ext uri="{FF2B5EF4-FFF2-40B4-BE49-F238E27FC236}">
              <a16:creationId xmlns:a16="http://schemas.microsoft.com/office/drawing/2014/main" id="{F8BE3D31-7268-4B72-A560-89DA118C7A48}"/>
            </a:ext>
          </a:extLst>
        </cdr:cNvPr>
        <cdr:cNvCxnSpPr/>
      </cdr:nvCxnSpPr>
      <cdr:spPr>
        <a:xfrm xmlns:a="http://schemas.openxmlformats.org/drawingml/2006/main" flipH="1" flipV="1">
          <a:off x="8562385" y="2805954"/>
          <a:ext cx="371660" cy="15558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0.11185</cdr:x>
      <cdr:y>0.37811</cdr:y>
    </cdr:from>
    <cdr:to>
      <cdr:x>0.25921</cdr:x>
      <cdr:y>0.47002</cdr:y>
    </cdr:to>
    <cdr:sp macro="" textlink="">
      <cdr:nvSpPr>
        <cdr:cNvPr id="284" name="TextovéPole 35"/>
        <cdr:cNvSpPr txBox="1"/>
      </cdr:nvSpPr>
      <cdr:spPr>
        <a:xfrm xmlns:a="http://schemas.openxmlformats.org/drawingml/2006/main">
          <a:off x="1116543" y="2612496"/>
          <a:ext cx="1471083"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STELARA 45mg inj. (jen do 100kg) - ustekinumab (antiIL-12 a IL-23) - PRVNÍCH 16 TÝDNŮ</a:t>
          </a:r>
        </a:p>
      </cdr:txBody>
    </cdr:sp>
  </cdr:relSizeAnchor>
  <cdr:relSizeAnchor xmlns:cdr="http://schemas.openxmlformats.org/drawingml/2006/chartDrawing">
    <cdr:from>
      <cdr:x>0.24223</cdr:x>
      <cdr:y>0.40773</cdr:y>
    </cdr:from>
    <cdr:to>
      <cdr:x>0.31736</cdr:x>
      <cdr:y>0.41227</cdr:y>
    </cdr:to>
    <cdr:cxnSp macro="">
      <cdr:nvCxnSpPr>
        <cdr:cNvPr id="285" name="Přímá spojnice se šipkou 37">
          <a:extLst xmlns:a="http://schemas.openxmlformats.org/drawingml/2006/main">
            <a:ext uri="{FF2B5EF4-FFF2-40B4-BE49-F238E27FC236}">
              <a16:creationId xmlns:a16="http://schemas.microsoft.com/office/drawing/2014/main" id="{D107E0F2-D2D7-4A1A-972E-0D6AA3B14752}"/>
            </a:ext>
          </a:extLst>
        </cdr:cNvPr>
        <cdr:cNvCxnSpPr/>
      </cdr:nvCxnSpPr>
      <cdr:spPr>
        <a:xfrm xmlns:a="http://schemas.openxmlformats.org/drawingml/2006/main">
          <a:off x="2482312" y="2848853"/>
          <a:ext cx="769885" cy="3171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0.43519</cdr:x>
      <cdr:y>0.38494</cdr:y>
    </cdr:from>
    <cdr:to>
      <cdr:x>0.55286</cdr:x>
      <cdr:y>0.44621</cdr:y>
    </cdr:to>
    <cdr:sp macro="" textlink="">
      <cdr:nvSpPr>
        <cdr:cNvPr id="286" name="TextovéPole 42"/>
        <cdr:cNvSpPr txBox="1"/>
      </cdr:nvSpPr>
      <cdr:spPr>
        <a:xfrm xmlns:a="http://schemas.openxmlformats.org/drawingml/2006/main">
          <a:off x="4447065" y="2695577"/>
          <a:ext cx="1202437" cy="429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COSENTYX 150mg inj. - secukinumab (antiIL-17) - PRVNÍCH 16 TÝDNŮ</a:t>
          </a:r>
        </a:p>
      </cdr:txBody>
    </cdr:sp>
  </cdr:relSizeAnchor>
  <cdr:relSizeAnchor xmlns:cdr="http://schemas.openxmlformats.org/drawingml/2006/chartDrawing">
    <cdr:from>
      <cdr:x>0.83845</cdr:x>
      <cdr:y>0.11332</cdr:y>
    </cdr:from>
    <cdr:to>
      <cdr:x>1</cdr:x>
      <cdr:y>0.19441</cdr:y>
    </cdr:to>
    <cdr:sp macro="" textlink="">
      <cdr:nvSpPr>
        <cdr:cNvPr id="291" name="TextovéPole 122"/>
        <cdr:cNvSpPr txBox="1"/>
      </cdr:nvSpPr>
      <cdr:spPr>
        <a:xfrm xmlns:a="http://schemas.openxmlformats.org/drawingml/2006/main">
          <a:off x="8423440" y="817793"/>
          <a:ext cx="1622979" cy="5852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0.82116</cdr:x>
      <cdr:y>0.21497</cdr:y>
    </cdr:from>
    <cdr:to>
      <cdr:x>0.92058</cdr:x>
      <cdr:y>0.2357</cdr:y>
    </cdr:to>
    <cdr:cxnSp macro="">
      <cdr:nvCxnSpPr>
        <cdr:cNvPr id="292" name="Přímá spojnice 130">
          <a:extLst xmlns:a="http://schemas.openxmlformats.org/drawingml/2006/main">
            <a:ext uri="{FF2B5EF4-FFF2-40B4-BE49-F238E27FC236}">
              <a16:creationId xmlns:a16="http://schemas.microsoft.com/office/drawing/2014/main" id="{EECAB635-A73C-4217-AB09-22B33C4DBFB8}"/>
            </a:ext>
          </a:extLst>
        </cdr:cNvPr>
        <cdr:cNvCxnSpPr/>
      </cdr:nvCxnSpPr>
      <cdr:spPr>
        <a:xfrm xmlns:a="http://schemas.openxmlformats.org/drawingml/2006/main" flipV="1">
          <a:off x="8391161" y="1505338"/>
          <a:ext cx="1016000" cy="145142"/>
        </a:xfrm>
        <a:prstGeom xmlns:a="http://schemas.openxmlformats.org/drawingml/2006/main" prst="line">
          <a:avLst/>
        </a:prstGeom>
        <a:ln xmlns:a="http://schemas.openxmlformats.org/drawingml/2006/main" w="25400">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0.32546</cdr:x>
      <cdr:y>0.67404</cdr:y>
    </cdr:from>
    <cdr:to>
      <cdr:x>0.6349</cdr:x>
      <cdr:y>0.89004</cdr:y>
    </cdr:to>
    <cdr:cxnSp macro="">
      <cdr:nvCxnSpPr>
        <cdr:cNvPr id="293" name="Přímá spojnice 2">
          <a:extLst xmlns:a="http://schemas.openxmlformats.org/drawingml/2006/main">
            <a:ext uri="{FF2B5EF4-FFF2-40B4-BE49-F238E27FC236}">
              <a16:creationId xmlns:a16="http://schemas.microsoft.com/office/drawing/2014/main" id="{02A6F498-D189-451B-A24E-B630ECB99F6A}"/>
            </a:ext>
          </a:extLst>
        </cdr:cNvPr>
        <cdr:cNvCxnSpPr/>
      </cdr:nvCxnSpPr>
      <cdr:spPr>
        <a:xfrm xmlns:a="http://schemas.openxmlformats.org/drawingml/2006/main" flipV="1">
          <a:off x="3343541" y="4687141"/>
          <a:ext cx="3178906" cy="1502000"/>
        </a:xfrm>
        <a:prstGeom xmlns:a="http://schemas.openxmlformats.org/drawingml/2006/main" prst="line">
          <a:avLst/>
        </a:prstGeom>
        <a:ln xmlns:a="http://schemas.openxmlformats.org/drawingml/2006/main" w="3810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0.65337</cdr:x>
      <cdr:y>0.40352</cdr:y>
    </cdr:from>
    <cdr:to>
      <cdr:x>0.81261</cdr:x>
      <cdr:y>0.65781</cdr:y>
    </cdr:to>
    <cdr:cxnSp macro="">
      <cdr:nvCxnSpPr>
        <cdr:cNvPr id="294" name="Přímá spojnice 4">
          <a:extLst xmlns:a="http://schemas.openxmlformats.org/drawingml/2006/main">
            <a:ext uri="{FF2B5EF4-FFF2-40B4-BE49-F238E27FC236}">
              <a16:creationId xmlns:a16="http://schemas.microsoft.com/office/drawing/2014/main" id="{6960AD3E-786C-43FC-BA49-63160D4DFD97}"/>
            </a:ext>
          </a:extLst>
        </cdr:cNvPr>
        <cdr:cNvCxnSpPr/>
      </cdr:nvCxnSpPr>
      <cdr:spPr>
        <a:xfrm xmlns:a="http://schemas.openxmlformats.org/drawingml/2006/main" flipV="1">
          <a:off x="6712188" y="2805954"/>
          <a:ext cx="1635884" cy="1768331"/>
        </a:xfrm>
        <a:prstGeom xmlns:a="http://schemas.openxmlformats.org/drawingml/2006/main" prst="line">
          <a:avLst/>
        </a:prstGeom>
        <a:ln xmlns:a="http://schemas.openxmlformats.org/drawingml/2006/main" w="3810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0.58555</cdr:x>
      <cdr:y>0.69065</cdr:y>
    </cdr:from>
    <cdr:to>
      <cdr:x>0.69153</cdr:x>
      <cdr:y>0.75632</cdr:y>
    </cdr:to>
    <cdr:sp macro="" textlink="">
      <cdr:nvSpPr>
        <cdr:cNvPr id="295" name="TextovéPole 5"/>
        <cdr:cNvSpPr txBox="1"/>
      </cdr:nvSpPr>
      <cdr:spPr>
        <a:xfrm xmlns:a="http://schemas.openxmlformats.org/drawingml/2006/main">
          <a:off x="5983599" y="4836324"/>
          <a:ext cx="1082980" cy="459856"/>
        </a:xfrm>
        <a:prstGeom xmlns:a="http://schemas.openxmlformats.org/drawingml/2006/main" prst="rect">
          <a:avLst/>
        </a:prstGeom>
        <a:solidFill xmlns:a="http://schemas.openxmlformats.org/drawingml/2006/main">
          <a:srgbClr val="FFC000"/>
        </a:solidFill>
      </cdr:spPr>
      <cdr:txBody>
        <a:bodyPr xmlns:a="http://schemas.openxmlformats.org/drawingml/2006/main" vertOverflow="clip" wrap="square" rtlCol="0"/>
        <a:lstStyle xmlns:a="http://schemas.openxmlformats.org/drawingml/2006/main"/>
        <a:p xmlns:a="http://schemas.openxmlformats.org/drawingml/2006/main">
          <a:r>
            <a:rPr lang="cs-CZ" sz="900"/>
            <a:t>efficient</a:t>
          </a:r>
          <a:r>
            <a:rPr lang="cs-CZ" sz="900" baseline="0"/>
            <a:t> frontier - prních 16 týdnů</a:t>
          </a:r>
          <a:endParaRPr lang="cs-CZ" sz="900"/>
        </a:p>
      </cdr:txBody>
    </cdr:sp>
  </cdr:relSizeAnchor>
  <cdr:relSizeAnchor xmlns:cdr="http://schemas.openxmlformats.org/drawingml/2006/chartDrawing">
    <cdr:from>
      <cdr:x>0.11233</cdr:x>
      <cdr:y>0.81574</cdr:y>
    </cdr:from>
    <cdr:to>
      <cdr:x>0.23834</cdr:x>
      <cdr:y>0.9014</cdr:y>
    </cdr:to>
    <cdr:sp macro="" textlink="">
      <cdr:nvSpPr>
        <cdr:cNvPr id="296" name="TextovéPole 1"/>
        <cdr:cNvSpPr txBox="1"/>
      </cdr:nvSpPr>
      <cdr:spPr>
        <a:xfrm xmlns:a="http://schemas.openxmlformats.org/drawingml/2006/main">
          <a:off x="1153989" y="5672466"/>
          <a:ext cx="1294519" cy="5956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chemeClr val="accent4">
                  <a:lumMod val="75000"/>
                </a:schemeClr>
              </a:solidFill>
            </a:rPr>
            <a:t>HYRIMOZ 40mg inj. (při dávce 40mg co 2 týdny) - adalimumab (iTNF) - PRVNÍCH 16 TÝDNŮ</a:t>
          </a:r>
        </a:p>
      </cdr:txBody>
    </cdr:sp>
  </cdr:relSizeAnchor>
  <cdr:relSizeAnchor xmlns:cdr="http://schemas.openxmlformats.org/drawingml/2006/chartDrawing">
    <cdr:from>
      <cdr:x>0.21062</cdr:x>
      <cdr:y>0.85857</cdr:y>
    </cdr:from>
    <cdr:to>
      <cdr:x>0.31938</cdr:x>
      <cdr:y>0.88839</cdr:y>
    </cdr:to>
    <cdr:cxnSp macro="">
      <cdr:nvCxnSpPr>
        <cdr:cNvPr id="297" name="Přímá spojnice se šipkou 6">
          <a:extLst xmlns:a="http://schemas.openxmlformats.org/drawingml/2006/main">
            <a:ext uri="{FF2B5EF4-FFF2-40B4-BE49-F238E27FC236}">
              <a16:creationId xmlns:a16="http://schemas.microsoft.com/office/drawing/2014/main" id="{4DC310D6-19D0-49B9-AE3A-D7C2AC4C27F6}"/>
            </a:ext>
          </a:extLst>
        </cdr:cNvPr>
        <cdr:cNvCxnSpPr/>
      </cdr:nvCxnSpPr>
      <cdr:spPr>
        <a:xfrm xmlns:a="http://schemas.openxmlformats.org/drawingml/2006/main">
          <a:off x="2172697" y="5977085"/>
          <a:ext cx="1121833" cy="20759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0.73841</cdr:x>
      <cdr:y>0.64227</cdr:y>
    </cdr:from>
    <cdr:to>
      <cdr:x>0.93782</cdr:x>
      <cdr:y>0.70987</cdr:y>
    </cdr:to>
    <cdr:sp macro="" textlink="">
      <cdr:nvSpPr>
        <cdr:cNvPr id="298" name="TextovéPole 12"/>
        <cdr:cNvSpPr txBox="1"/>
      </cdr:nvSpPr>
      <cdr:spPr>
        <a:xfrm xmlns:a="http://schemas.openxmlformats.org/drawingml/2006/main">
          <a:off x="7585781" y="4466207"/>
          <a:ext cx="2048569" cy="470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chemeClr val="accent4">
                  <a:lumMod val="75000"/>
                </a:schemeClr>
              </a:solidFill>
            </a:rPr>
            <a:t>KYNTHEUM 210mg inj. - brodalumab (antiIL-17) - PRVNÍCH 16 TÝDNŮ</a:t>
          </a:r>
        </a:p>
      </cdr:txBody>
    </cdr:sp>
  </cdr:relSizeAnchor>
  <cdr:relSizeAnchor xmlns:cdr="http://schemas.openxmlformats.org/drawingml/2006/chartDrawing">
    <cdr:from>
      <cdr:x>0.65808</cdr:x>
      <cdr:y>0.66149</cdr:y>
    </cdr:from>
    <cdr:to>
      <cdr:x>0.73457</cdr:x>
      <cdr:y>0.66491</cdr:y>
    </cdr:to>
    <cdr:cxnSp macro="">
      <cdr:nvCxnSpPr>
        <cdr:cNvPr id="299" name="Přímá spojnice se šipkou 16">
          <a:extLst xmlns:a="http://schemas.openxmlformats.org/drawingml/2006/main">
            <a:ext uri="{FF2B5EF4-FFF2-40B4-BE49-F238E27FC236}">
              <a16:creationId xmlns:a16="http://schemas.microsoft.com/office/drawing/2014/main" id="{912AA157-CDCD-4922-BEE7-ADC2ACF829B7}"/>
            </a:ext>
          </a:extLst>
        </cdr:cNvPr>
        <cdr:cNvCxnSpPr/>
      </cdr:nvCxnSpPr>
      <cdr:spPr>
        <a:xfrm xmlns:a="http://schemas.openxmlformats.org/drawingml/2006/main" flipH="1" flipV="1">
          <a:off x="6760572" y="4599829"/>
          <a:ext cx="785813" cy="23812"/>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0.57259</cdr:x>
      <cdr:y>0.3251</cdr:y>
    </cdr:from>
    <cdr:to>
      <cdr:x>0.57605</cdr:x>
      <cdr:y>0.3782</cdr:y>
    </cdr:to>
    <cdr:cxnSp macro="">
      <cdr:nvCxnSpPr>
        <cdr:cNvPr id="301" name="Přímá spojnice se šipkou 19">
          <a:extLst xmlns:a="http://schemas.openxmlformats.org/drawingml/2006/main">
            <a:ext uri="{FF2B5EF4-FFF2-40B4-BE49-F238E27FC236}">
              <a16:creationId xmlns:a16="http://schemas.microsoft.com/office/drawing/2014/main" id="{943B8C2D-6F31-44D5-AA3E-DB5E014EAFD8}"/>
            </a:ext>
          </a:extLst>
        </cdr:cNvPr>
        <cdr:cNvCxnSpPr/>
      </cdr:nvCxnSpPr>
      <cdr:spPr>
        <a:xfrm xmlns:a="http://schemas.openxmlformats.org/drawingml/2006/main" flipH="1">
          <a:off x="5851161" y="2276495"/>
          <a:ext cx="35380" cy="371842"/>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0.81899</cdr:x>
      <cdr:y>0.42107</cdr:y>
    </cdr:from>
    <cdr:to>
      <cdr:x>0.97206</cdr:x>
      <cdr:y>0.49026</cdr:y>
    </cdr:to>
    <cdr:sp macro="" textlink="">
      <cdr:nvSpPr>
        <cdr:cNvPr id="302" name="TextovéPole 20"/>
        <cdr:cNvSpPr txBox="1"/>
      </cdr:nvSpPr>
      <cdr:spPr>
        <a:xfrm xmlns:a="http://schemas.openxmlformats.org/drawingml/2006/main">
          <a:off x="8334064" y="3078392"/>
          <a:ext cx="1557617" cy="5059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chemeClr val="accent4">
                  <a:lumMod val="75000"/>
                </a:schemeClr>
              </a:solidFill>
            </a:rPr>
            <a:t>BIMZELX 160mg inj. 2x1ml - bimekizumab (antiIL-17) - PRVNÍCH 16 TÝDNŮ</a:t>
          </a:r>
        </a:p>
      </cdr:txBody>
    </cdr:sp>
  </cdr:relSizeAnchor>
  <cdr:relSizeAnchor xmlns:cdr="http://schemas.openxmlformats.org/drawingml/2006/chartDrawing">
    <cdr:from>
      <cdr:x>0.66616</cdr:x>
      <cdr:y>0.43689</cdr:y>
    </cdr:from>
    <cdr:to>
      <cdr:x>0.75292</cdr:x>
      <cdr:y>0.54238</cdr:y>
    </cdr:to>
    <cdr:cxnSp macro="">
      <cdr:nvCxnSpPr>
        <cdr:cNvPr id="303" name="Přímá spojnice se šipkou 22">
          <a:extLst xmlns:a="http://schemas.openxmlformats.org/drawingml/2006/main">
            <a:ext uri="{FF2B5EF4-FFF2-40B4-BE49-F238E27FC236}">
              <a16:creationId xmlns:a16="http://schemas.microsoft.com/office/drawing/2014/main" id="{03D0A105-EA61-40C4-956F-4A2E02EB211C}"/>
            </a:ext>
          </a:extLst>
        </cdr:cNvPr>
        <cdr:cNvCxnSpPr/>
      </cdr:nvCxnSpPr>
      <cdr:spPr>
        <a:xfrm xmlns:a="http://schemas.openxmlformats.org/drawingml/2006/main" flipH="1" flipV="1">
          <a:off x="6778912" y="3194096"/>
          <a:ext cx="882800" cy="77119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0.72743</cdr:x>
      <cdr:y>0.58587</cdr:y>
    </cdr:from>
    <cdr:to>
      <cdr:x>0.95098</cdr:x>
      <cdr:y>0.66519</cdr:y>
    </cdr:to>
    <cdr:sp macro="" textlink="">
      <cdr:nvSpPr>
        <cdr:cNvPr id="304" name="TextovéPole 23"/>
        <cdr:cNvSpPr txBox="1"/>
      </cdr:nvSpPr>
      <cdr:spPr>
        <a:xfrm xmlns:a="http://schemas.openxmlformats.org/drawingml/2006/main">
          <a:off x="7472996" y="4074011"/>
          <a:ext cx="2296563" cy="551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u="none">
              <a:solidFill>
                <a:schemeClr val="tx1"/>
              </a:solidFill>
            </a:rPr>
            <a:t>TREMFYA 100mg inj. - guselkumab (antiIL-23) - PRVNÍCH 16 TÝDNŮ</a:t>
          </a:r>
        </a:p>
      </cdr:txBody>
    </cdr:sp>
  </cdr:relSizeAnchor>
  <cdr:relSizeAnchor xmlns:cdr="http://schemas.openxmlformats.org/drawingml/2006/chartDrawing">
    <cdr:from>
      <cdr:x>0.51669</cdr:x>
      <cdr:y>0.54506</cdr:y>
    </cdr:from>
    <cdr:to>
      <cdr:x>0.72917</cdr:x>
      <cdr:y>0.60327</cdr:y>
    </cdr:to>
    <cdr:cxnSp macro="">
      <cdr:nvCxnSpPr>
        <cdr:cNvPr id="305" name="Přímá spojnice se šipkou 25">
          <a:extLst xmlns:a="http://schemas.openxmlformats.org/drawingml/2006/main">
            <a:ext uri="{FF2B5EF4-FFF2-40B4-BE49-F238E27FC236}">
              <a16:creationId xmlns:a16="http://schemas.microsoft.com/office/drawing/2014/main" id="{2802ECED-B38B-49DB-9189-3130764516F9}"/>
            </a:ext>
          </a:extLst>
        </cdr:cNvPr>
        <cdr:cNvCxnSpPr/>
      </cdr:nvCxnSpPr>
      <cdr:spPr>
        <a:xfrm xmlns:a="http://schemas.openxmlformats.org/drawingml/2006/main" flipH="1" flipV="1">
          <a:off x="5308010" y="3790204"/>
          <a:ext cx="2182813" cy="40481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0.18159</cdr:x>
      <cdr:y>0.65293</cdr:y>
    </cdr:from>
    <cdr:to>
      <cdr:x>0.28231</cdr:x>
      <cdr:y>0.7418</cdr:y>
    </cdr:to>
    <cdr:sp macro="" textlink="">
      <cdr:nvSpPr>
        <cdr:cNvPr id="306" name="TextovéPole 27"/>
        <cdr:cNvSpPr txBox="1"/>
      </cdr:nvSpPr>
      <cdr:spPr>
        <a:xfrm xmlns:a="http://schemas.openxmlformats.org/drawingml/2006/main">
          <a:off x="1865489" y="4540349"/>
          <a:ext cx="1034712" cy="6179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CIMZIA 200mg inj.  (při udrž. dávce 200mg) - certolizumab peg. (iTNF) - PRVNÍCH 16 TÝDNŮ</a:t>
          </a:r>
        </a:p>
      </cdr:txBody>
    </cdr:sp>
  </cdr:relSizeAnchor>
  <cdr:relSizeAnchor xmlns:cdr="http://schemas.openxmlformats.org/drawingml/2006/chartDrawing">
    <cdr:from>
      <cdr:x>0.24401</cdr:x>
      <cdr:y>0.71364</cdr:y>
    </cdr:from>
    <cdr:to>
      <cdr:x>0.26729</cdr:x>
      <cdr:y>0.7539</cdr:y>
    </cdr:to>
    <cdr:cxnSp macro="">
      <cdr:nvCxnSpPr>
        <cdr:cNvPr id="307" name="Přímá spojnice se šipkou 29">
          <a:extLst xmlns:a="http://schemas.openxmlformats.org/drawingml/2006/main">
            <a:ext uri="{FF2B5EF4-FFF2-40B4-BE49-F238E27FC236}">
              <a16:creationId xmlns:a16="http://schemas.microsoft.com/office/drawing/2014/main" id="{3F7623D6-0609-40A4-9DDB-73155D90B3A1}"/>
            </a:ext>
          </a:extLst>
        </cdr:cNvPr>
        <cdr:cNvCxnSpPr/>
      </cdr:nvCxnSpPr>
      <cdr:spPr>
        <a:xfrm xmlns:a="http://schemas.openxmlformats.org/drawingml/2006/main">
          <a:off x="2483054" y="5217388"/>
          <a:ext cx="236864" cy="29431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0.33099</cdr:x>
      <cdr:y>0.64121</cdr:y>
    </cdr:from>
    <cdr:to>
      <cdr:x>0.40626</cdr:x>
      <cdr:y>0.76222</cdr:y>
    </cdr:to>
    <cdr:sp macro="" textlink="">
      <cdr:nvSpPr>
        <cdr:cNvPr id="308" name="TextovéPole 30"/>
        <cdr:cNvSpPr txBox="1"/>
      </cdr:nvSpPr>
      <cdr:spPr>
        <a:xfrm xmlns:a="http://schemas.openxmlformats.org/drawingml/2006/main">
          <a:off x="3382341" y="4490057"/>
          <a:ext cx="769164" cy="847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CIMZIA 200mg inj.  (při udrž. dávce 400mg) - certolizumab peg. (iTNF) - PRVNÍCH 16 TÝDNŮ</a:t>
          </a:r>
        </a:p>
      </cdr:txBody>
    </cdr:sp>
  </cdr:relSizeAnchor>
  <cdr:relSizeAnchor xmlns:cdr="http://schemas.openxmlformats.org/drawingml/2006/chartDrawing">
    <cdr:from>
      <cdr:x>0.32048</cdr:x>
      <cdr:y>0.66449</cdr:y>
    </cdr:from>
    <cdr:to>
      <cdr:x>0.33734</cdr:x>
      <cdr:y>0.67227</cdr:y>
    </cdr:to>
    <cdr:cxnSp macro="">
      <cdr:nvCxnSpPr>
        <cdr:cNvPr id="309" name="Přímá spojnice se šipkou 32">
          <a:extLst xmlns:a="http://schemas.openxmlformats.org/drawingml/2006/main">
            <a:ext uri="{FF2B5EF4-FFF2-40B4-BE49-F238E27FC236}">
              <a16:creationId xmlns:a16="http://schemas.microsoft.com/office/drawing/2014/main" id="{D9A48282-CF52-4B53-A8CA-00EE1BEEB7FF}"/>
            </a:ext>
          </a:extLst>
        </cdr:cNvPr>
        <cdr:cNvCxnSpPr/>
      </cdr:nvCxnSpPr>
      <cdr:spPr>
        <a:xfrm xmlns:a="http://schemas.openxmlformats.org/drawingml/2006/main" flipH="1">
          <a:off x="3274876" y="4653123"/>
          <a:ext cx="172357" cy="5442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0.11185</cdr:x>
      <cdr:y>0.37811</cdr:y>
    </cdr:from>
    <cdr:to>
      <cdr:x>0.25921</cdr:x>
      <cdr:y>0.47002</cdr:y>
    </cdr:to>
    <cdr:sp macro="" textlink="">
      <cdr:nvSpPr>
        <cdr:cNvPr id="310" name="TextovéPole 35"/>
        <cdr:cNvSpPr txBox="1"/>
      </cdr:nvSpPr>
      <cdr:spPr>
        <a:xfrm xmlns:a="http://schemas.openxmlformats.org/drawingml/2006/main">
          <a:off x="1116543" y="2612496"/>
          <a:ext cx="1471083"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a:t>STELARA 45mg inj. (jen do 100kg) - ustekinumab (antiIL-12 a IL-23) - PRVNÍCH 16 TÝDNŮ</a:t>
          </a:r>
        </a:p>
      </cdr:txBody>
    </cdr:sp>
  </cdr:relSizeAnchor>
  <cdr:relSizeAnchor xmlns:cdr="http://schemas.openxmlformats.org/drawingml/2006/chartDrawing">
    <cdr:from>
      <cdr:x>0.21573</cdr:x>
      <cdr:y>0.4909</cdr:y>
    </cdr:from>
    <cdr:to>
      <cdr:x>0.25745</cdr:x>
      <cdr:y>0.49608</cdr:y>
    </cdr:to>
    <cdr:cxnSp macro="">
      <cdr:nvCxnSpPr>
        <cdr:cNvPr id="311" name="Přímá spojnice se šipkou 37">
          <a:extLst xmlns:a="http://schemas.openxmlformats.org/drawingml/2006/main">
            <a:ext uri="{FF2B5EF4-FFF2-40B4-BE49-F238E27FC236}">
              <a16:creationId xmlns:a16="http://schemas.microsoft.com/office/drawing/2014/main" id="{61B5FCF3-FEB2-41EF-8C45-FFEC685E46C7}"/>
            </a:ext>
          </a:extLst>
        </cdr:cNvPr>
        <cdr:cNvCxnSpPr/>
      </cdr:nvCxnSpPr>
      <cdr:spPr>
        <a:xfrm xmlns:a="http://schemas.openxmlformats.org/drawingml/2006/main">
          <a:off x="2204447" y="3437552"/>
          <a:ext cx="426357" cy="3628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0.48116</cdr:x>
      <cdr:y>0.44297</cdr:y>
    </cdr:from>
    <cdr:to>
      <cdr:x>0.49767</cdr:x>
      <cdr:y>0.50955</cdr:y>
    </cdr:to>
    <cdr:cxnSp macro="">
      <cdr:nvCxnSpPr>
        <cdr:cNvPr id="312" name="Přímá spojnice se šipkou 45">
          <a:extLst xmlns:a="http://schemas.openxmlformats.org/drawingml/2006/main">
            <a:ext uri="{FF2B5EF4-FFF2-40B4-BE49-F238E27FC236}">
              <a16:creationId xmlns:a16="http://schemas.microsoft.com/office/drawing/2014/main" id="{56C246C3-56D0-4887-A408-995D988DA0E5}"/>
            </a:ext>
          </a:extLst>
        </cdr:cNvPr>
        <cdr:cNvCxnSpPr/>
      </cdr:nvCxnSpPr>
      <cdr:spPr>
        <a:xfrm xmlns:a="http://schemas.openxmlformats.org/drawingml/2006/main">
          <a:off x="4916804" y="3101909"/>
          <a:ext cx="168746" cy="466227"/>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0.57641</cdr:x>
      <cdr:y>0.76271</cdr:y>
    </cdr:from>
    <cdr:to>
      <cdr:x>0.83031</cdr:x>
      <cdr:y>0.81092</cdr:y>
    </cdr:to>
    <cdr:sp macro="" textlink="">
      <cdr:nvSpPr>
        <cdr:cNvPr id="313" name="TextovéPole 46"/>
        <cdr:cNvSpPr txBox="1"/>
      </cdr:nvSpPr>
      <cdr:spPr>
        <a:xfrm xmlns:a="http://schemas.openxmlformats.org/drawingml/2006/main">
          <a:off x="5945947" y="5309760"/>
          <a:ext cx="2619083" cy="3356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ZESSLY 100mg inf. 1 (ceny pro  61-80g pac.+ cena za aplik.. - infliximab (iTNF) - ROK UDRŽOVACÍ LÉČBY</a:t>
          </a:r>
        </a:p>
      </cdr:txBody>
    </cdr:sp>
  </cdr:relSizeAnchor>
  <cdr:relSizeAnchor xmlns:cdr="http://schemas.openxmlformats.org/drawingml/2006/chartDrawing">
    <cdr:from>
      <cdr:x>0.10771</cdr:x>
      <cdr:y>0.86426</cdr:y>
    </cdr:from>
    <cdr:to>
      <cdr:x>0.43357</cdr:x>
      <cdr:y>0.91107</cdr:y>
    </cdr:to>
    <cdr:cxnSp macro="">
      <cdr:nvCxnSpPr>
        <cdr:cNvPr id="314" name="Přímá spojnice 48">
          <a:extLst xmlns:a="http://schemas.openxmlformats.org/drawingml/2006/main">
            <a:ext uri="{FF2B5EF4-FFF2-40B4-BE49-F238E27FC236}">
              <a16:creationId xmlns:a16="http://schemas.microsoft.com/office/drawing/2014/main" id="{373E65D5-AC0F-43ED-9888-9D5951F19DE0}"/>
            </a:ext>
          </a:extLst>
        </cdr:cNvPr>
        <cdr:cNvCxnSpPr/>
      </cdr:nvCxnSpPr>
      <cdr:spPr>
        <a:xfrm xmlns:a="http://schemas.openxmlformats.org/drawingml/2006/main" flipV="1">
          <a:off x="1096098" y="6318531"/>
          <a:ext cx="3315908" cy="342260"/>
        </a:xfrm>
        <a:prstGeom xmlns:a="http://schemas.openxmlformats.org/drawingml/2006/main" prst="line">
          <a:avLst/>
        </a:prstGeom>
        <a:ln xmlns:a="http://schemas.openxmlformats.org/drawingml/2006/main" w="381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0.89387</cdr:x>
      <cdr:y>0.26013</cdr:y>
    </cdr:from>
    <cdr:to>
      <cdr:x>0.99726</cdr:x>
      <cdr:y>0.34312</cdr:y>
    </cdr:to>
    <cdr:sp macro="" textlink="">
      <cdr:nvSpPr>
        <cdr:cNvPr id="315" name="TextovéPole 50"/>
        <cdr:cNvSpPr txBox="1"/>
      </cdr:nvSpPr>
      <cdr:spPr>
        <a:xfrm xmlns:a="http://schemas.openxmlformats.org/drawingml/2006/main">
          <a:off x="9096065" y="1901834"/>
          <a:ext cx="1052046" cy="606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rgbClr val="0070C0"/>
              </a:solidFill>
            </a:rPr>
            <a:t>SKYRIZI 75mg inj. - risankizumab (antiIL-23) - ROK UDRŽOVACÍ LÉČBY</a:t>
          </a:r>
        </a:p>
      </cdr:txBody>
    </cdr:sp>
  </cdr:relSizeAnchor>
  <cdr:relSizeAnchor xmlns:cdr="http://schemas.openxmlformats.org/drawingml/2006/chartDrawing">
    <cdr:from>
      <cdr:x>0.94289</cdr:x>
      <cdr:y>0.21869</cdr:y>
    </cdr:from>
    <cdr:to>
      <cdr:x>0.94673</cdr:x>
      <cdr:y>0.26495</cdr:y>
    </cdr:to>
    <cdr:cxnSp macro="">
      <cdr:nvCxnSpPr>
        <cdr:cNvPr id="316" name="Přímá spojnice se šipkou 55">
          <a:extLst xmlns:a="http://schemas.openxmlformats.org/drawingml/2006/main">
            <a:ext uri="{FF2B5EF4-FFF2-40B4-BE49-F238E27FC236}">
              <a16:creationId xmlns:a16="http://schemas.microsoft.com/office/drawing/2014/main" id="{5EC65792-7A6F-4752-B67E-F6BBFA344A48}"/>
            </a:ext>
          </a:extLst>
        </cdr:cNvPr>
        <cdr:cNvCxnSpPr/>
      </cdr:nvCxnSpPr>
      <cdr:spPr>
        <a:xfrm xmlns:a="http://schemas.openxmlformats.org/drawingml/2006/main" flipH="1" flipV="1">
          <a:off x="9662522" y="1528016"/>
          <a:ext cx="39329" cy="32321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0.7807</cdr:x>
      <cdr:y>0.30964</cdr:y>
    </cdr:from>
    <cdr:to>
      <cdr:x>0.89838</cdr:x>
      <cdr:y>0.37398</cdr:y>
    </cdr:to>
    <cdr:sp macro="" textlink="">
      <cdr:nvSpPr>
        <cdr:cNvPr id="317" name="TextovéPole 57"/>
        <cdr:cNvSpPr txBox="1"/>
      </cdr:nvSpPr>
      <cdr:spPr>
        <a:xfrm xmlns:a="http://schemas.openxmlformats.org/drawingml/2006/main">
          <a:off x="7977755" y="2168296"/>
          <a:ext cx="1202539" cy="450542"/>
        </a:xfrm>
        <a:prstGeom xmlns:a="http://schemas.openxmlformats.org/drawingml/2006/main" prst="rect">
          <a:avLst/>
        </a:prstGeom>
        <a:solidFill xmlns:a="http://schemas.openxmlformats.org/drawingml/2006/main">
          <a:srgbClr val="00B0F0"/>
        </a:solidFill>
      </cdr:spPr>
      <cdr:txBody>
        <a:bodyPr xmlns:a="http://schemas.openxmlformats.org/drawingml/2006/main" vertOverflow="clip" wrap="square" rtlCol="0"/>
        <a:lstStyle xmlns:a="http://schemas.openxmlformats.org/drawingml/2006/main"/>
        <a:p xmlns:a="http://schemas.openxmlformats.org/drawingml/2006/main">
          <a:r>
            <a:rPr lang="cs-CZ" sz="900"/>
            <a:t>efficient frontier</a:t>
          </a:r>
          <a:r>
            <a:rPr lang="cs-CZ" sz="900" baseline="0"/>
            <a:t> - rok udržovací léčby</a:t>
          </a:r>
          <a:endParaRPr lang="cs-CZ" sz="900"/>
        </a:p>
      </cdr:txBody>
    </cdr:sp>
  </cdr:relSizeAnchor>
  <cdr:relSizeAnchor xmlns:cdr="http://schemas.openxmlformats.org/drawingml/2006/chartDrawing">
    <cdr:from>
      <cdr:x>0.6</cdr:x>
      <cdr:y>0.8066</cdr:y>
    </cdr:from>
    <cdr:to>
      <cdr:x>0.86304</cdr:x>
      <cdr:y>0.85868</cdr:y>
    </cdr:to>
    <cdr:sp macro="" textlink="">
      <cdr:nvSpPr>
        <cdr:cNvPr id="318" name="TextovéPole 59"/>
        <cdr:cNvSpPr txBox="1"/>
      </cdr:nvSpPr>
      <cdr:spPr>
        <a:xfrm xmlns:a="http://schemas.openxmlformats.org/drawingml/2006/main">
          <a:off x="6105590" y="5896981"/>
          <a:ext cx="2676710" cy="3807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800" b="1" u="sng">
              <a:solidFill>
                <a:srgbClr val="0070C0"/>
              </a:solidFill>
            </a:rPr>
            <a:t>HYRIMOZ 40mg inj. (při dávce 40mg co 2 týdny) - adalimumab (iTNF) - ROK UDRŽOVACÍ LÉČBY</a:t>
          </a:r>
        </a:p>
      </cdr:txBody>
    </cdr:sp>
  </cdr:relSizeAnchor>
  <cdr:relSizeAnchor xmlns:cdr="http://schemas.openxmlformats.org/drawingml/2006/chartDrawing">
    <cdr:from>
      <cdr:x>0.24591</cdr:x>
      <cdr:y>0.6062</cdr:y>
    </cdr:from>
    <cdr:to>
      <cdr:x>0.30805</cdr:x>
      <cdr:y>0.69817</cdr:y>
    </cdr:to>
    <cdr:cxnSp macro="">
      <cdr:nvCxnSpPr>
        <cdr:cNvPr id="319" name="Přímá spojnice se šipkou 103">
          <a:extLst xmlns:a="http://schemas.openxmlformats.org/drawingml/2006/main">
            <a:ext uri="{FF2B5EF4-FFF2-40B4-BE49-F238E27FC236}">
              <a16:creationId xmlns:a16="http://schemas.microsoft.com/office/drawing/2014/main" id="{A62BBC05-685D-43C8-8115-A0B35E4AA3FB}"/>
            </a:ext>
          </a:extLst>
        </cdr:cNvPr>
        <cdr:cNvCxnSpPr/>
      </cdr:nvCxnSpPr>
      <cdr:spPr>
        <a:xfrm xmlns:a="http://schemas.openxmlformats.org/drawingml/2006/main">
          <a:off x="2512876" y="4244909"/>
          <a:ext cx="635000" cy="644071"/>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0.41191</cdr:x>
      <cdr:y>0.59454</cdr:y>
    </cdr:from>
    <cdr:to>
      <cdr:x>0.45097</cdr:x>
      <cdr:y>0.60361</cdr:y>
    </cdr:to>
    <cdr:cxnSp macro="">
      <cdr:nvCxnSpPr>
        <cdr:cNvPr id="321" name="Přímá spojnice se šipkou 106">
          <a:extLst xmlns:a="http://schemas.openxmlformats.org/drawingml/2006/main">
            <a:ext uri="{FF2B5EF4-FFF2-40B4-BE49-F238E27FC236}">
              <a16:creationId xmlns:a16="http://schemas.microsoft.com/office/drawing/2014/main" id="{6FF84112-41FB-433C-8B6D-710695B5815F}"/>
            </a:ext>
          </a:extLst>
        </cdr:cNvPr>
        <cdr:cNvCxnSpPr/>
      </cdr:nvCxnSpPr>
      <cdr:spPr>
        <a:xfrm xmlns:a="http://schemas.openxmlformats.org/drawingml/2006/main">
          <a:off x="4209233" y="4163266"/>
          <a:ext cx="399143" cy="635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0.34989</cdr:x>
      <cdr:y>0.10087</cdr:y>
    </cdr:from>
    <cdr:to>
      <cdr:x>0.49575</cdr:x>
      <cdr:y>0.16884</cdr:y>
    </cdr:to>
    <cdr:sp macro="" textlink="">
      <cdr:nvSpPr>
        <cdr:cNvPr id="322" name="TextovéPole 107"/>
        <cdr:cNvSpPr txBox="1"/>
      </cdr:nvSpPr>
      <cdr:spPr>
        <a:xfrm xmlns:a="http://schemas.openxmlformats.org/drawingml/2006/main">
          <a:off x="3585572" y="737441"/>
          <a:ext cx="1494766" cy="4969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CIMZIA 200mg inj.  (při udrž. dávce 400mg) - certolizumab peg. (iTNF) - ROK UDRŽOVACÍ LÉČBY</a:t>
          </a:r>
        </a:p>
      </cdr:txBody>
    </cdr:sp>
  </cdr:relSizeAnchor>
  <cdr:relSizeAnchor xmlns:cdr="http://schemas.openxmlformats.org/drawingml/2006/chartDrawing">
    <cdr:from>
      <cdr:x>0.46986</cdr:x>
      <cdr:y>0.15092</cdr:y>
    </cdr:from>
    <cdr:to>
      <cdr:x>0.52377</cdr:x>
      <cdr:y>0.21368</cdr:y>
    </cdr:to>
    <cdr:cxnSp macro="">
      <cdr:nvCxnSpPr>
        <cdr:cNvPr id="323" name="Přímá spojnice se šipkou 109">
          <a:extLst xmlns:a="http://schemas.openxmlformats.org/drawingml/2006/main">
            <a:ext uri="{FF2B5EF4-FFF2-40B4-BE49-F238E27FC236}">
              <a16:creationId xmlns:a16="http://schemas.microsoft.com/office/drawing/2014/main" id="{890E733D-8B34-4F21-B0CF-7FC1F6416440}"/>
            </a:ext>
          </a:extLst>
        </cdr:cNvPr>
        <cdr:cNvCxnSpPr/>
      </cdr:nvCxnSpPr>
      <cdr:spPr>
        <a:xfrm xmlns:a="http://schemas.openxmlformats.org/drawingml/2006/main">
          <a:off x="4801368" y="1056821"/>
          <a:ext cx="550865" cy="43944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0.15937</cdr:x>
      <cdr:y>0.16984</cdr:y>
    </cdr:from>
    <cdr:to>
      <cdr:x>0.36529</cdr:x>
      <cdr:y>0.22232</cdr:y>
    </cdr:to>
    <cdr:sp macro="" textlink="">
      <cdr:nvSpPr>
        <cdr:cNvPr id="324" name="TextovéPole 110"/>
        <cdr:cNvSpPr txBox="1"/>
      </cdr:nvSpPr>
      <cdr:spPr>
        <a:xfrm xmlns:a="http://schemas.openxmlformats.org/drawingml/2006/main">
          <a:off x="1621741" y="1241704"/>
          <a:ext cx="2095500" cy="383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STELARA 45mg inj. (jen do 100kg) - ustekinumab (antiIL-12 a IL-23) - ROK UDRŽOVACÍ LÉČBY</a:t>
          </a:r>
        </a:p>
      </cdr:txBody>
    </cdr:sp>
  </cdr:relSizeAnchor>
  <cdr:relSizeAnchor xmlns:cdr="http://schemas.openxmlformats.org/drawingml/2006/chartDrawing">
    <cdr:from>
      <cdr:x>0.49854</cdr:x>
      <cdr:y>0.07489</cdr:y>
    </cdr:from>
    <cdr:to>
      <cdr:x>0.62162</cdr:x>
      <cdr:y>0.14899</cdr:y>
    </cdr:to>
    <cdr:sp macro="" textlink="">
      <cdr:nvSpPr>
        <cdr:cNvPr id="326" name="TextovéPole 113"/>
        <cdr:cNvSpPr txBox="1"/>
      </cdr:nvSpPr>
      <cdr:spPr>
        <a:xfrm xmlns:a="http://schemas.openxmlformats.org/drawingml/2006/main">
          <a:off x="5073153" y="547502"/>
          <a:ext cx="1252447" cy="541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700" b="1"/>
            <a:t>COSENTYX 150mg inj. - secukinumab (antiIL-17) - ROK UDRŽOVACÍ LÉČBY</a:t>
          </a:r>
        </a:p>
      </cdr:txBody>
    </cdr:sp>
  </cdr:relSizeAnchor>
  <cdr:relSizeAnchor xmlns:cdr="http://schemas.openxmlformats.org/drawingml/2006/chartDrawing">
    <cdr:from>
      <cdr:x>0.53766</cdr:x>
      <cdr:y>0.12826</cdr:y>
    </cdr:from>
    <cdr:to>
      <cdr:x>0.61355</cdr:x>
      <cdr:y>0.22952</cdr:y>
    </cdr:to>
    <cdr:cxnSp macro="">
      <cdr:nvCxnSpPr>
        <cdr:cNvPr id="327" name="Přímá spojnice se šipkou 115">
          <a:extLst xmlns:a="http://schemas.openxmlformats.org/drawingml/2006/main">
            <a:ext uri="{FF2B5EF4-FFF2-40B4-BE49-F238E27FC236}">
              <a16:creationId xmlns:a16="http://schemas.microsoft.com/office/drawing/2014/main" id="{94CBB80B-7EF0-4E74-9604-D3FD3A25D9F2}"/>
            </a:ext>
          </a:extLst>
        </cdr:cNvPr>
        <cdr:cNvCxnSpPr/>
      </cdr:nvCxnSpPr>
      <cdr:spPr>
        <a:xfrm xmlns:a="http://schemas.openxmlformats.org/drawingml/2006/main">
          <a:off x="5509807" y="892936"/>
          <a:ext cx="777690" cy="70493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0.64515</cdr:x>
      <cdr:y>0.1675</cdr:y>
    </cdr:from>
    <cdr:to>
      <cdr:x>0.68759</cdr:x>
      <cdr:y>0.17348</cdr:y>
    </cdr:to>
    <cdr:cxnSp macro="">
      <cdr:nvCxnSpPr>
        <cdr:cNvPr id="328" name="Přímá spojnice se šipkou 118">
          <a:extLst xmlns:a="http://schemas.openxmlformats.org/drawingml/2006/main">
            <a:ext uri="{FF2B5EF4-FFF2-40B4-BE49-F238E27FC236}">
              <a16:creationId xmlns:a16="http://schemas.microsoft.com/office/drawing/2014/main" id="{4AB54783-5FBD-4C28-B0B5-CB15427DC8D7}"/>
            </a:ext>
          </a:extLst>
        </cdr:cNvPr>
        <cdr:cNvCxnSpPr/>
      </cdr:nvCxnSpPr>
      <cdr:spPr>
        <a:xfrm xmlns:a="http://schemas.openxmlformats.org/drawingml/2006/main">
          <a:off x="6611347" y="1166066"/>
          <a:ext cx="434946" cy="41677"/>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0.74925</cdr:x>
      <cdr:y>0.2642</cdr:y>
    </cdr:from>
    <cdr:to>
      <cdr:x>0.78032</cdr:x>
      <cdr:y>0.26938</cdr:y>
    </cdr:to>
    <cdr:cxnSp macro="">
      <cdr:nvCxnSpPr>
        <cdr:cNvPr id="330" name="Přímá spojnice se šipkou 121">
          <a:extLst xmlns:a="http://schemas.openxmlformats.org/drawingml/2006/main">
            <a:ext uri="{FF2B5EF4-FFF2-40B4-BE49-F238E27FC236}">
              <a16:creationId xmlns:a16="http://schemas.microsoft.com/office/drawing/2014/main" id="{2D683D83-6B06-4405-B1A5-93DAD9940F7C}"/>
            </a:ext>
          </a:extLst>
        </cdr:cNvPr>
        <cdr:cNvCxnSpPr/>
      </cdr:nvCxnSpPr>
      <cdr:spPr>
        <a:xfrm xmlns:a="http://schemas.openxmlformats.org/drawingml/2006/main">
          <a:off x="7656376" y="1850052"/>
          <a:ext cx="317500" cy="3628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0.79586</cdr:x>
      <cdr:y>0.09788</cdr:y>
    </cdr:from>
    <cdr:to>
      <cdr:x>0.83991</cdr:x>
      <cdr:y>0.10248</cdr:y>
    </cdr:to>
    <cdr:cxnSp macro="">
      <cdr:nvCxnSpPr>
        <cdr:cNvPr id="332" name="Přímá spojnice se šipkou 125">
          <a:extLst xmlns:a="http://schemas.openxmlformats.org/drawingml/2006/main">
            <a:ext uri="{FF2B5EF4-FFF2-40B4-BE49-F238E27FC236}">
              <a16:creationId xmlns:a16="http://schemas.microsoft.com/office/drawing/2014/main" id="{AA63C85D-7B3F-4EF7-921C-4682F41D2E61}"/>
            </a:ext>
          </a:extLst>
        </cdr:cNvPr>
        <cdr:cNvCxnSpPr/>
      </cdr:nvCxnSpPr>
      <cdr:spPr>
        <a:xfrm xmlns:a="http://schemas.openxmlformats.org/drawingml/2006/main" flipH="1" flipV="1">
          <a:off x="8098741" y="715590"/>
          <a:ext cx="448235" cy="33617"/>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0.0322</cdr:x>
      <cdr:y>0.01835</cdr:y>
    </cdr:from>
    <cdr:to>
      <cdr:x>0.98817</cdr:x>
      <cdr:y>0.06478</cdr:y>
    </cdr:to>
    <cdr:sp macro="" textlink="">
      <cdr:nvSpPr>
        <cdr:cNvPr id="333" name="TextovéPole 182"/>
        <cdr:cNvSpPr txBox="1"/>
      </cdr:nvSpPr>
      <cdr:spPr>
        <a:xfrm xmlns:a="http://schemas.openxmlformats.org/drawingml/2006/main">
          <a:off x="321858" y="131758"/>
          <a:ext cx="9556617" cy="3333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cs-CZ" sz="1200" b="1" i="0" baseline="0">
              <a:effectLst/>
              <a:latin typeface="+mn-lt"/>
              <a:ea typeface="+mn-ea"/>
              <a:cs typeface="+mn-cs"/>
            </a:rPr>
            <a:t>Četnost  dosažení PASI 100 intervence vůči placebu v % pac. oproti ceně intervence za prvních 16 týdnů (u etaner. za 12 týdnů), resp. 1 rok udrž.  léčby</a:t>
          </a:r>
          <a:endParaRPr lang="cs-CZ" sz="1200">
            <a:effectLst/>
          </a:endParaRPr>
        </a:p>
        <a:p xmlns:a="http://schemas.openxmlformats.org/drawingml/2006/main">
          <a:endParaRPr lang="cs-CZ" sz="1100"/>
        </a:p>
      </cdr:txBody>
    </cdr:sp>
  </cdr:relSizeAnchor>
  <cdr:relSizeAnchor xmlns:cdr="http://schemas.openxmlformats.org/drawingml/2006/chartDrawing">
    <cdr:from>
      <cdr:x>0.10868</cdr:x>
      <cdr:y>0.46321</cdr:y>
    </cdr:from>
    <cdr:to>
      <cdr:x>0.23663</cdr:x>
      <cdr:y>0.51409</cdr:y>
    </cdr:to>
    <cdr:sp macro="" textlink="">
      <cdr:nvSpPr>
        <cdr:cNvPr id="334" name="TextovéPole 1"/>
        <cdr:cNvSpPr txBox="1"/>
      </cdr:nvSpPr>
      <cdr:spPr>
        <a:xfrm xmlns:a="http://schemas.openxmlformats.org/drawingml/2006/main">
          <a:off x="1110608" y="3243651"/>
          <a:ext cx="1307485" cy="3562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700" b="1"/>
            <a:t> ILUMETRI 100mg inj. 1x1ml - tildrakizumab (antiIL-23) - PRVNÍCH 16 TÝDNŮ </a:t>
          </a:r>
        </a:p>
      </cdr:txBody>
    </cdr:sp>
  </cdr:relSizeAnchor>
  <cdr:relSizeAnchor xmlns:cdr="http://schemas.openxmlformats.org/drawingml/2006/chartDrawing">
    <cdr:from>
      <cdr:x>0.77825</cdr:x>
      <cdr:y>0.09492</cdr:y>
    </cdr:from>
    <cdr:to>
      <cdr:x>0.78517</cdr:x>
      <cdr:y>0.10218</cdr:y>
    </cdr:to>
    <cdr:sp macro="" textlink="">
      <cdr:nvSpPr>
        <cdr:cNvPr id="335" name="Kosočtverec 224"/>
        <cdr:cNvSpPr/>
      </cdr:nvSpPr>
      <cdr:spPr>
        <a:xfrm xmlns:a="http://schemas.openxmlformats.org/drawingml/2006/main">
          <a:off x="8028024" y="691932"/>
          <a:ext cx="71339" cy="52917"/>
        </a:xfrm>
        <a:prstGeom xmlns:a="http://schemas.openxmlformats.org/drawingml/2006/main" prst="diamond">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0.72937</cdr:x>
      <cdr:y>0.12441</cdr:y>
    </cdr:from>
    <cdr:to>
      <cdr:x>0.83891</cdr:x>
      <cdr:y>0.21108</cdr:y>
    </cdr:to>
    <cdr:sp macro="" textlink="">
      <cdr:nvSpPr>
        <cdr:cNvPr id="336" name="TextovéPole 20"/>
        <cdr:cNvSpPr txBox="1"/>
      </cdr:nvSpPr>
      <cdr:spPr>
        <a:xfrm xmlns:a="http://schemas.openxmlformats.org/drawingml/2006/main">
          <a:off x="7453277" y="871213"/>
          <a:ext cx="1119312" cy="6069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u="sng">
              <a:solidFill>
                <a:srgbClr val="0070C0"/>
              </a:solidFill>
            </a:rPr>
            <a:t>BIMZELX 160mg inj. 2x1ml - bimekizumab (antiIL-17) - ROK UDRŽ. LÉČBY</a:t>
          </a:r>
        </a:p>
      </cdr:txBody>
    </cdr:sp>
  </cdr:relSizeAnchor>
  <cdr:relSizeAnchor xmlns:cdr="http://schemas.openxmlformats.org/drawingml/2006/chartDrawing">
    <cdr:from>
      <cdr:x>0.64495</cdr:x>
      <cdr:y>0.43953</cdr:y>
    </cdr:from>
    <cdr:to>
      <cdr:x>0.65476</cdr:x>
      <cdr:y>0.6398</cdr:y>
    </cdr:to>
    <cdr:cxnSp macro="">
      <cdr:nvCxnSpPr>
        <cdr:cNvPr id="337" name="Přímá spojnice 241">
          <a:extLst xmlns:a="http://schemas.openxmlformats.org/drawingml/2006/main">
            <a:ext uri="{FF2B5EF4-FFF2-40B4-BE49-F238E27FC236}">
              <a16:creationId xmlns:a16="http://schemas.microsoft.com/office/drawing/2014/main" id="{00000000-0008-0000-0800-000014000000}"/>
            </a:ext>
          </a:extLst>
        </cdr:cNvPr>
        <cdr:cNvCxnSpPr/>
      </cdr:nvCxnSpPr>
      <cdr:spPr>
        <a:xfrm xmlns:a="http://schemas.openxmlformats.org/drawingml/2006/main" flipV="1">
          <a:off x="6625635" y="3056389"/>
          <a:ext cx="100812" cy="1392627"/>
        </a:xfrm>
        <a:prstGeom xmlns:a="http://schemas.openxmlformats.org/drawingml/2006/main" prst="line">
          <a:avLst/>
        </a:prstGeom>
        <a:ln xmlns:a="http://schemas.openxmlformats.org/drawingml/2006/main" w="25400">
          <a:solidFill>
            <a:srgbClr val="FFC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0.2836</cdr:x>
      <cdr:y>0.2246</cdr:y>
    </cdr:from>
    <cdr:to>
      <cdr:x>0.41155</cdr:x>
      <cdr:y>0.27548</cdr:y>
    </cdr:to>
    <cdr:sp macro="" textlink="">
      <cdr:nvSpPr>
        <cdr:cNvPr id="339" name="TextovéPole 1"/>
        <cdr:cNvSpPr txBox="1"/>
      </cdr:nvSpPr>
      <cdr:spPr>
        <a:xfrm xmlns:a="http://schemas.openxmlformats.org/drawingml/2006/main">
          <a:off x="2925471" y="1563598"/>
          <a:ext cx="1319866" cy="3542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700" b="1"/>
            <a:t> ILUMETRI 100mg inj. 1x1ml - tildrakizumab (antiIL-23) - ROK</a:t>
          </a:r>
          <a:r>
            <a:rPr lang="cs-CZ" sz="700" b="1" baseline="0"/>
            <a:t> UDRŽ. LÉČBY</a:t>
          </a:r>
          <a:endParaRPr lang="cs-CZ" sz="700" b="1"/>
        </a:p>
      </cdr:txBody>
    </cdr:sp>
  </cdr:relSizeAnchor>
  <cdr:relSizeAnchor xmlns:cdr="http://schemas.openxmlformats.org/drawingml/2006/chartDrawing">
    <cdr:from>
      <cdr:x>0.39482</cdr:x>
      <cdr:y>0.26445</cdr:y>
    </cdr:from>
    <cdr:to>
      <cdr:x>0.44831</cdr:x>
      <cdr:y>0.30306</cdr:y>
    </cdr:to>
    <cdr:cxnSp macro="">
      <cdr:nvCxnSpPr>
        <cdr:cNvPr id="340" name="Přímá spojnice se šipkou 339">
          <a:extLst xmlns:a="http://schemas.openxmlformats.org/drawingml/2006/main">
            <a:ext uri="{FF2B5EF4-FFF2-40B4-BE49-F238E27FC236}">
              <a16:creationId xmlns:a16="http://schemas.microsoft.com/office/drawing/2014/main" id="{A62BBC05-685D-43C8-8115-A0B35E4AA3FB}"/>
            </a:ext>
          </a:extLst>
        </cdr:cNvPr>
        <cdr:cNvCxnSpPr/>
      </cdr:nvCxnSpPr>
      <cdr:spPr>
        <a:xfrm xmlns:a="http://schemas.openxmlformats.org/drawingml/2006/main">
          <a:off x="4034555" y="1851817"/>
          <a:ext cx="546606" cy="27037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612775</xdr:colOff>
      <xdr:row>0</xdr:row>
      <xdr:rowOff>28575</xdr:rowOff>
    </xdr:to>
    <xdr:pic>
      <xdr:nvPicPr>
        <xdr:cNvPr id="2" name="Obrázek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127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612775</xdr:colOff>
      <xdr:row>0</xdr:row>
      <xdr:rowOff>28575</xdr:rowOff>
    </xdr:to>
    <xdr:pic>
      <xdr:nvPicPr>
        <xdr:cNvPr id="3" name="Obrázek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127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365124</xdr:colOff>
      <xdr:row>0</xdr:row>
      <xdr:rowOff>42334</xdr:rowOff>
    </xdr:from>
    <xdr:to>
      <xdr:col>18</xdr:col>
      <xdr:colOff>603250</xdr:colOff>
      <xdr:row>15</xdr:row>
      <xdr:rowOff>1</xdr:rowOff>
    </xdr:to>
    <xdr:graphicFrame macro="">
      <xdr:nvGraphicFramePr>
        <xdr:cNvPr id="4" name="Graf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148166</xdr:colOff>
      <xdr:row>11</xdr:row>
      <xdr:rowOff>190498</xdr:rowOff>
    </xdr:from>
    <xdr:to>
      <xdr:col>5</xdr:col>
      <xdr:colOff>359834</xdr:colOff>
      <xdr:row>12</xdr:row>
      <xdr:rowOff>232832</xdr:rowOff>
    </xdr:to>
    <xdr:sp macro="" textlink="">
      <xdr:nvSpPr>
        <xdr:cNvPr id="5" name="TextovéPole 4">
          <a:extLst>
            <a:ext uri="{FF2B5EF4-FFF2-40B4-BE49-F238E27FC236}">
              <a16:creationId xmlns:a16="http://schemas.microsoft.com/office/drawing/2014/main" id="{00000000-0008-0000-0800-000005000000}"/>
            </a:ext>
          </a:extLst>
        </xdr:cNvPr>
        <xdr:cNvSpPr txBox="1"/>
      </xdr:nvSpPr>
      <xdr:spPr>
        <a:xfrm>
          <a:off x="6836833" y="4836581"/>
          <a:ext cx="211668" cy="433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0</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0.21786</cdr:x>
      <cdr:y>0.76709</cdr:y>
    </cdr:from>
    <cdr:to>
      <cdr:x>0.23355</cdr:x>
      <cdr:y>0.78207</cdr:y>
    </cdr:to>
    <cdr:sp macro="" textlink="">
      <cdr:nvSpPr>
        <cdr:cNvPr id="2" name="Rovnoramenný trojúhelník 1"/>
        <cdr:cNvSpPr/>
      </cdr:nvSpPr>
      <cdr:spPr>
        <a:xfrm xmlns:a="http://schemas.openxmlformats.org/drawingml/2006/main">
          <a:off x="2057824" y="4879140"/>
          <a:ext cx="148202" cy="95282"/>
        </a:xfrm>
        <a:prstGeom xmlns:a="http://schemas.openxmlformats.org/drawingml/2006/main" prst="triangle">
          <a:avLst/>
        </a:prstGeom>
        <a:solidFill xmlns:a="http://schemas.openxmlformats.org/drawingml/2006/main">
          <a:schemeClr val="accent2"/>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0.22547</cdr:x>
      <cdr:y>0.77205</cdr:y>
    </cdr:from>
    <cdr:to>
      <cdr:x>0.52269</cdr:x>
      <cdr:y>0.77852</cdr:y>
    </cdr:to>
    <cdr:cxnSp macro="">
      <cdr:nvCxnSpPr>
        <cdr:cNvPr id="3" name="Přímá spojnice 2">
          <a:extLst xmlns:a="http://schemas.openxmlformats.org/drawingml/2006/main">
            <a:ext uri="{FF2B5EF4-FFF2-40B4-BE49-F238E27FC236}">
              <a16:creationId xmlns:a16="http://schemas.microsoft.com/office/drawing/2014/main" id="{02A6F498-D189-451B-A24E-B630ECB99F6A}"/>
            </a:ext>
          </a:extLst>
        </cdr:cNvPr>
        <cdr:cNvCxnSpPr/>
      </cdr:nvCxnSpPr>
      <cdr:spPr>
        <a:xfrm xmlns:a="http://schemas.openxmlformats.org/drawingml/2006/main" flipV="1">
          <a:off x="2129705" y="4910666"/>
          <a:ext cx="2807421" cy="41176"/>
        </a:xfrm>
        <a:prstGeom xmlns:a="http://schemas.openxmlformats.org/drawingml/2006/main" prst="line">
          <a:avLst/>
        </a:prstGeom>
        <a:ln xmlns:a="http://schemas.openxmlformats.org/drawingml/2006/main" w="3810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0.53725</cdr:x>
      <cdr:y>0.68719</cdr:y>
    </cdr:from>
    <cdr:to>
      <cdr:x>0.86331</cdr:x>
      <cdr:y>0.76705</cdr:y>
    </cdr:to>
    <cdr:cxnSp macro="">
      <cdr:nvCxnSpPr>
        <cdr:cNvPr id="5" name="Přímá spojnice 4">
          <a:extLst xmlns:a="http://schemas.openxmlformats.org/drawingml/2006/main">
            <a:ext uri="{FF2B5EF4-FFF2-40B4-BE49-F238E27FC236}">
              <a16:creationId xmlns:a16="http://schemas.microsoft.com/office/drawing/2014/main" id="{02A6F498-D189-451B-A24E-B630ECB99F6A}"/>
            </a:ext>
          </a:extLst>
        </cdr:cNvPr>
        <cdr:cNvCxnSpPr/>
      </cdr:nvCxnSpPr>
      <cdr:spPr>
        <a:xfrm xmlns:a="http://schemas.openxmlformats.org/drawingml/2006/main" flipV="1">
          <a:off x="5074709" y="4370916"/>
          <a:ext cx="3079750" cy="508000"/>
        </a:xfrm>
        <a:prstGeom xmlns:a="http://schemas.openxmlformats.org/drawingml/2006/main" prst="line">
          <a:avLst/>
        </a:prstGeom>
        <a:ln xmlns:a="http://schemas.openxmlformats.org/drawingml/2006/main" w="3810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0.68023</cdr:x>
      <cdr:y>0.68101</cdr:y>
    </cdr:from>
    <cdr:to>
      <cdr:x>0.80275</cdr:x>
      <cdr:y>0.73165</cdr:y>
    </cdr:to>
    <cdr:sp macro="" textlink="">
      <cdr:nvSpPr>
        <cdr:cNvPr id="8" name="TextovéPole 5"/>
        <cdr:cNvSpPr txBox="1"/>
      </cdr:nvSpPr>
      <cdr:spPr>
        <a:xfrm xmlns:a="http://schemas.openxmlformats.org/drawingml/2006/main">
          <a:off x="6425207" y="4331595"/>
          <a:ext cx="1157278" cy="322100"/>
        </a:xfrm>
        <a:prstGeom xmlns:a="http://schemas.openxmlformats.org/drawingml/2006/main" prst="rect">
          <a:avLst/>
        </a:prstGeom>
        <a:solidFill xmlns:a="http://schemas.openxmlformats.org/drawingml/2006/main">
          <a:srgbClr val="FFC000"/>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a:t>efficient</a:t>
          </a:r>
          <a:r>
            <a:rPr lang="cs-CZ" sz="900" baseline="0"/>
            <a:t> frontier - prvních 16 týdnů</a:t>
          </a:r>
          <a:endParaRPr lang="cs-CZ" sz="900"/>
        </a:p>
      </cdr:txBody>
    </cdr:sp>
  </cdr:relSizeAnchor>
  <cdr:relSizeAnchor xmlns:cdr="http://schemas.openxmlformats.org/drawingml/2006/chartDrawing">
    <cdr:from>
      <cdr:x>0.46218</cdr:x>
      <cdr:y>0.66722</cdr:y>
    </cdr:from>
    <cdr:to>
      <cdr:x>0.52269</cdr:x>
      <cdr:y>0.75707</cdr:y>
    </cdr:to>
    <cdr:cxnSp macro="">
      <cdr:nvCxnSpPr>
        <cdr:cNvPr id="9" name="Přímá spojnice se šipkou 8">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4365626" y="4243916"/>
          <a:ext cx="571500" cy="5715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0.16959</cdr:x>
      <cdr:y>0.69924</cdr:y>
    </cdr:from>
    <cdr:to>
      <cdr:x>0.2577</cdr:x>
      <cdr:y>0.73881</cdr:y>
    </cdr:to>
    <cdr:sp macro="" textlink="">
      <cdr:nvSpPr>
        <cdr:cNvPr id="10" name="TextovéPole 9"/>
        <cdr:cNvSpPr txBox="1"/>
      </cdr:nvSpPr>
      <cdr:spPr>
        <a:xfrm xmlns:a="http://schemas.openxmlformats.org/drawingml/2006/main">
          <a:off x="1487015" y="4847166"/>
          <a:ext cx="772574" cy="27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b="1">
              <a:solidFill>
                <a:schemeClr val="accent4">
                  <a:lumMod val="75000"/>
                </a:schemeClr>
              </a:solidFill>
            </a:rPr>
            <a:t>placebo</a:t>
          </a:r>
        </a:p>
      </cdr:txBody>
    </cdr:sp>
  </cdr:relSizeAnchor>
  <cdr:relSizeAnchor xmlns:cdr="http://schemas.openxmlformats.org/drawingml/2006/chartDrawing">
    <cdr:from>
      <cdr:x>0.34243</cdr:x>
      <cdr:y>0.60563</cdr:y>
    </cdr:from>
    <cdr:to>
      <cdr:x>0.54397</cdr:x>
      <cdr:y>0.67539</cdr:y>
    </cdr:to>
    <cdr:sp macro="" textlink="">
      <cdr:nvSpPr>
        <cdr:cNvPr id="11" name="TextovéPole 1"/>
        <cdr:cNvSpPr txBox="1"/>
      </cdr:nvSpPr>
      <cdr:spPr>
        <a:xfrm xmlns:a="http://schemas.openxmlformats.org/drawingml/2006/main">
          <a:off x="3234448" y="3852132"/>
          <a:ext cx="1903652" cy="443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4">
                  <a:lumMod val="75000"/>
                </a:schemeClr>
              </a:solidFill>
            </a:rPr>
            <a:t>METHOTREXAT EBEWE 2,5mg tbl 50 (při dávce 7x 2,5mg týdně9) - MTX - PRVNÍCH 16 TÝDNŮ</a:t>
          </a:r>
        </a:p>
      </cdr:txBody>
    </cdr:sp>
  </cdr:relSizeAnchor>
  <cdr:relSizeAnchor xmlns:cdr="http://schemas.openxmlformats.org/drawingml/2006/chartDrawing">
    <cdr:from>
      <cdr:x>0.19855</cdr:x>
      <cdr:y>0.73344</cdr:y>
    </cdr:from>
    <cdr:to>
      <cdr:x>0.21786</cdr:x>
      <cdr:y>0.75929</cdr:y>
    </cdr:to>
    <cdr:cxnSp macro="">
      <cdr:nvCxnSpPr>
        <cdr:cNvPr id="13" name="Přímá spojnice se šipkou 12">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1740959" y="4804834"/>
          <a:ext cx="169333" cy="16933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0.74922</cdr:x>
      <cdr:y>0.27883</cdr:y>
    </cdr:from>
    <cdr:to>
      <cdr:x>0.91337</cdr:x>
      <cdr:y>0.38528</cdr:y>
    </cdr:to>
    <cdr:sp macro="" textlink="">
      <cdr:nvSpPr>
        <cdr:cNvPr id="16" name="TextovéPole 1"/>
        <cdr:cNvSpPr txBox="1"/>
      </cdr:nvSpPr>
      <cdr:spPr>
        <a:xfrm xmlns:a="http://schemas.openxmlformats.org/drawingml/2006/main">
          <a:off x="7076875" y="1773533"/>
          <a:ext cx="1550520" cy="677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4">
                  <a:lumMod val="75000"/>
                </a:schemeClr>
              </a:solidFill>
            </a:rPr>
            <a:t>HYRIMOZ 40mg inj 2x0,8ml (při dávce 40mg co 2 týdny) - adalimumab (iTNF) - PRVNÍCH 16 TÝDNŮ </a:t>
          </a:r>
        </a:p>
      </cdr:txBody>
    </cdr:sp>
  </cdr:relSizeAnchor>
  <cdr:relSizeAnchor xmlns:cdr="http://schemas.openxmlformats.org/drawingml/2006/chartDrawing">
    <cdr:from>
      <cdr:x>0.82906</cdr:x>
      <cdr:y>0.38195</cdr:y>
    </cdr:from>
    <cdr:to>
      <cdr:x>0.86667</cdr:x>
      <cdr:y>0.66389</cdr:y>
    </cdr:to>
    <cdr:cxnSp macro="">
      <cdr:nvCxnSpPr>
        <cdr:cNvPr id="17" name="Přímá spojnice se šipkou 16">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7830968" y="2429450"/>
          <a:ext cx="355241" cy="179329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0.30084</cdr:x>
      <cdr:y>0.63727</cdr:y>
    </cdr:from>
    <cdr:to>
      <cdr:x>0.38487</cdr:x>
      <cdr:y>0.73544</cdr:y>
    </cdr:to>
    <cdr:cxnSp macro="">
      <cdr:nvCxnSpPr>
        <cdr:cNvPr id="20" name="Přímá spojnice se šipkou 19">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2841626" y="4053416"/>
          <a:ext cx="793750" cy="624416"/>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0.21699</cdr:x>
      <cdr:y>0.18198</cdr:y>
    </cdr:from>
    <cdr:to>
      <cdr:x>0.42185</cdr:x>
      <cdr:y>0.24792</cdr:y>
    </cdr:to>
    <cdr:sp macro="" textlink="">
      <cdr:nvSpPr>
        <cdr:cNvPr id="27" name="TextovéPole 1"/>
        <cdr:cNvSpPr txBox="1"/>
      </cdr:nvSpPr>
      <cdr:spPr>
        <a:xfrm xmlns:a="http://schemas.openxmlformats.org/drawingml/2006/main">
          <a:off x="2049638" y="1157506"/>
          <a:ext cx="1934988" cy="4194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4">
                  <a:lumMod val="75000"/>
                </a:schemeClr>
              </a:solidFill>
            </a:rPr>
            <a:t>OTEZLA 30mg tbl. 56x30mg - apremilast - PRVNÍCH 16 TÝDNŮ </a:t>
          </a:r>
        </a:p>
      </cdr:txBody>
    </cdr:sp>
  </cdr:relSizeAnchor>
  <cdr:relSizeAnchor xmlns:cdr="http://schemas.openxmlformats.org/drawingml/2006/chartDrawing">
    <cdr:from>
      <cdr:x>0.38151</cdr:x>
      <cdr:y>0.20299</cdr:y>
    </cdr:from>
    <cdr:to>
      <cdr:x>0.46106</cdr:x>
      <cdr:y>0.20799</cdr:y>
    </cdr:to>
    <cdr:cxnSp macro="">
      <cdr:nvCxnSpPr>
        <cdr:cNvPr id="28" name="Přímá spojnice se šipkou 27">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flipV="1">
          <a:off x="3603626" y="1291166"/>
          <a:ext cx="751417" cy="3175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0.60112</cdr:x>
      <cdr:y>0.52017</cdr:y>
    </cdr:from>
    <cdr:to>
      <cdr:x>0.75798</cdr:x>
      <cdr:y>0.63394</cdr:y>
    </cdr:to>
    <cdr:sp macro="" textlink="">
      <cdr:nvSpPr>
        <cdr:cNvPr id="36" name="TextovéPole 1"/>
        <cdr:cNvSpPr txBox="1"/>
      </cdr:nvSpPr>
      <cdr:spPr>
        <a:xfrm xmlns:a="http://schemas.openxmlformats.org/drawingml/2006/main">
          <a:off x="5677959" y="3308601"/>
          <a:ext cx="1481666" cy="723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2"/>
              </a:solidFill>
            </a:rPr>
            <a:t>EQUORAL 100mg cps 50 (při dávce 2,5mg/kg pro 80kg  pac.) - ciclosporin - PRVNÍCH</a:t>
          </a:r>
          <a:r>
            <a:rPr lang="cs-CZ" sz="900" b="1" baseline="0">
              <a:solidFill>
                <a:schemeClr val="accent2"/>
              </a:solidFill>
            </a:rPr>
            <a:t> 16 TÝDNŮ</a:t>
          </a:r>
          <a:endParaRPr lang="cs-CZ" sz="900" b="1">
            <a:solidFill>
              <a:schemeClr val="accent2"/>
            </a:solidFill>
          </a:endParaRPr>
        </a:p>
      </cdr:txBody>
    </cdr:sp>
  </cdr:relSizeAnchor>
  <cdr:relSizeAnchor xmlns:cdr="http://schemas.openxmlformats.org/drawingml/2006/chartDrawing">
    <cdr:from>
      <cdr:x>0.04321</cdr:x>
      <cdr:y>0.23102</cdr:y>
    </cdr:from>
    <cdr:to>
      <cdr:x>0.07797</cdr:x>
      <cdr:y>0.81963</cdr:y>
    </cdr:to>
    <cdr:sp macro="" textlink="">
      <cdr:nvSpPr>
        <cdr:cNvPr id="48" name="TextovéPole 2">
          <a:extLst xmlns:a="http://schemas.openxmlformats.org/drawingml/2006/main">
            <a:ext uri="{FF2B5EF4-FFF2-40B4-BE49-F238E27FC236}">
              <a16:creationId xmlns:a16="http://schemas.microsoft.com/office/drawing/2014/main" id="{00000000-0008-0000-0A00-000003000000}"/>
            </a:ext>
          </a:extLst>
        </cdr:cNvPr>
        <cdr:cNvSpPr txBox="1"/>
      </cdr:nvSpPr>
      <cdr:spPr>
        <a:xfrm xmlns:a="http://schemas.openxmlformats.org/drawingml/2006/main">
          <a:off x="378878" y="1513417"/>
          <a:ext cx="304786" cy="385604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lIns="0" tIns="144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t>cena intervence za prvních 16 týdnů léčby </a:t>
          </a:r>
        </a:p>
      </cdr:txBody>
    </cdr:sp>
  </cdr:relSizeAnchor>
  <cdr:relSizeAnchor xmlns:cdr="http://schemas.openxmlformats.org/drawingml/2006/chartDrawing">
    <cdr:from>
      <cdr:x>0.13458</cdr:x>
      <cdr:y>0.81389</cdr:y>
    </cdr:from>
    <cdr:to>
      <cdr:x>0.93844</cdr:x>
      <cdr:y>0.85428</cdr:y>
    </cdr:to>
    <cdr:sp macro="" textlink="">
      <cdr:nvSpPr>
        <cdr:cNvPr id="49" name="TextovéPole 5">
          <a:extLst xmlns:a="http://schemas.openxmlformats.org/drawingml/2006/main">
            <a:ext uri="{FF2B5EF4-FFF2-40B4-BE49-F238E27FC236}">
              <a16:creationId xmlns:a16="http://schemas.microsoft.com/office/drawing/2014/main" id="{00000000-0008-0000-0A00-000006000000}"/>
            </a:ext>
          </a:extLst>
        </cdr:cNvPr>
        <cdr:cNvSpPr txBox="1"/>
      </cdr:nvSpPr>
      <cdr:spPr>
        <a:xfrm xmlns:a="http://schemas.openxmlformats.org/drawingml/2006/main">
          <a:off x="1180042" y="5331883"/>
          <a:ext cx="7048501" cy="26458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0" i="0" baseline="0">
              <a:solidFill>
                <a:schemeClr val="dk1"/>
              </a:solidFill>
              <a:effectLst/>
              <a:latin typeface="+mn-lt"/>
              <a:ea typeface="+mn-ea"/>
              <a:cs typeface="+mn-cs"/>
            </a:rPr>
            <a:t>                                                          četnost  dosažení PASI 75 intervence v % pacientů </a:t>
          </a:r>
          <a:endParaRPr lang="cs-CZ" sz="1100" b="0"/>
        </a:p>
      </cdr:txBody>
    </cdr:sp>
  </cdr:relSizeAnchor>
  <cdr:relSizeAnchor xmlns:cdr="http://schemas.openxmlformats.org/drawingml/2006/chartDrawing">
    <cdr:from>
      <cdr:x>0.10476</cdr:x>
      <cdr:y>0.87722</cdr:y>
    </cdr:from>
    <cdr:to>
      <cdr:x>0.84986</cdr:x>
      <cdr:y>0.9483</cdr:y>
    </cdr:to>
    <cdr:sp macro="" textlink="">
      <cdr:nvSpPr>
        <cdr:cNvPr id="50" name="TextovéPole 49"/>
        <cdr:cNvSpPr txBox="1"/>
      </cdr:nvSpPr>
      <cdr:spPr>
        <a:xfrm xmlns:a="http://schemas.openxmlformats.org/drawingml/2006/main">
          <a:off x="989544" y="5579631"/>
          <a:ext cx="7037916" cy="452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1200" b="1">
              <a:effectLst/>
              <a:latin typeface="+mn-lt"/>
              <a:ea typeface="+mn-ea"/>
              <a:cs typeface="+mn-cs"/>
            </a:rPr>
            <a:t>Údaje o účinnosti jsou dle zdroje pod pozn.</a:t>
          </a:r>
          <a:r>
            <a:rPr lang="cs-CZ" sz="1200" b="1" baseline="0">
              <a:effectLst/>
              <a:latin typeface="+mn-lt"/>
              <a:ea typeface="+mn-ea"/>
              <a:cs typeface="+mn-cs"/>
            </a:rPr>
            <a:t> 4, u placeba dle zdroje pod pozn. 9</a:t>
          </a:r>
          <a:r>
            <a:rPr lang="cs-CZ" sz="1200" b="1">
              <a:effectLst/>
              <a:latin typeface="+mn-lt"/>
              <a:ea typeface="+mn-ea"/>
              <a:cs typeface="+mn-cs"/>
            </a:rPr>
            <a:t>.</a:t>
          </a:r>
          <a:endParaRPr lang="cs-CZ" sz="1200">
            <a:effectLst/>
          </a:endParaRPr>
        </a:p>
      </cdr:txBody>
    </cdr:sp>
  </cdr:relSizeAnchor>
  <cdr:relSizeAnchor xmlns:cdr="http://schemas.openxmlformats.org/drawingml/2006/chartDrawing">
    <cdr:from>
      <cdr:x>0.5944</cdr:x>
      <cdr:y>0.61897</cdr:y>
    </cdr:from>
    <cdr:to>
      <cdr:x>0.63249</cdr:x>
      <cdr:y>0.69551</cdr:y>
    </cdr:to>
    <cdr:cxnSp macro="">
      <cdr:nvCxnSpPr>
        <cdr:cNvPr id="59" name="Přímá spojnice se šipkou 58">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flipH="1">
          <a:off x="5614461" y="3936999"/>
          <a:ext cx="359832" cy="486834"/>
        </a:xfrm>
        <a:prstGeom xmlns:a="http://schemas.openxmlformats.org/drawingml/2006/main" prst="straightConnector1">
          <a:avLst/>
        </a:prstGeom>
        <a:ln xmlns:a="http://schemas.openxmlformats.org/drawingml/2006/main">
          <a:solidFill>
            <a:srgbClr val="FFC000"/>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0.08459</cdr:x>
      <cdr:y>0.02391</cdr:y>
    </cdr:from>
    <cdr:to>
      <cdr:x>0.97871</cdr:x>
      <cdr:y>0.08486</cdr:y>
    </cdr:to>
    <cdr:sp macro="" textlink="">
      <cdr:nvSpPr>
        <cdr:cNvPr id="62" name="TextovéPole 1"/>
        <cdr:cNvSpPr txBox="1"/>
      </cdr:nvSpPr>
      <cdr:spPr>
        <a:xfrm xmlns:a="http://schemas.openxmlformats.org/drawingml/2006/main">
          <a:off x="799043" y="152081"/>
          <a:ext cx="8445500" cy="387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cs-CZ" sz="1400" b="1" i="0" baseline="0">
              <a:effectLst/>
              <a:latin typeface="+mn-lt"/>
              <a:ea typeface="+mn-ea"/>
              <a:cs typeface="+mn-cs"/>
            </a:rPr>
            <a:t>Četnost  dosažení PASI 75  1. liniové  intervence  v % pacientů oproti ceně intervence za prvních 16 týdnů léčby</a:t>
          </a:r>
          <a:endParaRPr lang="cs-CZ" sz="1400">
            <a:effectLst/>
          </a:endParaRPr>
        </a:p>
        <a:p xmlns:a="http://schemas.openxmlformats.org/drawingml/2006/main">
          <a:endParaRPr lang="cs-CZ" sz="1200"/>
        </a:p>
      </cdr:txBody>
    </cdr:sp>
  </cdr:relSizeAnchor>
  <cdr:relSizeAnchor xmlns:cdr="http://schemas.openxmlformats.org/drawingml/2006/chartDrawing">
    <cdr:from>
      <cdr:x>0.17983</cdr:x>
      <cdr:y>0.57737</cdr:y>
    </cdr:from>
    <cdr:to>
      <cdr:x>0.32773</cdr:x>
      <cdr:y>0.69218</cdr:y>
    </cdr:to>
    <cdr:sp macro="" textlink="">
      <cdr:nvSpPr>
        <cdr:cNvPr id="38" name="TextovéPole 1"/>
        <cdr:cNvSpPr txBox="1"/>
      </cdr:nvSpPr>
      <cdr:spPr>
        <a:xfrm xmlns:a="http://schemas.openxmlformats.org/drawingml/2006/main">
          <a:off x="1698625" y="3672416"/>
          <a:ext cx="1397001" cy="73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900" b="1">
              <a:solidFill>
                <a:schemeClr val="accent2"/>
              </a:solidFill>
            </a:rPr>
            <a:t>NEOTIGASON 10mg cps dur 30 (při dávce 30mg denně</a:t>
          </a:r>
          <a:r>
            <a:rPr lang="cs-CZ" sz="900" b="1" baseline="30000">
              <a:solidFill>
                <a:schemeClr val="accent2"/>
              </a:solidFill>
            </a:rPr>
            <a:t>9</a:t>
          </a:r>
          <a:r>
            <a:rPr lang="cs-CZ" sz="900" b="1">
              <a:solidFill>
                <a:schemeClr val="accent2"/>
              </a:solidFill>
            </a:rPr>
            <a:t>) - acitretin - </a:t>
          </a:r>
          <a:r>
            <a:rPr lang="cs-CZ" sz="900" b="1">
              <a:solidFill>
                <a:schemeClr val="accent2"/>
              </a:solidFill>
              <a:effectLst/>
              <a:latin typeface="+mn-lt"/>
              <a:ea typeface="+mn-ea"/>
              <a:cs typeface="+mn-cs"/>
            </a:rPr>
            <a:t>PRVNÍCH</a:t>
          </a:r>
          <a:r>
            <a:rPr lang="cs-CZ" sz="900" b="1" baseline="0">
              <a:solidFill>
                <a:schemeClr val="accent2"/>
              </a:solidFill>
              <a:effectLst/>
              <a:latin typeface="+mn-lt"/>
              <a:ea typeface="+mn-ea"/>
              <a:cs typeface="+mn-cs"/>
            </a:rPr>
            <a:t> 16 TÝDNŮ</a:t>
          </a:r>
          <a:endParaRPr lang="cs-CZ" sz="900">
            <a:solidFill>
              <a:schemeClr val="accent2"/>
            </a:solidFill>
            <a:effectLst/>
          </a:endParaRPr>
        </a:p>
        <a:p xmlns:a="http://schemas.openxmlformats.org/drawingml/2006/main">
          <a:endParaRPr lang="cs-CZ" sz="900" b="1">
            <a:solidFill>
              <a:srgbClr val="00B050"/>
            </a:solidFill>
          </a:endParaRPr>
        </a:p>
      </cdr:txBody>
    </cdr:sp>
  </cdr:relSizeAnchor>
  <cdr:relSizeAnchor xmlns:cdr="http://schemas.openxmlformats.org/drawingml/2006/chartDrawing">
    <cdr:from>
      <cdr:x>0.40391</cdr:x>
      <cdr:y>0.38936</cdr:y>
    </cdr:from>
    <cdr:to>
      <cdr:x>0.53427</cdr:x>
      <cdr:y>0.46142</cdr:y>
    </cdr:to>
    <cdr:sp macro="" textlink="">
      <cdr:nvSpPr>
        <cdr:cNvPr id="41" name="TextovéPole 1"/>
        <cdr:cNvSpPr txBox="1"/>
      </cdr:nvSpPr>
      <cdr:spPr>
        <a:xfrm xmlns:a="http://schemas.openxmlformats.org/drawingml/2006/main">
          <a:off x="3815186" y="2476544"/>
          <a:ext cx="1231294" cy="4583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4">
                  <a:lumMod val="75000"/>
                </a:schemeClr>
              </a:solidFill>
            </a:rPr>
            <a:t>SKILARENCE 120mg tbl - DMF - PRVNÍCH 16 TÝDNŮ</a:t>
          </a:r>
        </a:p>
      </cdr:txBody>
    </cdr:sp>
  </cdr:relSizeAnchor>
  <cdr:relSizeAnchor xmlns:cdr="http://schemas.openxmlformats.org/drawingml/2006/chartDrawing">
    <cdr:from>
      <cdr:x>0.48006</cdr:x>
      <cdr:y>0.43947</cdr:y>
    </cdr:from>
    <cdr:to>
      <cdr:x>0.52045</cdr:x>
      <cdr:y>0.45091</cdr:y>
    </cdr:to>
    <cdr:cxnSp macro="">
      <cdr:nvCxnSpPr>
        <cdr:cNvPr id="42" name="Přímá spojnice se šipkou 41">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4534451" y="2795256"/>
          <a:ext cx="381509" cy="7282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0.38297</cdr:x>
      <cdr:y>0.37604</cdr:y>
    </cdr:from>
    <cdr:to>
      <cdr:x>0.56639</cdr:x>
      <cdr:y>0.48419</cdr:y>
    </cdr:to>
    <cdr:sp macro="" textlink="">
      <cdr:nvSpPr>
        <cdr:cNvPr id="56" name="Ovál 55"/>
        <cdr:cNvSpPr/>
      </cdr:nvSpPr>
      <cdr:spPr>
        <a:xfrm xmlns:a="http://schemas.openxmlformats.org/drawingml/2006/main">
          <a:off x="3617384" y="2391832"/>
          <a:ext cx="1732492" cy="687917"/>
        </a:xfrm>
        <a:prstGeom xmlns:a="http://schemas.openxmlformats.org/drawingml/2006/main" prst="ellipse">
          <a:avLst/>
        </a:prstGeom>
        <a:noFill xmlns:a="http://schemas.openxmlformats.org/drawingml/2006/main"/>
        <a:ln xmlns:a="http://schemas.openxmlformats.org/drawingml/2006/main" w="28575">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cs-CZ" sz="1100"/>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285749</xdr:colOff>
      <xdr:row>0</xdr:row>
      <xdr:rowOff>95248</xdr:rowOff>
    </xdr:from>
    <xdr:to>
      <xdr:col>27</xdr:col>
      <xdr:colOff>444500</xdr:colOff>
      <xdr:row>24</xdr:row>
      <xdr:rowOff>105832</xdr:rowOff>
    </xdr:to>
    <xdr:graphicFrame macro="">
      <xdr:nvGraphicFramePr>
        <xdr:cNvPr id="3" name="Graf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539750</xdr:colOff>
      <xdr:row>0</xdr:row>
      <xdr:rowOff>574525</xdr:rowOff>
    </xdr:from>
    <xdr:to>
      <xdr:col>21</xdr:col>
      <xdr:colOff>204107</xdr:colOff>
      <xdr:row>1</xdr:row>
      <xdr:rowOff>140609</xdr:rowOff>
    </xdr:to>
    <xdr:sp macro="" textlink="">
      <xdr:nvSpPr>
        <xdr:cNvPr id="5" name="TextovéPole 4">
          <a:extLst>
            <a:ext uri="{FF2B5EF4-FFF2-40B4-BE49-F238E27FC236}">
              <a16:creationId xmlns:a16="http://schemas.microsoft.com/office/drawing/2014/main" id="{00000000-0008-0000-0900-000005000000}"/>
            </a:ext>
          </a:extLst>
        </xdr:cNvPr>
        <xdr:cNvSpPr txBox="1"/>
      </xdr:nvSpPr>
      <xdr:spPr>
        <a:xfrm>
          <a:off x="14530917" y="574525"/>
          <a:ext cx="1505857" cy="3069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u="sng"/>
            <a:t>rozmezí  pro Hyrimoz</a:t>
          </a:r>
        </a:p>
      </xdr:txBody>
    </xdr:sp>
    <xdr:clientData/>
  </xdr:twoCellAnchor>
  <xdr:twoCellAnchor>
    <xdr:from>
      <xdr:col>6</xdr:col>
      <xdr:colOff>370416</xdr:colOff>
      <xdr:row>18</xdr:row>
      <xdr:rowOff>0</xdr:rowOff>
    </xdr:from>
    <xdr:to>
      <xdr:col>14</xdr:col>
      <xdr:colOff>539749</xdr:colOff>
      <xdr:row>19</xdr:row>
      <xdr:rowOff>465666</xdr:rowOff>
    </xdr:to>
    <xdr:sp macro="" textlink="">
      <xdr:nvSpPr>
        <xdr:cNvPr id="6" name="Ovál 5">
          <a:extLst>
            <a:ext uri="{FF2B5EF4-FFF2-40B4-BE49-F238E27FC236}">
              <a16:creationId xmlns:a16="http://schemas.microsoft.com/office/drawing/2014/main" id="{00000000-0008-0000-0900-000006000000}"/>
            </a:ext>
          </a:extLst>
        </xdr:cNvPr>
        <xdr:cNvSpPr/>
      </xdr:nvSpPr>
      <xdr:spPr>
        <a:xfrm>
          <a:off x="6995583" y="4709583"/>
          <a:ext cx="5079999" cy="624416"/>
        </a:xfrm>
        <a:prstGeom prst="ellipse">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15.xml><?xml version="1.0" encoding="utf-8"?>
<c:userShapes xmlns:c="http://schemas.openxmlformats.org/drawingml/2006/chart">
  <cdr:relSizeAnchor xmlns:cdr="http://schemas.openxmlformats.org/drawingml/2006/chartDrawing">
    <cdr:from>
      <cdr:x>0.26904</cdr:x>
      <cdr:y>0.91335</cdr:y>
    </cdr:from>
    <cdr:to>
      <cdr:x>0.99844</cdr:x>
      <cdr:y>1</cdr:y>
    </cdr:to>
    <cdr:sp macro="" textlink="">
      <cdr:nvSpPr>
        <cdr:cNvPr id="2" name="TextovéPole 1"/>
        <cdr:cNvSpPr txBox="1"/>
      </cdr:nvSpPr>
      <cdr:spPr>
        <a:xfrm xmlns:a="http://schemas.openxmlformats.org/drawingml/2006/main">
          <a:off x="3647442" y="6283088"/>
          <a:ext cx="9888641" cy="5960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100" b="1">
              <a:latin typeface="+mn-lt"/>
            </a:rPr>
            <a:t>                                                    </a:t>
          </a:r>
          <a:r>
            <a:rPr lang="cs-CZ" sz="1100" b="1">
              <a:latin typeface="+mn-lt"/>
              <a:cs typeface="Arial" panose="020B0604020202020204" pitchFamily="34" charset="0"/>
            </a:rPr>
            <a:t>Kolik Kč vynaložím navíc pro dosažení PASI 75 navíc u 1 pacienta za prvních 16 týdnů léčby  </a:t>
          </a:r>
          <a:r>
            <a:rPr lang="cs-CZ" sz="1100" b="1">
              <a:effectLst/>
              <a:latin typeface="+mn-lt"/>
              <a:ea typeface="+mn-ea"/>
              <a:cs typeface="Arial" panose="020B0604020202020204" pitchFamily="34" charset="0"/>
            </a:rPr>
            <a:t>oproti placebu (jeho</a:t>
          </a:r>
          <a:r>
            <a:rPr lang="cs-CZ" sz="1100" b="1" baseline="0">
              <a:effectLst/>
              <a:latin typeface="+mn-lt"/>
              <a:ea typeface="+mn-ea"/>
              <a:cs typeface="Arial" panose="020B0604020202020204" pitchFamily="34" charset="0"/>
            </a:rPr>
            <a:t> bod. hodnotě)</a:t>
          </a:r>
          <a:endParaRPr lang="cs-CZ" sz="1100" b="1">
            <a:latin typeface="+mn-lt"/>
            <a:cs typeface="Arial" panose="020B0604020202020204" pitchFamily="34" charset="0"/>
          </a:endParaRPr>
        </a:p>
        <a:p xmlns:a="http://schemas.openxmlformats.org/drawingml/2006/main">
          <a:r>
            <a:rPr lang="cs-CZ" sz="1100" b="1"/>
            <a:t>                                                                                                                              (bodová hodnota s 95% CI, logaritmická</a:t>
          </a:r>
          <a:r>
            <a:rPr lang="cs-CZ" sz="1100" b="1" baseline="0"/>
            <a:t> stupnice</a:t>
          </a:r>
          <a:r>
            <a:rPr lang="cs-CZ" sz="1200" b="1" baseline="0"/>
            <a:t>)</a:t>
          </a:r>
          <a:endParaRPr lang="cs-CZ" sz="1200" b="1"/>
        </a:p>
      </cdr:txBody>
    </cdr:sp>
  </cdr:relSizeAnchor>
  <cdr:relSizeAnchor xmlns:cdr="http://schemas.openxmlformats.org/drawingml/2006/chartDrawing">
    <cdr:from>
      <cdr:x>0.62626</cdr:x>
      <cdr:y>0.10104</cdr:y>
    </cdr:from>
    <cdr:to>
      <cdr:x>0.62626</cdr:x>
      <cdr:y>0.8728</cdr:y>
    </cdr:to>
    <cdr:cxnSp macro="">
      <cdr:nvCxnSpPr>
        <cdr:cNvPr id="6" name="Přímá spojnice 5">
          <a:extLst xmlns:a="http://schemas.openxmlformats.org/drawingml/2006/main">
            <a:ext uri="{FF2B5EF4-FFF2-40B4-BE49-F238E27FC236}">
              <a16:creationId xmlns:a16="http://schemas.microsoft.com/office/drawing/2014/main" id="{A90A6E6C-5882-47F7-A682-6EC9D3D30DFA}"/>
            </a:ext>
          </a:extLst>
        </cdr:cNvPr>
        <cdr:cNvCxnSpPr/>
      </cdr:nvCxnSpPr>
      <cdr:spPr>
        <a:xfrm xmlns:a="http://schemas.openxmlformats.org/drawingml/2006/main" flipV="1">
          <a:off x="8172216" y="646978"/>
          <a:ext cx="0" cy="4941516"/>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0.64225</cdr:x>
      <cdr:y>0.1124</cdr:y>
    </cdr:from>
    <cdr:to>
      <cdr:x>0.64234</cdr:x>
      <cdr:y>0.87076</cdr:y>
    </cdr:to>
    <cdr:cxnSp macro="">
      <cdr:nvCxnSpPr>
        <cdr:cNvPr id="8" name="Přímá spojnice 7">
          <a:extLst xmlns:a="http://schemas.openxmlformats.org/drawingml/2006/main">
            <a:ext uri="{FF2B5EF4-FFF2-40B4-BE49-F238E27FC236}">
              <a16:creationId xmlns:a16="http://schemas.microsoft.com/office/drawing/2014/main" id="{08B75269-0E3D-48C1-A9EE-72E9935A9AEE}"/>
            </a:ext>
          </a:extLst>
        </cdr:cNvPr>
        <cdr:cNvCxnSpPr/>
      </cdr:nvCxnSpPr>
      <cdr:spPr>
        <a:xfrm xmlns:a="http://schemas.openxmlformats.org/drawingml/2006/main" flipV="1">
          <a:off x="8380876" y="719669"/>
          <a:ext cx="1125" cy="4855765"/>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0.23682</cdr:x>
      <cdr:y>0.11659</cdr:y>
    </cdr:from>
    <cdr:to>
      <cdr:x>0.39254</cdr:x>
      <cdr:y>0.84073</cdr:y>
    </cdr:to>
    <cdr:sp macro="" textlink="">
      <cdr:nvSpPr>
        <cdr:cNvPr id="7" name="TextovéPole 1">
          <a:extLst xmlns:a="http://schemas.openxmlformats.org/drawingml/2006/main">
            <a:ext uri="{FF2B5EF4-FFF2-40B4-BE49-F238E27FC236}">
              <a16:creationId xmlns:a16="http://schemas.microsoft.com/office/drawing/2014/main" id="{7770EA26-2E50-456E-A922-B7F27E9FD947}"/>
            </a:ext>
          </a:extLst>
        </cdr:cNvPr>
        <cdr:cNvSpPr txBox="1"/>
      </cdr:nvSpPr>
      <cdr:spPr>
        <a:xfrm xmlns:a="http://schemas.openxmlformats.org/drawingml/2006/main">
          <a:off x="3090334" y="746535"/>
          <a:ext cx="2032000" cy="46366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100" b="1" u="none"/>
            <a:t>     </a:t>
          </a:r>
          <a:r>
            <a:rPr lang="cs-CZ" sz="1100" b="1" u="sng"/>
            <a:t> ICER </a:t>
          </a:r>
          <a:r>
            <a:rPr lang="cs-CZ" sz="1100" b="1" u="none"/>
            <a:t>                </a:t>
          </a:r>
          <a:r>
            <a:rPr lang="cs-CZ" sz="1100" b="1" u="sng"/>
            <a:t> (95%  CI)</a:t>
          </a:r>
        </a:p>
        <a:p xmlns:a="http://schemas.openxmlformats.org/drawingml/2006/main">
          <a:endParaRPr lang="cs-CZ" sz="1200"/>
        </a:p>
        <a:p xmlns:a="http://schemas.openxmlformats.org/drawingml/2006/main">
          <a:endParaRPr lang="cs-CZ" sz="200"/>
        </a:p>
        <a:p xmlns:a="http://schemas.openxmlformats.org/drawingml/2006/main">
          <a:r>
            <a:rPr lang="cs-CZ" sz="900" b="1" baseline="0"/>
            <a:t>    </a:t>
          </a:r>
          <a:endParaRPr lang="cs-CZ" sz="800" b="1" baseline="0"/>
        </a:p>
        <a:p xmlns:a="http://schemas.openxmlformats.org/drawingml/2006/main">
          <a:r>
            <a:rPr lang="cs-CZ" sz="900" b="1" baseline="0"/>
            <a:t>    </a:t>
          </a:r>
          <a:r>
            <a:rPr lang="cs-CZ" sz="1000" b="1" baseline="0"/>
            <a:t>14.498  Kč      (10.601, 22.137</a:t>
          </a:r>
          <a:r>
            <a:rPr lang="cs-CZ" sz="900" b="1" baseline="0"/>
            <a:t>)</a:t>
          </a:r>
        </a:p>
        <a:p xmlns:a="http://schemas.openxmlformats.org/drawingml/2006/main">
          <a:endParaRPr lang="cs-CZ" sz="900" b="1" baseline="0"/>
        </a:p>
        <a:p xmlns:a="http://schemas.openxmlformats.org/drawingml/2006/main">
          <a:r>
            <a:rPr lang="cs-CZ" sz="900" b="1"/>
            <a:t>     </a:t>
          </a:r>
        </a:p>
        <a:p xmlns:a="http://schemas.openxmlformats.org/drawingml/2006/main">
          <a:endParaRPr lang="cs-CZ" sz="1000" b="1" baseline="0"/>
        </a:p>
        <a:p xmlns:a="http://schemas.openxmlformats.org/drawingml/2006/main">
          <a:endParaRPr lang="cs-CZ" sz="800" b="1" baseline="0"/>
        </a:p>
        <a:p xmlns:a="http://schemas.openxmlformats.org/drawingml/2006/main">
          <a:r>
            <a:rPr lang="cs-CZ" sz="1000" b="1" baseline="0"/>
            <a:t>      1.686  Kč       (1.324, 2.251)</a:t>
          </a:r>
        </a:p>
        <a:p xmlns:a="http://schemas.openxmlformats.org/drawingml/2006/main">
          <a:endParaRPr lang="cs-CZ" sz="600" b="1" baseline="0"/>
        </a:p>
        <a:p xmlns:a="http://schemas.openxmlformats.org/drawingml/2006/main">
          <a:r>
            <a:rPr lang="cs-CZ" sz="900" b="1" baseline="0"/>
            <a:t>       </a:t>
          </a:r>
        </a:p>
        <a:p xmlns:a="http://schemas.openxmlformats.org/drawingml/2006/main">
          <a:endParaRPr lang="cs-CZ" sz="900" b="1" baseline="0"/>
        </a:p>
        <a:p xmlns:a="http://schemas.openxmlformats.org/drawingml/2006/main">
          <a:endParaRPr lang="cs-CZ" sz="900" b="1" baseline="0"/>
        </a:p>
        <a:p xmlns:a="http://schemas.openxmlformats.org/drawingml/2006/main">
          <a:endParaRPr lang="cs-CZ" sz="200" b="1" baseline="0"/>
        </a:p>
        <a:p xmlns:a="http://schemas.openxmlformats.org/drawingml/2006/main">
          <a:r>
            <a:rPr lang="cs-CZ" sz="1000" b="1" baseline="0"/>
            <a:t>     15.458  Kč      (7.900, 51.703)</a:t>
          </a:r>
        </a:p>
        <a:p xmlns:a="http://schemas.openxmlformats.org/drawingml/2006/main">
          <a:r>
            <a:rPr lang="cs-CZ" sz="1100" b="1" baseline="0"/>
            <a:t>       </a:t>
          </a:r>
          <a:endParaRPr lang="cs-CZ" sz="1600" b="1" baseline="0"/>
        </a:p>
        <a:p xmlns:a="http://schemas.openxmlformats.org/drawingml/2006/main">
          <a:r>
            <a:rPr lang="cs-CZ" sz="900" b="1" baseline="0"/>
            <a:t>       </a:t>
          </a:r>
        </a:p>
        <a:p xmlns:a="http://schemas.openxmlformats.org/drawingml/2006/main">
          <a:endParaRPr lang="cs-CZ" sz="1200" b="1" baseline="0"/>
        </a:p>
        <a:p xmlns:a="http://schemas.openxmlformats.org/drawingml/2006/main">
          <a:r>
            <a:rPr lang="cs-CZ" sz="1000" b="1" baseline="0"/>
            <a:t>    170.100 Kč     (138.866, 213.152)</a:t>
          </a:r>
        </a:p>
        <a:p xmlns:a="http://schemas.openxmlformats.org/drawingml/2006/main">
          <a:endParaRPr lang="cs-CZ" sz="3000" b="1" baseline="0"/>
        </a:p>
        <a:p xmlns:a="http://schemas.openxmlformats.org/drawingml/2006/main">
          <a:endParaRPr lang="cs-CZ" sz="800" b="1" baseline="0"/>
        </a:p>
        <a:p xmlns:a="http://schemas.openxmlformats.org/drawingml/2006/main">
          <a:r>
            <a:rPr lang="cs-CZ" sz="1000" b="1" baseline="0"/>
            <a:t>     10.736 Kč      (10.116, 11.493)</a:t>
          </a:r>
        </a:p>
        <a:p xmlns:a="http://schemas.openxmlformats.org/drawingml/2006/main">
          <a:endParaRPr lang="cs-CZ" sz="2400" b="1" baseline="0"/>
        </a:p>
        <a:p xmlns:a="http://schemas.openxmlformats.org/drawingml/2006/main">
          <a:r>
            <a:rPr lang="cs-CZ" sz="1100" b="1"/>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800" b="1" baseline="0">
              <a:effectLst/>
              <a:latin typeface="+mn-lt"/>
              <a:ea typeface="+mn-ea"/>
              <a:cs typeface="+mn-cs"/>
            </a:rPr>
            <a:t>       </a:t>
          </a:r>
          <a:r>
            <a:rPr lang="cs-CZ" sz="1000" b="1" baseline="0">
              <a:effectLst/>
              <a:latin typeface="+mn-lt"/>
              <a:ea typeface="+mn-ea"/>
              <a:cs typeface="+mn-cs"/>
            </a:rPr>
            <a:t>77.773  Kč     (54.561, 125.394)</a:t>
          </a:r>
          <a:endParaRPr lang="cs-CZ" sz="1000" b="1">
            <a:effectLst/>
          </a:endParaRPr>
        </a:p>
        <a:p xmlns:a="http://schemas.openxmlformats.org/drawingml/2006/main">
          <a:endParaRPr lang="cs-CZ" sz="1100"/>
        </a:p>
      </cdr:txBody>
    </cdr:sp>
  </cdr:relSizeAnchor>
  <cdr:relSizeAnchor xmlns:cdr="http://schemas.openxmlformats.org/drawingml/2006/chartDrawing">
    <cdr:from>
      <cdr:x>0.62368</cdr:x>
      <cdr:y>0.1405</cdr:y>
    </cdr:from>
    <cdr:to>
      <cdr:x>0.64152</cdr:x>
      <cdr:y>0.1405</cdr:y>
    </cdr:to>
    <cdr:cxnSp macro="">
      <cdr:nvCxnSpPr>
        <cdr:cNvPr id="5" name="Přímá spojnice se šipkou 4">
          <a:extLst xmlns:a="http://schemas.openxmlformats.org/drawingml/2006/main">
            <a:ext uri="{FF2B5EF4-FFF2-40B4-BE49-F238E27FC236}">
              <a16:creationId xmlns:a16="http://schemas.microsoft.com/office/drawing/2014/main" id="{F143A14A-D3A8-45CC-B34A-ACAADE72ABB6}"/>
            </a:ext>
          </a:extLst>
        </cdr:cNvPr>
        <cdr:cNvCxnSpPr/>
      </cdr:nvCxnSpPr>
      <cdr:spPr>
        <a:xfrm xmlns:a="http://schemas.openxmlformats.org/drawingml/2006/main" flipV="1">
          <a:off x="8138583" y="899586"/>
          <a:ext cx="232834" cy="1"/>
        </a:xfrm>
        <a:prstGeom xmlns:a="http://schemas.openxmlformats.org/drawingml/2006/main" prst="straightConnector1">
          <a:avLst/>
        </a:prstGeom>
        <a:ln xmlns:a="http://schemas.openxmlformats.org/drawingml/2006/main">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0.12409</cdr:x>
      <cdr:y>0.02791</cdr:y>
    </cdr:from>
    <cdr:to>
      <cdr:x>0.93431</cdr:x>
      <cdr:y>0.10509</cdr:y>
    </cdr:to>
    <cdr:sp macro="" textlink="">
      <cdr:nvSpPr>
        <cdr:cNvPr id="14" name="TextovéPole 13"/>
        <cdr:cNvSpPr txBox="1"/>
      </cdr:nvSpPr>
      <cdr:spPr>
        <a:xfrm xmlns:a="http://schemas.openxmlformats.org/drawingml/2006/main">
          <a:off x="1619251" y="179919"/>
          <a:ext cx="10572750" cy="497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600" b="1"/>
            <a:t>Hodnoty ICER (dosažení PASI 75) 1. liniových syst. léků za prvních 16 týdnů léčby oproti placebu (jeho bodové hodnotě)</a:t>
          </a:r>
        </a:p>
      </cdr:txBody>
    </cdr:sp>
  </cdr:relSizeAnchor>
  <cdr:relSizeAnchor xmlns:cdr="http://schemas.openxmlformats.org/drawingml/2006/chartDrawing">
    <cdr:from>
      <cdr:x>0.04617</cdr:x>
      <cdr:y>0.86725</cdr:y>
    </cdr:from>
    <cdr:to>
      <cdr:x>0.33252</cdr:x>
      <cdr:y>0.94416</cdr:y>
    </cdr:to>
    <cdr:sp macro="" textlink="">
      <cdr:nvSpPr>
        <cdr:cNvPr id="16" name="TextovéPole 15"/>
        <cdr:cNvSpPr txBox="1"/>
      </cdr:nvSpPr>
      <cdr:spPr>
        <a:xfrm xmlns:a="http://schemas.openxmlformats.org/drawingml/2006/main">
          <a:off x="602520" y="5552904"/>
          <a:ext cx="3736596" cy="492451"/>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cs-CZ" sz="1200" b="1">
              <a:effectLst/>
              <a:latin typeface="+mn-lt"/>
              <a:ea typeface="+mn-ea"/>
              <a:cs typeface="+mn-cs"/>
            </a:rPr>
            <a:t>Údaje o účinnosti jsou dle zdroje pod pozn.</a:t>
          </a:r>
          <a:r>
            <a:rPr lang="cs-CZ" sz="1200" b="1" baseline="0">
              <a:effectLst/>
              <a:latin typeface="+mn-lt"/>
              <a:ea typeface="+mn-ea"/>
              <a:cs typeface="+mn-cs"/>
            </a:rPr>
            <a:t> 4, u placeba dle zdroje pod pozn. 9</a:t>
          </a:r>
          <a:r>
            <a:rPr lang="cs-CZ" sz="1200" b="1">
              <a:effectLst/>
              <a:latin typeface="+mn-lt"/>
              <a:ea typeface="+mn-ea"/>
              <a:cs typeface="+mn-cs"/>
            </a:rPr>
            <a:t>.</a:t>
          </a:r>
          <a:endParaRPr lang="cs-CZ" sz="1200"/>
        </a:p>
      </cdr:txBody>
    </cdr:sp>
  </cdr:relSizeAnchor>
  <cdr:relSizeAnchor xmlns:cdr="http://schemas.openxmlformats.org/drawingml/2006/chartDrawing">
    <cdr:from>
      <cdr:x>0.75815</cdr:x>
      <cdr:y>0.74182</cdr:y>
    </cdr:from>
    <cdr:to>
      <cdr:x>0.92295</cdr:x>
      <cdr:y>0.78678</cdr:y>
    </cdr:to>
    <cdr:sp macro="" textlink="">
      <cdr:nvSpPr>
        <cdr:cNvPr id="15" name="Ovál 14"/>
        <cdr:cNvSpPr/>
      </cdr:nvSpPr>
      <cdr:spPr>
        <a:xfrm xmlns:a="http://schemas.openxmlformats.org/drawingml/2006/main">
          <a:off x="9893301" y="4749800"/>
          <a:ext cx="2150534" cy="287869"/>
        </a:xfrm>
        <a:prstGeom xmlns:a="http://schemas.openxmlformats.org/drawingml/2006/main" prst="ellipse">
          <a:avLst/>
        </a:prstGeom>
        <a:noFill xmlns:a="http://schemas.openxmlformats.org/drawingml/2006/main"/>
        <a:ln xmlns:a="http://schemas.openxmlformats.org/drawingml/2006/main" w="28575">
          <a:solidFill>
            <a:srgbClr val="7030A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cs-CZ" sz="1100"/>
        </a:p>
      </cdr:txBody>
    </cdr:sp>
  </cdr:relSizeAnchor>
  <cdr:relSizeAnchor xmlns:cdr="http://schemas.openxmlformats.org/drawingml/2006/chartDrawing">
    <cdr:from>
      <cdr:x>0.412</cdr:x>
      <cdr:y>0.70248</cdr:y>
    </cdr:from>
    <cdr:to>
      <cdr:x>0.60503</cdr:x>
      <cdr:y>0.84959</cdr:y>
    </cdr:to>
    <cdr:sp macro="" textlink="">
      <cdr:nvSpPr>
        <cdr:cNvPr id="17" name="TextovéPole 1"/>
        <cdr:cNvSpPr txBox="1"/>
      </cdr:nvSpPr>
      <cdr:spPr>
        <a:xfrm xmlns:a="http://schemas.openxmlformats.org/drawingml/2006/main">
          <a:off x="5376333" y="4497919"/>
          <a:ext cx="2518834" cy="941916"/>
        </a:xfrm>
        <a:prstGeom xmlns:a="http://schemas.openxmlformats.org/drawingml/2006/main" prst="rect">
          <a:avLst/>
        </a:prstGeom>
        <a:ln xmlns:a="http://schemas.openxmlformats.org/drawingml/2006/main" w="19050">
          <a:solidFill>
            <a:srgbClr val="7030A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100" b="1">
              <a:solidFill>
                <a:srgbClr val="7030A0"/>
              </a:solidFill>
            </a:rPr>
            <a:t>Při výpočtu ICER dle PASI 50</a:t>
          </a:r>
          <a:r>
            <a:rPr lang="cs-CZ" sz="1100" b="1" baseline="30000">
              <a:solidFill>
                <a:srgbClr val="7030A0"/>
              </a:solidFill>
            </a:rPr>
            <a:t>30</a:t>
          </a:r>
          <a:r>
            <a:rPr lang="cs-CZ" sz="1100" b="1">
              <a:solidFill>
                <a:srgbClr val="7030A0"/>
              </a:solidFill>
            </a:rPr>
            <a:t> (viz úhrad. podmínky SKILARENCE) by byla bodová hodnota cca 62 tisíc Kč. </a:t>
          </a:r>
        </a:p>
        <a:p xmlns:a="http://schemas.openxmlformats.org/drawingml/2006/main">
          <a:r>
            <a:rPr lang="cs-CZ" sz="1100" b="1" u="sng">
              <a:solidFill>
                <a:srgbClr val="7030A0"/>
              </a:solidFill>
            </a:rPr>
            <a:t>CAVE! dle studie</a:t>
          </a:r>
          <a:r>
            <a:rPr lang="cs-CZ" sz="1100" b="1" u="sng" baseline="0">
              <a:solidFill>
                <a:srgbClr val="7030A0"/>
              </a:solidFill>
            </a:rPr>
            <a:t> BRIDGE</a:t>
          </a:r>
          <a:r>
            <a:rPr lang="cs-CZ" sz="1100" b="1" u="sng" baseline="30000">
              <a:solidFill>
                <a:srgbClr val="7030A0"/>
              </a:solidFill>
            </a:rPr>
            <a:t>30</a:t>
          </a:r>
          <a:r>
            <a:rPr lang="cs-CZ" sz="1100" b="1" u="sng" baseline="0">
              <a:solidFill>
                <a:srgbClr val="7030A0"/>
              </a:solidFill>
            </a:rPr>
            <a:t> nedokončilo 16 týdnů léčby cca 37% pacientů!</a:t>
          </a:r>
          <a:endParaRPr lang="cs-CZ" sz="1100" b="1" u="sng">
            <a:solidFill>
              <a:srgbClr val="7030A0"/>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612775</xdr:colOff>
      <xdr:row>0</xdr:row>
      <xdr:rowOff>28575</xdr:rowOff>
    </xdr:to>
    <xdr:pic>
      <xdr:nvPicPr>
        <xdr:cNvPr id="2" name="Obrázek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127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0</xdr:col>
      <xdr:colOff>612775</xdr:colOff>
      <xdr:row>0</xdr:row>
      <xdr:rowOff>28575</xdr:rowOff>
    </xdr:to>
    <xdr:pic>
      <xdr:nvPicPr>
        <xdr:cNvPr id="3" name="Obrázek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61277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396874</xdr:colOff>
      <xdr:row>0</xdr:row>
      <xdr:rowOff>84667</xdr:rowOff>
    </xdr:from>
    <xdr:to>
      <xdr:col>19</xdr:col>
      <xdr:colOff>21167</xdr:colOff>
      <xdr:row>15</xdr:row>
      <xdr:rowOff>42334</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190499</xdr:colOff>
      <xdr:row>11</xdr:row>
      <xdr:rowOff>158748</xdr:rowOff>
    </xdr:from>
    <xdr:to>
      <xdr:col>5</xdr:col>
      <xdr:colOff>402167</xdr:colOff>
      <xdr:row>12</xdr:row>
      <xdr:rowOff>201082</xdr:rowOff>
    </xdr:to>
    <xdr:sp macro="" textlink="">
      <xdr:nvSpPr>
        <xdr:cNvPr id="5" name="TextovéPole 4">
          <a:extLst>
            <a:ext uri="{FF2B5EF4-FFF2-40B4-BE49-F238E27FC236}">
              <a16:creationId xmlns:a16="http://schemas.microsoft.com/office/drawing/2014/main" id="{00000000-0008-0000-0A00-000005000000}"/>
            </a:ext>
          </a:extLst>
        </xdr:cNvPr>
        <xdr:cNvSpPr txBox="1"/>
      </xdr:nvSpPr>
      <xdr:spPr>
        <a:xfrm>
          <a:off x="7228416" y="4751915"/>
          <a:ext cx="211668" cy="48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0</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0.16959</cdr:x>
      <cdr:y>0.69924</cdr:y>
    </cdr:from>
    <cdr:to>
      <cdr:x>0.2577</cdr:x>
      <cdr:y>0.73881</cdr:y>
    </cdr:to>
    <cdr:sp macro="" textlink="">
      <cdr:nvSpPr>
        <cdr:cNvPr id="10" name="TextovéPole 9"/>
        <cdr:cNvSpPr txBox="1"/>
      </cdr:nvSpPr>
      <cdr:spPr>
        <a:xfrm xmlns:a="http://schemas.openxmlformats.org/drawingml/2006/main">
          <a:off x="1487015" y="4847166"/>
          <a:ext cx="772574" cy="27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100" b="1">
              <a:solidFill>
                <a:srgbClr val="0000FF"/>
              </a:solidFill>
            </a:rPr>
            <a:t>placebo</a:t>
          </a:r>
        </a:p>
      </cdr:txBody>
    </cdr:sp>
  </cdr:relSizeAnchor>
  <cdr:relSizeAnchor xmlns:cdr="http://schemas.openxmlformats.org/drawingml/2006/chartDrawing">
    <cdr:from>
      <cdr:x>0.19855</cdr:x>
      <cdr:y>0.73344</cdr:y>
    </cdr:from>
    <cdr:to>
      <cdr:x>0.21786</cdr:x>
      <cdr:y>0.75929</cdr:y>
    </cdr:to>
    <cdr:cxnSp macro="">
      <cdr:nvCxnSpPr>
        <cdr:cNvPr id="13" name="Přímá spojnice se šipkou 12">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1740959" y="4804834"/>
          <a:ext cx="169333" cy="169333"/>
        </a:xfrm>
        <a:prstGeom xmlns:a="http://schemas.openxmlformats.org/drawingml/2006/main" prst="straightConnector1">
          <a:avLst/>
        </a:prstGeom>
        <a:ln xmlns:a="http://schemas.openxmlformats.org/drawingml/2006/main">
          <a:solidFill>
            <a:srgbClr val="0070C0"/>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0.87447</cdr:x>
      <cdr:y>0.36031</cdr:y>
    </cdr:from>
    <cdr:to>
      <cdr:x>0.88292</cdr:x>
      <cdr:y>0.72977</cdr:y>
    </cdr:to>
    <cdr:cxnSp macro="">
      <cdr:nvCxnSpPr>
        <cdr:cNvPr id="17" name="Přímá spojnice se šipkou 16">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flipH="1">
          <a:off x="7667627" y="2497667"/>
          <a:ext cx="74082" cy="2561167"/>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0.82704</cdr:x>
      <cdr:y>0.6626</cdr:y>
    </cdr:from>
    <cdr:to>
      <cdr:x>0.85275</cdr:x>
      <cdr:y>0.75128</cdr:y>
    </cdr:to>
    <cdr:cxnSp macro="">
      <cdr:nvCxnSpPr>
        <cdr:cNvPr id="20" name="Přímá spojnice se šipkou 19">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flipH="1">
          <a:off x="7251747" y="4593167"/>
          <a:ext cx="225379" cy="61474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0.1901</cdr:x>
      <cdr:y>0.44654</cdr:y>
    </cdr:from>
    <cdr:to>
      <cdr:x>0.42909</cdr:x>
      <cdr:y>0.49711</cdr:y>
    </cdr:to>
    <cdr:sp macro="" textlink="">
      <cdr:nvSpPr>
        <cdr:cNvPr id="27" name="TextovéPole 1"/>
        <cdr:cNvSpPr txBox="1"/>
      </cdr:nvSpPr>
      <cdr:spPr>
        <a:xfrm xmlns:a="http://schemas.openxmlformats.org/drawingml/2006/main">
          <a:off x="1666875" y="3095452"/>
          <a:ext cx="2095501" cy="350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4">
                  <a:lumMod val="75000"/>
                </a:schemeClr>
              </a:solidFill>
            </a:rPr>
            <a:t>OTEZLA 30mg tbl. 56x30mg - apremilast - PRVNÍCH 16 TÝDNŮ </a:t>
          </a:r>
        </a:p>
      </cdr:txBody>
    </cdr:sp>
  </cdr:relSizeAnchor>
  <cdr:relSizeAnchor xmlns:cdr="http://schemas.openxmlformats.org/drawingml/2006/chartDrawing">
    <cdr:from>
      <cdr:x>0.3446</cdr:x>
      <cdr:y>0.48295</cdr:y>
    </cdr:from>
    <cdr:to>
      <cdr:x>0.46168</cdr:x>
      <cdr:y>0.58168</cdr:y>
    </cdr:to>
    <cdr:cxnSp macro="">
      <cdr:nvCxnSpPr>
        <cdr:cNvPr id="28" name="Přímá spojnice se šipkou 27">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3021580" y="3347826"/>
          <a:ext cx="1026546" cy="68442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0.17357</cdr:x>
      <cdr:y>0.20949</cdr:y>
    </cdr:from>
    <cdr:to>
      <cdr:x>0.48505</cdr:x>
      <cdr:y>0.21908</cdr:y>
    </cdr:to>
    <cdr:cxnSp macro="">
      <cdr:nvCxnSpPr>
        <cdr:cNvPr id="30" name="Přímá spojnice 29">
          <a:extLst xmlns:a="http://schemas.openxmlformats.org/drawingml/2006/main">
            <a:ext uri="{FF2B5EF4-FFF2-40B4-BE49-F238E27FC236}">
              <a16:creationId xmlns:a16="http://schemas.microsoft.com/office/drawing/2014/main" id="{373E65D5-AC0F-43ED-9888-9D5951F19DE0}"/>
            </a:ext>
          </a:extLst>
        </cdr:cNvPr>
        <cdr:cNvCxnSpPr/>
      </cdr:nvCxnSpPr>
      <cdr:spPr>
        <a:xfrm xmlns:a="http://schemas.openxmlformats.org/drawingml/2006/main" flipV="1">
          <a:off x="1521904" y="1452188"/>
          <a:ext cx="2731148" cy="66479"/>
        </a:xfrm>
        <a:prstGeom xmlns:a="http://schemas.openxmlformats.org/drawingml/2006/main" prst="line">
          <a:avLst/>
        </a:prstGeom>
        <a:ln xmlns:a="http://schemas.openxmlformats.org/drawingml/2006/main" w="381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0.55699</cdr:x>
      <cdr:y>0.11571</cdr:y>
    </cdr:from>
    <cdr:to>
      <cdr:x>0.92099</cdr:x>
      <cdr:y>0.18604</cdr:y>
    </cdr:to>
    <cdr:cxnSp macro="">
      <cdr:nvCxnSpPr>
        <cdr:cNvPr id="32" name="Přímá spojnice 31">
          <a:extLst xmlns:a="http://schemas.openxmlformats.org/drawingml/2006/main">
            <a:ext uri="{FF2B5EF4-FFF2-40B4-BE49-F238E27FC236}">
              <a16:creationId xmlns:a16="http://schemas.microsoft.com/office/drawing/2014/main" id="{373E65D5-AC0F-43ED-9888-9D5951F19DE0}"/>
            </a:ext>
          </a:extLst>
        </cdr:cNvPr>
        <cdr:cNvCxnSpPr/>
      </cdr:nvCxnSpPr>
      <cdr:spPr>
        <a:xfrm xmlns:a="http://schemas.openxmlformats.org/drawingml/2006/main" flipV="1">
          <a:off x="4883808" y="802138"/>
          <a:ext cx="3191746" cy="487534"/>
        </a:xfrm>
        <a:prstGeom xmlns:a="http://schemas.openxmlformats.org/drawingml/2006/main" prst="line">
          <a:avLst/>
        </a:prstGeom>
        <a:ln xmlns:a="http://schemas.openxmlformats.org/drawingml/2006/main" w="38100"/>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0.65152</cdr:x>
      <cdr:y>0.55573</cdr:y>
    </cdr:from>
    <cdr:to>
      <cdr:x>0.78756</cdr:x>
      <cdr:y>0.60686</cdr:y>
    </cdr:to>
    <cdr:sp macro="" textlink="">
      <cdr:nvSpPr>
        <cdr:cNvPr id="35" name="TextovéPole 57"/>
        <cdr:cNvSpPr txBox="1"/>
      </cdr:nvSpPr>
      <cdr:spPr>
        <a:xfrm xmlns:a="http://schemas.openxmlformats.org/drawingml/2006/main">
          <a:off x="5712718" y="3640666"/>
          <a:ext cx="1192838" cy="334923"/>
        </a:xfrm>
        <a:prstGeom xmlns:a="http://schemas.openxmlformats.org/drawingml/2006/main" prst="rect">
          <a:avLst/>
        </a:prstGeom>
        <a:solidFill xmlns:a="http://schemas.openxmlformats.org/drawingml/2006/main">
          <a:srgbClr val="00B0F0"/>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a:t>efficient frontier</a:t>
          </a:r>
          <a:r>
            <a:rPr lang="cs-CZ" sz="900" baseline="0"/>
            <a:t> - rok udržovací léčby</a:t>
          </a:r>
          <a:endParaRPr lang="cs-CZ" sz="900"/>
        </a:p>
      </cdr:txBody>
    </cdr:sp>
  </cdr:relSizeAnchor>
  <cdr:relSizeAnchor xmlns:cdr="http://schemas.openxmlformats.org/drawingml/2006/chartDrawing">
    <cdr:from>
      <cdr:x>0.17555</cdr:x>
      <cdr:y>0.55678</cdr:y>
    </cdr:from>
    <cdr:to>
      <cdr:x>0.43271</cdr:x>
      <cdr:y>0.6195</cdr:y>
    </cdr:to>
    <cdr:sp macro="" textlink="">
      <cdr:nvSpPr>
        <cdr:cNvPr id="36" name="TextovéPole 1"/>
        <cdr:cNvSpPr txBox="1"/>
      </cdr:nvSpPr>
      <cdr:spPr>
        <a:xfrm xmlns:a="http://schemas.openxmlformats.org/drawingml/2006/main">
          <a:off x="1539265" y="3859632"/>
          <a:ext cx="2254861" cy="4347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FF00FF"/>
              </a:solidFill>
            </a:rPr>
            <a:t>METHOTREXAT EBEWE 10mg tbl 50 (při dávce 2x 10mg týdně9) - methotrexat - ROK UDRŽOVACÍ LÉČBY</a:t>
          </a:r>
        </a:p>
      </cdr:txBody>
    </cdr:sp>
  </cdr:relSizeAnchor>
  <cdr:relSizeAnchor xmlns:cdr="http://schemas.openxmlformats.org/drawingml/2006/chartDrawing">
    <cdr:from>
      <cdr:x>0.50839</cdr:x>
      <cdr:y>0.46252</cdr:y>
    </cdr:from>
    <cdr:to>
      <cdr:x>0.5254</cdr:x>
      <cdr:y>0.56067</cdr:y>
    </cdr:to>
    <cdr:cxnSp macro="">
      <cdr:nvCxnSpPr>
        <cdr:cNvPr id="37" name="Přímá spojnice se šipkou 36">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4802054" y="2941876"/>
          <a:ext cx="160671" cy="624291"/>
        </a:xfrm>
        <a:prstGeom xmlns:a="http://schemas.openxmlformats.org/drawingml/2006/main" prst="straightConnector1">
          <a:avLst/>
        </a:prstGeom>
        <a:ln xmlns:a="http://schemas.openxmlformats.org/drawingml/2006/main">
          <a:solidFill>
            <a:srgbClr val="0000FF"/>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0.6274</cdr:x>
      <cdr:y>0.20003</cdr:y>
    </cdr:from>
    <cdr:to>
      <cdr:x>0.94328</cdr:x>
      <cdr:y>0.26275</cdr:y>
    </cdr:to>
    <cdr:sp macro="" textlink="">
      <cdr:nvSpPr>
        <cdr:cNvPr id="40" name="TextovéPole 1"/>
        <cdr:cNvSpPr txBox="1"/>
      </cdr:nvSpPr>
      <cdr:spPr>
        <a:xfrm xmlns:a="http://schemas.openxmlformats.org/drawingml/2006/main">
          <a:off x="5501183" y="1310433"/>
          <a:ext cx="2769728" cy="4108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FF00FF"/>
              </a:solidFill>
            </a:rPr>
            <a:t>HYRIMOZ 40mg inj 2x0,8ml (při dávce 40mg co 2 týdny) - adalimumab (iTNF) - </a:t>
          </a:r>
          <a:r>
            <a:rPr lang="cs-CZ" sz="900" b="1">
              <a:solidFill>
                <a:srgbClr val="FF00FF"/>
              </a:solidFill>
              <a:effectLst/>
              <a:latin typeface="+mn-lt"/>
              <a:ea typeface="+mn-ea"/>
              <a:cs typeface="+mn-cs"/>
            </a:rPr>
            <a:t>ROK UDRŽOVACÍ LÉČBY</a:t>
          </a:r>
          <a:endParaRPr lang="cs-CZ" sz="900" b="1">
            <a:solidFill>
              <a:srgbClr val="FF00FF"/>
            </a:solidFill>
          </a:endParaRPr>
        </a:p>
      </cdr:txBody>
    </cdr:sp>
  </cdr:relSizeAnchor>
  <cdr:relSizeAnchor xmlns:cdr="http://schemas.openxmlformats.org/drawingml/2006/chartDrawing">
    <cdr:from>
      <cdr:x>0.73603</cdr:x>
      <cdr:y>0.2579</cdr:y>
    </cdr:from>
    <cdr:to>
      <cdr:x>0.81654</cdr:x>
      <cdr:y>0.67176</cdr:y>
    </cdr:to>
    <cdr:cxnSp macro="">
      <cdr:nvCxnSpPr>
        <cdr:cNvPr id="45" name="Přímá spojnice se šipkou 44">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6453728" y="1787785"/>
          <a:ext cx="705898" cy="2868882"/>
        </a:xfrm>
        <a:prstGeom xmlns:a="http://schemas.openxmlformats.org/drawingml/2006/main" prst="straightConnector1">
          <a:avLst/>
        </a:prstGeom>
        <a:ln xmlns:a="http://schemas.openxmlformats.org/drawingml/2006/main">
          <a:solidFill>
            <a:srgbClr val="0000FF"/>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0.04321</cdr:x>
      <cdr:y>0.23102</cdr:y>
    </cdr:from>
    <cdr:to>
      <cdr:x>0.07797</cdr:x>
      <cdr:y>0.81963</cdr:y>
    </cdr:to>
    <cdr:sp macro="" textlink="">
      <cdr:nvSpPr>
        <cdr:cNvPr id="48" name="TextovéPole 2">
          <a:extLst xmlns:a="http://schemas.openxmlformats.org/drawingml/2006/main">
            <a:ext uri="{FF2B5EF4-FFF2-40B4-BE49-F238E27FC236}">
              <a16:creationId xmlns:a16="http://schemas.microsoft.com/office/drawing/2014/main" id="{00000000-0008-0000-0A00-000003000000}"/>
            </a:ext>
          </a:extLst>
        </cdr:cNvPr>
        <cdr:cNvSpPr txBox="1"/>
      </cdr:nvSpPr>
      <cdr:spPr>
        <a:xfrm xmlns:a="http://schemas.openxmlformats.org/drawingml/2006/main">
          <a:off x="378878" y="1513417"/>
          <a:ext cx="304786" cy="385604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lIns="0" tIns="14400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a:t>cena intervence za 1 rok udržovací léčby </a:t>
          </a:r>
        </a:p>
      </cdr:txBody>
    </cdr:sp>
  </cdr:relSizeAnchor>
  <cdr:relSizeAnchor xmlns:cdr="http://schemas.openxmlformats.org/drawingml/2006/chartDrawing">
    <cdr:from>
      <cdr:x>0.13458</cdr:x>
      <cdr:y>0.81389</cdr:y>
    </cdr:from>
    <cdr:to>
      <cdr:x>0.93844</cdr:x>
      <cdr:y>0.85428</cdr:y>
    </cdr:to>
    <cdr:sp macro="" textlink="">
      <cdr:nvSpPr>
        <cdr:cNvPr id="49" name="TextovéPole 5">
          <a:extLst xmlns:a="http://schemas.openxmlformats.org/drawingml/2006/main">
            <a:ext uri="{FF2B5EF4-FFF2-40B4-BE49-F238E27FC236}">
              <a16:creationId xmlns:a16="http://schemas.microsoft.com/office/drawing/2014/main" id="{00000000-0008-0000-0A00-000006000000}"/>
            </a:ext>
          </a:extLst>
        </cdr:cNvPr>
        <cdr:cNvSpPr txBox="1"/>
      </cdr:nvSpPr>
      <cdr:spPr>
        <a:xfrm xmlns:a="http://schemas.openxmlformats.org/drawingml/2006/main">
          <a:off x="1180042" y="5331883"/>
          <a:ext cx="7048501" cy="264584"/>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0" i="0" baseline="0">
              <a:solidFill>
                <a:schemeClr val="dk1"/>
              </a:solidFill>
              <a:effectLst/>
              <a:latin typeface="+mn-lt"/>
              <a:ea typeface="+mn-ea"/>
              <a:cs typeface="+mn-cs"/>
            </a:rPr>
            <a:t>                                                          četnost  perzistence na intervenci po 1. roce léčby - v % pacientů </a:t>
          </a:r>
          <a:endParaRPr lang="cs-CZ" sz="1100" b="0"/>
        </a:p>
      </cdr:txBody>
    </cdr:sp>
  </cdr:relSizeAnchor>
  <cdr:relSizeAnchor xmlns:cdr="http://schemas.openxmlformats.org/drawingml/2006/chartDrawing">
    <cdr:from>
      <cdr:x>0.01388</cdr:x>
      <cdr:y>0.87722</cdr:y>
    </cdr:from>
    <cdr:to>
      <cdr:x>0.99155</cdr:x>
      <cdr:y>0.9483</cdr:y>
    </cdr:to>
    <cdr:sp macro="" textlink="">
      <cdr:nvSpPr>
        <cdr:cNvPr id="50" name="TextovéPole 49"/>
        <cdr:cNvSpPr txBox="1"/>
      </cdr:nvSpPr>
      <cdr:spPr>
        <a:xfrm xmlns:a="http://schemas.openxmlformats.org/drawingml/2006/main">
          <a:off x="121710" y="5746750"/>
          <a:ext cx="8572500" cy="465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200" b="1"/>
            <a:t>Údaje o </a:t>
          </a:r>
        </a:p>
      </cdr:txBody>
    </cdr:sp>
  </cdr:relSizeAnchor>
  <cdr:relSizeAnchor xmlns:cdr="http://schemas.openxmlformats.org/drawingml/2006/chartDrawing">
    <cdr:from>
      <cdr:x>0.68398</cdr:x>
      <cdr:y>0.60083</cdr:y>
    </cdr:from>
    <cdr:to>
      <cdr:x>0.69095</cdr:x>
      <cdr:y>0.73615</cdr:y>
    </cdr:to>
    <cdr:cxnSp macro="">
      <cdr:nvCxnSpPr>
        <cdr:cNvPr id="52" name="Přímá spojnice se šipkou 51">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5982870" y="3952440"/>
          <a:ext cx="60970" cy="890191"/>
        </a:xfrm>
        <a:prstGeom xmlns:a="http://schemas.openxmlformats.org/drawingml/2006/main" prst="straightConnector1">
          <a:avLst/>
        </a:prstGeom>
        <a:ln xmlns:a="http://schemas.openxmlformats.org/drawingml/2006/main">
          <a:solidFill>
            <a:srgbClr val="0000FF"/>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0.17891</cdr:x>
      <cdr:y>0.11541</cdr:y>
    </cdr:from>
    <cdr:to>
      <cdr:x>0.57323</cdr:x>
      <cdr:y>0.16598</cdr:y>
    </cdr:to>
    <cdr:sp macro="" textlink="">
      <cdr:nvSpPr>
        <cdr:cNvPr id="58" name="TextovéPole 1"/>
        <cdr:cNvSpPr txBox="1"/>
      </cdr:nvSpPr>
      <cdr:spPr>
        <a:xfrm xmlns:a="http://schemas.openxmlformats.org/drawingml/2006/main">
          <a:off x="1564938" y="759189"/>
          <a:ext cx="3449167" cy="332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FF00FF"/>
              </a:solidFill>
            </a:rPr>
            <a:t>OTEZLA 30mg tbl. 56x30mg - apremilast - ROK</a:t>
          </a:r>
          <a:r>
            <a:rPr lang="cs-CZ" sz="900" b="1" baseline="0">
              <a:solidFill>
                <a:srgbClr val="FF00FF"/>
              </a:solidFill>
            </a:rPr>
            <a:t> UDRŽOVACÍ LÉČBY</a:t>
          </a:r>
          <a:endParaRPr lang="cs-CZ" sz="900" b="1">
            <a:solidFill>
              <a:srgbClr val="FF00FF"/>
            </a:solidFill>
          </a:endParaRPr>
        </a:p>
      </cdr:txBody>
    </cdr:sp>
  </cdr:relSizeAnchor>
  <cdr:relSizeAnchor xmlns:cdr="http://schemas.openxmlformats.org/drawingml/2006/chartDrawing">
    <cdr:from>
      <cdr:x>0.45272</cdr:x>
      <cdr:y>0.14097</cdr:y>
    </cdr:from>
    <cdr:to>
      <cdr:x>0.50633</cdr:x>
      <cdr:y>0.1681</cdr:y>
    </cdr:to>
    <cdr:cxnSp macro="">
      <cdr:nvCxnSpPr>
        <cdr:cNvPr id="59" name="Přímá spojnice se šipkou 58">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3969600" y="977239"/>
          <a:ext cx="470068" cy="188067"/>
        </a:xfrm>
        <a:prstGeom xmlns:a="http://schemas.openxmlformats.org/drawingml/2006/main" prst="straightConnector1">
          <a:avLst/>
        </a:prstGeom>
        <a:ln xmlns:a="http://schemas.openxmlformats.org/drawingml/2006/main">
          <a:solidFill>
            <a:srgbClr val="0000FF"/>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0.07563</cdr:x>
      <cdr:y>0.02391</cdr:y>
    </cdr:from>
    <cdr:to>
      <cdr:x>0.95406</cdr:x>
      <cdr:y>0.08362</cdr:y>
    </cdr:to>
    <cdr:sp macro="" textlink="">
      <cdr:nvSpPr>
        <cdr:cNvPr id="62" name="TextovéPole 1"/>
        <cdr:cNvSpPr txBox="1"/>
      </cdr:nvSpPr>
      <cdr:spPr>
        <a:xfrm xmlns:a="http://schemas.openxmlformats.org/drawingml/2006/main">
          <a:off x="714376" y="148286"/>
          <a:ext cx="8297333" cy="370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cs-CZ" sz="1200" b="1" i="0" baseline="0">
              <a:effectLst/>
              <a:latin typeface="+mn-lt"/>
              <a:ea typeface="+mn-ea"/>
              <a:cs typeface="+mn-cs"/>
            </a:rPr>
            <a:t>Četnost  perzistence pacientů na  1. liniové  intervenci po 1. roce léčby oproti ceně intervence za 1 rok udržovací léčby</a:t>
          </a:r>
          <a:endParaRPr lang="cs-CZ" sz="1200">
            <a:effectLst/>
          </a:endParaRPr>
        </a:p>
        <a:p xmlns:a="http://schemas.openxmlformats.org/drawingml/2006/main">
          <a:endParaRPr lang="cs-CZ" sz="1200"/>
        </a:p>
      </cdr:txBody>
    </cdr:sp>
  </cdr:relSizeAnchor>
  <cdr:relSizeAnchor xmlns:cdr="http://schemas.openxmlformats.org/drawingml/2006/chartDrawing">
    <cdr:from>
      <cdr:x>0.18926</cdr:x>
      <cdr:y>0.28724</cdr:y>
    </cdr:from>
    <cdr:to>
      <cdr:x>0.58358</cdr:x>
      <cdr:y>0.34895</cdr:y>
    </cdr:to>
    <cdr:sp macro="" textlink="">
      <cdr:nvSpPr>
        <cdr:cNvPr id="33" name="TextovéPole 1"/>
        <cdr:cNvSpPr txBox="1"/>
      </cdr:nvSpPr>
      <cdr:spPr>
        <a:xfrm xmlns:a="http://schemas.openxmlformats.org/drawingml/2006/main">
          <a:off x="1659466" y="1881716"/>
          <a:ext cx="3457513" cy="4042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FF00FF"/>
              </a:solidFill>
            </a:rPr>
            <a:t>EQUORAL 100mg cps 50 (ceny jsou pro 80kg pac., při 2,5mg /kg denně</a:t>
          </a:r>
          <a:r>
            <a:rPr lang="cs-CZ" sz="900" b="1" baseline="30000">
              <a:solidFill>
                <a:srgbClr val="FF00FF"/>
              </a:solidFill>
            </a:rPr>
            <a:t>9 </a:t>
          </a:r>
          <a:r>
            <a:rPr lang="cs-CZ" sz="900" b="1">
              <a:solidFill>
                <a:srgbClr val="FF00FF"/>
              </a:solidFill>
            </a:rPr>
            <a:t>- tj. 2x 100mg denně) - ciclosporin  - ROK</a:t>
          </a:r>
          <a:r>
            <a:rPr lang="cs-CZ" sz="900" b="1" baseline="0">
              <a:solidFill>
                <a:srgbClr val="FF00FF"/>
              </a:solidFill>
            </a:rPr>
            <a:t> UDRŽOVACÍ LÉČBY</a:t>
          </a:r>
          <a:endParaRPr lang="cs-CZ" sz="900" b="1">
            <a:solidFill>
              <a:srgbClr val="FF00FF"/>
            </a:solidFill>
          </a:endParaRPr>
        </a:p>
      </cdr:txBody>
    </cdr:sp>
  </cdr:relSizeAnchor>
  <cdr:relSizeAnchor xmlns:cdr="http://schemas.openxmlformats.org/drawingml/2006/chartDrawing">
    <cdr:from>
      <cdr:x>0.5172</cdr:x>
      <cdr:y>0.34087</cdr:y>
    </cdr:from>
    <cdr:to>
      <cdr:x>0.6127</cdr:x>
      <cdr:y>0.68585</cdr:y>
    </cdr:to>
    <cdr:cxnSp macro="">
      <cdr:nvCxnSpPr>
        <cdr:cNvPr id="34" name="Přímá spojnice se šipkou 33">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4534959" y="2233084"/>
          <a:ext cx="837355" cy="2260008"/>
        </a:xfrm>
        <a:prstGeom xmlns:a="http://schemas.openxmlformats.org/drawingml/2006/main" prst="straightConnector1">
          <a:avLst/>
        </a:prstGeom>
        <a:ln xmlns:a="http://schemas.openxmlformats.org/drawingml/2006/main">
          <a:solidFill>
            <a:srgbClr val="0000FF"/>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0.15573</cdr:x>
      <cdr:y>0.37331</cdr:y>
    </cdr:from>
    <cdr:to>
      <cdr:x>0.47643</cdr:x>
      <cdr:y>0.43502</cdr:y>
    </cdr:to>
    <cdr:sp macro="" textlink="">
      <cdr:nvSpPr>
        <cdr:cNvPr id="38" name="TextovéPole 1"/>
        <cdr:cNvSpPr txBox="1"/>
      </cdr:nvSpPr>
      <cdr:spPr>
        <a:xfrm xmlns:a="http://schemas.openxmlformats.org/drawingml/2006/main">
          <a:off x="1470930" y="2315222"/>
          <a:ext cx="3029212" cy="3827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FF00FF"/>
              </a:solidFill>
            </a:rPr>
            <a:t>NEOTIGASON 10mg cps dur 30 (při dávce 30mg denně</a:t>
          </a:r>
          <a:r>
            <a:rPr lang="cs-CZ" sz="900" b="1" baseline="30000">
              <a:solidFill>
                <a:srgbClr val="FF00FF"/>
              </a:solidFill>
            </a:rPr>
            <a:t>9</a:t>
          </a:r>
          <a:r>
            <a:rPr lang="cs-CZ" sz="900" b="1">
              <a:solidFill>
                <a:srgbClr val="FF00FF"/>
              </a:solidFill>
            </a:rPr>
            <a:t>) - acitretin - ROK</a:t>
          </a:r>
          <a:r>
            <a:rPr lang="cs-CZ" sz="900" b="1" baseline="0">
              <a:solidFill>
                <a:srgbClr val="FF00FF"/>
              </a:solidFill>
            </a:rPr>
            <a:t> UDRŽOVACÍ LÉČBY</a:t>
          </a:r>
          <a:endParaRPr lang="cs-CZ" sz="900" b="1">
            <a:solidFill>
              <a:srgbClr val="FF00FF"/>
            </a:solidFill>
          </a:endParaRPr>
        </a:p>
      </cdr:txBody>
    </cdr:sp>
  </cdr:relSizeAnchor>
  <cdr:relSizeAnchor xmlns:cdr="http://schemas.openxmlformats.org/drawingml/2006/chartDrawing">
    <cdr:from>
      <cdr:x>0.41859</cdr:x>
      <cdr:y>0.40517</cdr:y>
    </cdr:from>
    <cdr:to>
      <cdr:x>0.49668</cdr:x>
      <cdr:y>0.54046</cdr:y>
    </cdr:to>
    <cdr:cxnSp macro="">
      <cdr:nvCxnSpPr>
        <cdr:cNvPr id="39" name="Přímá spojnice se šipkou 38">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3670320" y="2808672"/>
          <a:ext cx="684723" cy="937828"/>
        </a:xfrm>
        <a:prstGeom xmlns:a="http://schemas.openxmlformats.org/drawingml/2006/main" prst="straightConnector1">
          <a:avLst/>
        </a:prstGeom>
        <a:ln xmlns:a="http://schemas.openxmlformats.org/drawingml/2006/main">
          <a:solidFill>
            <a:srgbClr val="0000FF"/>
          </a:solidFill>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0.39831</cdr:x>
      <cdr:y>0.60733</cdr:y>
    </cdr:from>
    <cdr:to>
      <cdr:x>0.52866</cdr:x>
      <cdr:y>0.67939</cdr:y>
    </cdr:to>
    <cdr:sp macro="" textlink="">
      <cdr:nvSpPr>
        <cdr:cNvPr id="41" name="TextovéPole 1"/>
        <cdr:cNvSpPr txBox="1"/>
      </cdr:nvSpPr>
      <cdr:spPr>
        <a:xfrm xmlns:a="http://schemas.openxmlformats.org/drawingml/2006/main">
          <a:off x="3762269" y="3862962"/>
          <a:ext cx="1231294" cy="4583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chemeClr val="accent4">
                  <a:lumMod val="75000"/>
                </a:schemeClr>
              </a:solidFill>
            </a:rPr>
            <a:t>SKILARENCE 120mg tbl - DMF - PRVNÍCH 16 TÝDNŮ</a:t>
          </a:r>
        </a:p>
      </cdr:txBody>
    </cdr:sp>
  </cdr:relSizeAnchor>
  <cdr:relSizeAnchor xmlns:cdr="http://schemas.openxmlformats.org/drawingml/2006/chartDrawing">
    <cdr:from>
      <cdr:x>0.48342</cdr:x>
      <cdr:y>0.65744</cdr:y>
    </cdr:from>
    <cdr:to>
      <cdr:x>0.52381</cdr:x>
      <cdr:y>0.66888</cdr:y>
    </cdr:to>
    <cdr:cxnSp macro="">
      <cdr:nvCxnSpPr>
        <cdr:cNvPr id="42" name="Přímá spojnice se šipkou 41">
          <a:extLst xmlns:a="http://schemas.openxmlformats.org/drawingml/2006/main">
            <a:ext uri="{FF2B5EF4-FFF2-40B4-BE49-F238E27FC236}">
              <a16:creationId xmlns:a16="http://schemas.microsoft.com/office/drawing/2014/main" id="{5DAA908E-9A96-4F11-BCED-E66B0BF6005C}"/>
            </a:ext>
          </a:extLst>
        </cdr:cNvPr>
        <cdr:cNvCxnSpPr/>
      </cdr:nvCxnSpPr>
      <cdr:spPr>
        <a:xfrm xmlns:a="http://schemas.openxmlformats.org/drawingml/2006/main">
          <a:off x="4566200" y="4181674"/>
          <a:ext cx="381509" cy="72825"/>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0.38633</cdr:x>
      <cdr:y>0.60233</cdr:y>
    </cdr:from>
    <cdr:to>
      <cdr:x>0.57087</cdr:x>
      <cdr:y>0.69185</cdr:y>
    </cdr:to>
    <cdr:sp macro="" textlink="">
      <cdr:nvSpPr>
        <cdr:cNvPr id="56" name="Ovál 55"/>
        <cdr:cNvSpPr/>
      </cdr:nvSpPr>
      <cdr:spPr>
        <a:xfrm xmlns:a="http://schemas.openxmlformats.org/drawingml/2006/main">
          <a:off x="3649134" y="3831165"/>
          <a:ext cx="1743075" cy="569383"/>
        </a:xfrm>
        <a:prstGeom xmlns:a="http://schemas.openxmlformats.org/drawingml/2006/main" prst="ellipse">
          <a:avLst/>
        </a:prstGeom>
        <a:noFill xmlns:a="http://schemas.openxmlformats.org/drawingml/2006/main"/>
        <a:ln xmlns:a="http://schemas.openxmlformats.org/drawingml/2006/main" w="28575">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cs-CZ" sz="1100"/>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784225</xdr:colOff>
      <xdr:row>0</xdr:row>
      <xdr:rowOff>28575</xdr:rowOff>
    </xdr:to>
    <xdr:pic>
      <xdr:nvPicPr>
        <xdr:cNvPr id="2" name="Obrázek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285749</xdr:colOff>
      <xdr:row>0</xdr:row>
      <xdr:rowOff>95248</xdr:rowOff>
    </xdr:from>
    <xdr:to>
      <xdr:col>26</xdr:col>
      <xdr:colOff>444500</xdr:colOff>
      <xdr:row>24</xdr:row>
      <xdr:rowOff>105832</xdr:rowOff>
    </xdr:to>
    <xdr:graphicFrame macro="">
      <xdr:nvGraphicFramePr>
        <xdr:cNvPr id="3" name="Graf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19050</xdr:rowOff>
    </xdr:from>
    <xdr:to>
      <xdr:col>0</xdr:col>
      <xdr:colOff>784225</xdr:colOff>
      <xdr:row>0</xdr:row>
      <xdr:rowOff>28575</xdr:rowOff>
    </xdr:to>
    <xdr:pic>
      <xdr:nvPicPr>
        <xdr:cNvPr id="4" name="Obrázek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7842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83157</xdr:colOff>
      <xdr:row>1</xdr:row>
      <xdr:rowOff>10584</xdr:rowOff>
    </xdr:from>
    <xdr:to>
      <xdr:col>20</xdr:col>
      <xdr:colOff>188989</xdr:colOff>
      <xdr:row>2</xdr:row>
      <xdr:rowOff>1</xdr:rowOff>
    </xdr:to>
    <xdr:sp macro="" textlink="">
      <xdr:nvSpPr>
        <xdr:cNvPr id="5" name="TextovéPole 4">
          <a:extLst>
            <a:ext uri="{FF2B5EF4-FFF2-40B4-BE49-F238E27FC236}">
              <a16:creationId xmlns:a16="http://schemas.microsoft.com/office/drawing/2014/main" id="{00000000-0008-0000-0B00-000005000000}"/>
            </a:ext>
          </a:extLst>
        </xdr:cNvPr>
        <xdr:cNvSpPr txBox="1"/>
      </xdr:nvSpPr>
      <xdr:spPr>
        <a:xfrm>
          <a:off x="14302621" y="758977"/>
          <a:ext cx="1330475" cy="3023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u="sng"/>
            <a:t>rozmezí Hyrimoz</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0.26904</cdr:x>
      <cdr:y>0.91335</cdr:y>
    </cdr:from>
    <cdr:to>
      <cdr:x>0.99844</cdr:x>
      <cdr:y>1</cdr:y>
    </cdr:to>
    <cdr:sp macro="" textlink="">
      <cdr:nvSpPr>
        <cdr:cNvPr id="2" name="TextovéPole 1"/>
        <cdr:cNvSpPr txBox="1"/>
      </cdr:nvSpPr>
      <cdr:spPr>
        <a:xfrm xmlns:a="http://schemas.openxmlformats.org/drawingml/2006/main">
          <a:off x="3647442" y="6283088"/>
          <a:ext cx="9888641" cy="5960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1100" b="1">
              <a:latin typeface="+mn-lt"/>
            </a:rPr>
            <a:t>                                                    </a:t>
          </a:r>
          <a:r>
            <a:rPr lang="cs-CZ" sz="1100" b="1">
              <a:latin typeface="+mn-lt"/>
              <a:cs typeface="Arial" panose="020B0604020202020204" pitchFamily="34" charset="0"/>
            </a:rPr>
            <a:t>Kolik Kč vynaložím navíc pro dosažení PASI 75 navíc u 1 pacienta za 1 rok udržovací léčby  </a:t>
          </a:r>
          <a:r>
            <a:rPr lang="cs-CZ" sz="1100" b="1">
              <a:effectLst/>
              <a:latin typeface="+mn-lt"/>
              <a:ea typeface="+mn-ea"/>
              <a:cs typeface="Arial" panose="020B0604020202020204" pitchFamily="34" charset="0"/>
            </a:rPr>
            <a:t>oproti placebu (jeho</a:t>
          </a:r>
          <a:r>
            <a:rPr lang="cs-CZ" sz="1100" b="1" baseline="0">
              <a:effectLst/>
              <a:latin typeface="+mn-lt"/>
              <a:ea typeface="+mn-ea"/>
              <a:cs typeface="Arial" panose="020B0604020202020204" pitchFamily="34" charset="0"/>
            </a:rPr>
            <a:t> bod. hodnotě)</a:t>
          </a:r>
          <a:endParaRPr lang="cs-CZ" sz="1100" b="1">
            <a:latin typeface="+mn-lt"/>
            <a:cs typeface="Arial" panose="020B0604020202020204" pitchFamily="34" charset="0"/>
          </a:endParaRPr>
        </a:p>
        <a:p xmlns:a="http://schemas.openxmlformats.org/drawingml/2006/main">
          <a:r>
            <a:rPr lang="cs-CZ" sz="1100" b="1"/>
            <a:t>                                                                                                                              (bodová hodnota s 95% CI, logaritmická</a:t>
          </a:r>
          <a:r>
            <a:rPr lang="cs-CZ" sz="1100" b="1" baseline="0"/>
            <a:t> stupnice</a:t>
          </a:r>
          <a:r>
            <a:rPr lang="cs-CZ" sz="1200" b="1" baseline="0"/>
            <a:t>)</a:t>
          </a:r>
          <a:endParaRPr lang="cs-CZ" sz="1200" b="1"/>
        </a:p>
      </cdr:txBody>
    </cdr:sp>
  </cdr:relSizeAnchor>
  <cdr:relSizeAnchor xmlns:cdr="http://schemas.openxmlformats.org/drawingml/2006/chartDrawing">
    <cdr:from>
      <cdr:x>0.61709</cdr:x>
      <cdr:y>0.10301</cdr:y>
    </cdr:from>
    <cdr:to>
      <cdr:x>0.61709</cdr:x>
      <cdr:y>0.86984</cdr:y>
    </cdr:to>
    <cdr:cxnSp macro="">
      <cdr:nvCxnSpPr>
        <cdr:cNvPr id="6" name="Přímá spojnice 5">
          <a:extLst xmlns:a="http://schemas.openxmlformats.org/drawingml/2006/main">
            <a:ext uri="{FF2B5EF4-FFF2-40B4-BE49-F238E27FC236}">
              <a16:creationId xmlns:a16="http://schemas.microsoft.com/office/drawing/2014/main" id="{A90A6E6C-5882-47F7-A682-6EC9D3D30DFA}"/>
            </a:ext>
          </a:extLst>
        </cdr:cNvPr>
        <cdr:cNvCxnSpPr/>
      </cdr:nvCxnSpPr>
      <cdr:spPr>
        <a:xfrm xmlns:a="http://schemas.openxmlformats.org/drawingml/2006/main" flipH="1" flipV="1">
          <a:off x="8032981" y="671098"/>
          <a:ext cx="0" cy="4995743"/>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0.66211</cdr:x>
      <cdr:y>0.14496</cdr:y>
    </cdr:from>
    <cdr:to>
      <cdr:x>0.6631</cdr:x>
      <cdr:y>0.87527</cdr:y>
    </cdr:to>
    <cdr:cxnSp macro="">
      <cdr:nvCxnSpPr>
        <cdr:cNvPr id="8" name="Přímá spojnice 7">
          <a:extLst xmlns:a="http://schemas.openxmlformats.org/drawingml/2006/main">
            <a:ext uri="{FF2B5EF4-FFF2-40B4-BE49-F238E27FC236}">
              <a16:creationId xmlns:a16="http://schemas.microsoft.com/office/drawing/2014/main" id="{08B75269-0E3D-48C1-A9EE-72E9935A9AEE}"/>
            </a:ext>
          </a:extLst>
        </cdr:cNvPr>
        <cdr:cNvCxnSpPr/>
      </cdr:nvCxnSpPr>
      <cdr:spPr>
        <a:xfrm xmlns:a="http://schemas.openxmlformats.org/drawingml/2006/main" flipV="1">
          <a:off x="8619053" y="944376"/>
          <a:ext cx="12887" cy="4757822"/>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0.22959</cdr:x>
      <cdr:y>0.11494</cdr:y>
    </cdr:from>
    <cdr:to>
      <cdr:x>0.38524</cdr:x>
      <cdr:y>0.83908</cdr:y>
    </cdr:to>
    <cdr:sp macro="" textlink="">
      <cdr:nvSpPr>
        <cdr:cNvPr id="7" name="TextovéPole 1">
          <a:extLst xmlns:a="http://schemas.openxmlformats.org/drawingml/2006/main">
            <a:ext uri="{FF2B5EF4-FFF2-40B4-BE49-F238E27FC236}">
              <a16:creationId xmlns:a16="http://schemas.microsoft.com/office/drawing/2014/main" id="{7770EA26-2E50-456E-A922-B7F27E9FD947}"/>
            </a:ext>
          </a:extLst>
        </cdr:cNvPr>
        <cdr:cNvSpPr txBox="1"/>
      </cdr:nvSpPr>
      <cdr:spPr>
        <a:xfrm xmlns:a="http://schemas.openxmlformats.org/drawingml/2006/main">
          <a:off x="2995997" y="740835"/>
          <a:ext cx="2031087" cy="4667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1100" b="1" u="none"/>
            <a:t>     </a:t>
          </a:r>
          <a:r>
            <a:rPr lang="cs-CZ" sz="1100" b="1" u="sng"/>
            <a:t> ICER </a:t>
          </a:r>
          <a:r>
            <a:rPr lang="cs-CZ" sz="1100" b="1" u="none"/>
            <a:t>                </a:t>
          </a:r>
          <a:r>
            <a:rPr lang="cs-CZ" sz="1100" b="1" u="sng"/>
            <a:t> (95%  CI)</a:t>
          </a:r>
        </a:p>
        <a:p xmlns:a="http://schemas.openxmlformats.org/drawingml/2006/main">
          <a:endParaRPr lang="cs-CZ" sz="1200"/>
        </a:p>
        <a:p xmlns:a="http://schemas.openxmlformats.org/drawingml/2006/main">
          <a:endParaRPr lang="cs-CZ" sz="400"/>
        </a:p>
        <a:p xmlns:a="http://schemas.openxmlformats.org/drawingml/2006/main">
          <a:r>
            <a:rPr lang="cs-CZ" sz="900" b="1" baseline="0"/>
            <a:t>    </a:t>
          </a:r>
          <a:endParaRPr lang="cs-CZ" sz="800" b="1" baseline="0"/>
        </a:p>
        <a:p xmlns:a="http://schemas.openxmlformats.org/drawingml/2006/main">
          <a:r>
            <a:rPr lang="cs-CZ" sz="900" b="1" baseline="0"/>
            <a:t>    </a:t>
          </a:r>
          <a:r>
            <a:rPr lang="cs-CZ" sz="1000" b="1" baseline="0"/>
            <a:t>51.319 Kč       (29.711, 141.127</a:t>
          </a:r>
          <a:r>
            <a:rPr lang="cs-CZ" sz="900" b="1" baseline="0"/>
            <a:t>)</a:t>
          </a:r>
        </a:p>
        <a:p xmlns:a="http://schemas.openxmlformats.org/drawingml/2006/main">
          <a:endParaRPr lang="cs-CZ" sz="900" b="1" baseline="0"/>
        </a:p>
        <a:p xmlns:a="http://schemas.openxmlformats.org/drawingml/2006/main">
          <a:r>
            <a:rPr lang="cs-CZ" sz="900" b="1"/>
            <a:t>     </a:t>
          </a:r>
        </a:p>
        <a:p xmlns:a="http://schemas.openxmlformats.org/drawingml/2006/main">
          <a:endParaRPr lang="cs-CZ" sz="1000" b="1" baseline="0"/>
        </a:p>
        <a:p xmlns:a="http://schemas.openxmlformats.org/drawingml/2006/main">
          <a:endParaRPr lang="cs-CZ" sz="1800" b="1" baseline="0"/>
        </a:p>
        <a:p xmlns:a="http://schemas.openxmlformats.org/drawingml/2006/main">
          <a:r>
            <a:rPr lang="cs-CZ" sz="1000" b="1" baseline="0"/>
            <a:t>      4.4447 Kč     (2.729, 10.006)</a:t>
          </a:r>
        </a:p>
        <a:p xmlns:a="http://schemas.openxmlformats.org/drawingml/2006/main">
          <a:endParaRPr lang="cs-CZ" sz="1100" b="1" baseline="0"/>
        </a:p>
        <a:p xmlns:a="http://schemas.openxmlformats.org/drawingml/2006/main">
          <a:r>
            <a:rPr lang="cs-CZ" sz="900" b="1" baseline="0"/>
            <a:t>       </a:t>
          </a:r>
        </a:p>
        <a:p xmlns:a="http://schemas.openxmlformats.org/drawingml/2006/main">
          <a:endParaRPr lang="cs-CZ" sz="900" b="1" baseline="0"/>
        </a:p>
        <a:p xmlns:a="http://schemas.openxmlformats.org/drawingml/2006/main">
          <a:endParaRPr lang="cs-CZ" sz="900" b="1" baseline="0"/>
        </a:p>
        <a:p xmlns:a="http://schemas.openxmlformats.org/drawingml/2006/main">
          <a:endParaRPr lang="cs-CZ" sz="900" b="1" baseline="0"/>
        </a:p>
        <a:p xmlns:a="http://schemas.openxmlformats.org/drawingml/2006/main">
          <a:r>
            <a:rPr lang="cs-CZ" sz="1000" b="1" baseline="0"/>
            <a:t>     25.690 Kč       (14.873, 70.649)</a:t>
          </a:r>
        </a:p>
        <a:p xmlns:a="http://schemas.openxmlformats.org/drawingml/2006/main">
          <a:r>
            <a:rPr lang="cs-CZ" sz="1100" b="1" baseline="0"/>
            <a:t>       </a:t>
          </a:r>
          <a:endParaRPr lang="cs-CZ" sz="1600" b="1" baseline="0"/>
        </a:p>
        <a:p xmlns:a="http://schemas.openxmlformats.org/drawingml/2006/main">
          <a:endParaRPr lang="cs-CZ" sz="900" b="1" baseline="0"/>
        </a:p>
        <a:p xmlns:a="http://schemas.openxmlformats.org/drawingml/2006/main">
          <a:endParaRPr lang="cs-CZ" sz="2000" b="1" baseline="0"/>
        </a:p>
        <a:p xmlns:a="http://schemas.openxmlformats.org/drawingml/2006/main">
          <a:r>
            <a:rPr lang="cs-CZ" sz="1000" b="1" baseline="0"/>
            <a:t>   478.277 Kč   (262.584, 1.339.177)</a:t>
          </a:r>
        </a:p>
        <a:p xmlns:a="http://schemas.openxmlformats.org/drawingml/2006/main">
          <a:endParaRPr lang="cs-CZ" sz="1100" b="1" baseline="0"/>
        </a:p>
        <a:p xmlns:a="http://schemas.openxmlformats.org/drawingml/2006/main">
          <a:endParaRPr lang="cs-CZ" sz="800" b="1" baseline="0"/>
        </a:p>
        <a:p xmlns:a="http://schemas.openxmlformats.org/drawingml/2006/main">
          <a:endParaRPr lang="cs-CZ" sz="800" b="1" baseline="0"/>
        </a:p>
        <a:p xmlns:a="http://schemas.openxmlformats.org/drawingml/2006/main">
          <a:endParaRPr lang="cs-CZ" sz="1000" b="1" baseline="0"/>
        </a:p>
        <a:p xmlns:a="http://schemas.openxmlformats.org/drawingml/2006/main">
          <a:r>
            <a:rPr lang="cs-CZ" sz="1100" b="1"/>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800" b="1" baseline="0">
              <a:effectLst/>
              <a:latin typeface="+mn-lt"/>
              <a:ea typeface="+mn-ea"/>
              <a:cs typeface="+mn-cs"/>
            </a:rPr>
            <a:t>     </a:t>
          </a:r>
          <a:r>
            <a:rPr lang="cs-CZ" sz="1000" b="1" baseline="0">
              <a:effectLst/>
              <a:latin typeface="+mn-lt"/>
              <a:ea typeface="+mn-ea"/>
              <a:cs typeface="+mn-cs"/>
            </a:rPr>
            <a:t>  29.333  Kč    (24.511, 39.762)</a:t>
          </a:r>
          <a:endParaRPr lang="cs-CZ" sz="1000" b="1">
            <a:effectLst/>
          </a:endParaRPr>
        </a:p>
        <a:p xmlns:a="http://schemas.openxmlformats.org/drawingml/2006/main">
          <a:endParaRPr lang="cs-CZ" sz="1100"/>
        </a:p>
      </cdr:txBody>
    </cdr:sp>
  </cdr:relSizeAnchor>
  <cdr:relSizeAnchor xmlns:cdr="http://schemas.openxmlformats.org/drawingml/2006/chartDrawing">
    <cdr:from>
      <cdr:x>0.61697</cdr:x>
      <cdr:y>0.18036</cdr:y>
    </cdr:from>
    <cdr:to>
      <cdr:x>0.66347</cdr:x>
      <cdr:y>0.18062</cdr:y>
    </cdr:to>
    <cdr:cxnSp macro="">
      <cdr:nvCxnSpPr>
        <cdr:cNvPr id="5" name="Přímá spojnice se šipkou 4">
          <a:extLst xmlns:a="http://schemas.openxmlformats.org/drawingml/2006/main">
            <a:ext uri="{FF2B5EF4-FFF2-40B4-BE49-F238E27FC236}">
              <a16:creationId xmlns:a16="http://schemas.microsoft.com/office/drawing/2014/main" id="{F143A14A-D3A8-45CC-B34A-ACAADE72ABB6}"/>
            </a:ext>
          </a:extLst>
        </cdr:cNvPr>
        <cdr:cNvCxnSpPr/>
      </cdr:nvCxnSpPr>
      <cdr:spPr>
        <a:xfrm xmlns:a="http://schemas.openxmlformats.org/drawingml/2006/main">
          <a:off x="7965282" y="1178721"/>
          <a:ext cx="600309" cy="1642"/>
        </a:xfrm>
        <a:prstGeom xmlns:a="http://schemas.openxmlformats.org/drawingml/2006/main" prst="straightConnector1">
          <a:avLst/>
        </a:prstGeom>
        <a:ln xmlns:a="http://schemas.openxmlformats.org/drawingml/2006/main">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0.07705</cdr:x>
      <cdr:y>0.02791</cdr:y>
    </cdr:from>
    <cdr:to>
      <cdr:x>0.95945</cdr:x>
      <cdr:y>0.10509</cdr:y>
    </cdr:to>
    <cdr:sp macro="" textlink="">
      <cdr:nvSpPr>
        <cdr:cNvPr id="14" name="TextovéPole 13"/>
        <cdr:cNvSpPr txBox="1"/>
      </cdr:nvSpPr>
      <cdr:spPr>
        <a:xfrm xmlns:a="http://schemas.openxmlformats.org/drawingml/2006/main">
          <a:off x="1005418" y="179887"/>
          <a:ext cx="11514666" cy="497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1600" b="1"/>
            <a:t>Hodnoty ICER (pro</a:t>
          </a:r>
          <a:r>
            <a:rPr lang="cs-CZ" sz="1600" b="1" baseline="0"/>
            <a:t> udržení na léčbě po 1 roku</a:t>
          </a:r>
          <a:r>
            <a:rPr lang="cs-CZ" sz="1600" b="1"/>
            <a:t>) 1. liniových léků za 1 rok udržovací léčby oproti placebu (jeho bodové hodnotě PASI 75)</a:t>
          </a:r>
        </a:p>
      </cdr:txBody>
    </cdr:sp>
  </cdr:relSizeAnchor>
  <cdr:relSizeAnchor xmlns:cdr="http://schemas.openxmlformats.org/drawingml/2006/chartDrawing">
    <cdr:from>
      <cdr:x>0.04542</cdr:x>
      <cdr:y>0.84236</cdr:y>
    </cdr:from>
    <cdr:to>
      <cdr:x>0.34955</cdr:x>
      <cdr:y>0.97537</cdr:y>
    </cdr:to>
    <cdr:sp macro="" textlink="">
      <cdr:nvSpPr>
        <cdr:cNvPr id="16" name="TextovéPole 15"/>
        <cdr:cNvSpPr txBox="1"/>
      </cdr:nvSpPr>
      <cdr:spPr>
        <a:xfrm xmlns:a="http://schemas.openxmlformats.org/drawingml/2006/main">
          <a:off x="592697" y="5429222"/>
          <a:ext cx="3968669" cy="85728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cs-CZ" sz="1200" b="1">
              <a:effectLst/>
              <a:latin typeface="+mn-lt"/>
              <a:ea typeface="+mn-ea"/>
              <a:cs typeface="+mn-cs"/>
            </a:rPr>
            <a:t>Údaje o účinnosti jsou dle zdroje pod pozn.9.   Podle téhož zdroje  (str. 22) je brána u acitretinu stejná účinnost jako u ciclosporinu, účinnost v udržovací léčbě je předpokládána cca stejná jako v indukci ! </a:t>
          </a:r>
          <a:endParaRPr lang="cs-CZ" sz="1200">
            <a:effectLst/>
          </a:endParaRPr>
        </a:p>
        <a:p xmlns:a="http://schemas.openxmlformats.org/drawingml/2006/main">
          <a:endParaRPr lang="cs-CZ" sz="12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323849</xdr:colOff>
      <xdr:row>0</xdr:row>
      <xdr:rowOff>76199</xdr:rowOff>
    </xdr:from>
    <xdr:to>
      <xdr:col>22</xdr:col>
      <xdr:colOff>126999</xdr:colOff>
      <xdr:row>59</xdr:row>
      <xdr:rowOff>116417</xdr:rowOff>
    </xdr:to>
    <xdr:sp macro="" textlink="">
      <xdr:nvSpPr>
        <xdr:cNvPr id="2" name="TextovéPole 1">
          <a:extLst>
            <a:ext uri="{FF2B5EF4-FFF2-40B4-BE49-F238E27FC236}">
              <a16:creationId xmlns:a16="http://schemas.microsoft.com/office/drawing/2014/main" id="{00000000-0008-0000-0C00-000002000000}"/>
            </a:ext>
          </a:extLst>
        </xdr:cNvPr>
        <xdr:cNvSpPr txBox="1"/>
      </xdr:nvSpPr>
      <xdr:spPr>
        <a:xfrm>
          <a:off x="323849" y="76199"/>
          <a:ext cx="13307483" cy="9406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editAs="oneCell">
    <xdr:from>
      <xdr:col>1</xdr:col>
      <xdr:colOff>133351</xdr:colOff>
      <xdr:row>3</xdr:row>
      <xdr:rowOff>76201</xdr:rowOff>
    </xdr:from>
    <xdr:to>
      <xdr:col>8</xdr:col>
      <xdr:colOff>538965</xdr:colOff>
      <xdr:row>22</xdr:row>
      <xdr:rowOff>127001</xdr:rowOff>
    </xdr:to>
    <xdr:pic>
      <xdr:nvPicPr>
        <xdr:cNvPr id="3" name="Obrázek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184" y="552451"/>
          <a:ext cx="4702448"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1</xdr:row>
      <xdr:rowOff>38100</xdr:rowOff>
    </xdr:from>
    <xdr:to>
      <xdr:col>9</xdr:col>
      <xdr:colOff>211666</xdr:colOff>
      <xdr:row>3</xdr:row>
      <xdr:rowOff>76200</xdr:rowOff>
    </xdr:to>
    <xdr:sp macro="" textlink="">
      <xdr:nvSpPr>
        <xdr:cNvPr id="4" name="TextovéPole 3">
          <a:extLst>
            <a:ext uri="{FF2B5EF4-FFF2-40B4-BE49-F238E27FC236}">
              <a16:creationId xmlns:a16="http://schemas.microsoft.com/office/drawing/2014/main" id="{00000000-0008-0000-0C00-000004000000}"/>
            </a:ext>
          </a:extLst>
        </xdr:cNvPr>
        <xdr:cNvSpPr txBox="1"/>
      </xdr:nvSpPr>
      <xdr:spPr>
        <a:xfrm>
          <a:off x="994833" y="196850"/>
          <a:ext cx="47413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Porovnání léčiv působící</a:t>
          </a:r>
          <a:r>
            <a:rPr lang="cs-CZ" sz="1400" b="1" baseline="0"/>
            <a:t> proti interleukinům - upraveno dle</a:t>
          </a:r>
          <a:r>
            <a:rPr lang="cs-CZ" sz="1400" b="1" baseline="30000"/>
            <a:t>18</a:t>
          </a:r>
        </a:p>
      </xdr:txBody>
    </xdr:sp>
    <xdr:clientData/>
  </xdr:twoCellAnchor>
  <xdr:twoCellAnchor>
    <xdr:from>
      <xdr:col>2</xdr:col>
      <xdr:colOff>116416</xdr:colOff>
      <xdr:row>14</xdr:row>
      <xdr:rowOff>95250</xdr:rowOff>
    </xdr:from>
    <xdr:to>
      <xdr:col>4</xdr:col>
      <xdr:colOff>74084</xdr:colOff>
      <xdr:row>18</xdr:row>
      <xdr:rowOff>105833</xdr:rowOff>
    </xdr:to>
    <xdr:sp macro="" textlink="">
      <xdr:nvSpPr>
        <xdr:cNvPr id="5" name="Ovál 4">
          <a:extLst>
            <a:ext uri="{FF2B5EF4-FFF2-40B4-BE49-F238E27FC236}">
              <a16:creationId xmlns:a16="http://schemas.microsoft.com/office/drawing/2014/main" id="{00000000-0008-0000-0C00-000005000000}"/>
            </a:ext>
          </a:extLst>
        </xdr:cNvPr>
        <xdr:cNvSpPr/>
      </xdr:nvSpPr>
      <xdr:spPr>
        <a:xfrm>
          <a:off x="1344083" y="2317750"/>
          <a:ext cx="1185334" cy="645583"/>
        </a:xfrm>
        <a:prstGeom prst="ellipse">
          <a:avLst/>
        </a:prstGeom>
        <a:noFill/>
        <a:ln w="28575">
          <a:solidFill>
            <a:srgbClr val="FF4F2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10</xdr:col>
      <xdr:colOff>115494</xdr:colOff>
      <xdr:row>2</xdr:row>
      <xdr:rowOff>137582</xdr:rowOff>
    </xdr:from>
    <xdr:to>
      <xdr:col>19</xdr:col>
      <xdr:colOff>412750</xdr:colOff>
      <xdr:row>26</xdr:row>
      <xdr:rowOff>116417</xdr:rowOff>
    </xdr:to>
    <xdr:pic>
      <xdr:nvPicPr>
        <xdr:cNvPr id="6" name="Obrázek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53827" y="455082"/>
          <a:ext cx="5821756" cy="3788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550334</xdr:colOff>
      <xdr:row>26</xdr:row>
      <xdr:rowOff>105835</xdr:rowOff>
    </xdr:from>
    <xdr:to>
      <xdr:col>19</xdr:col>
      <xdr:colOff>349250</xdr:colOff>
      <xdr:row>30</xdr:row>
      <xdr:rowOff>72269</xdr:rowOff>
    </xdr:to>
    <xdr:pic>
      <xdr:nvPicPr>
        <xdr:cNvPr id="7" name="Obrázek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8667" y="4233335"/>
          <a:ext cx="5323416" cy="601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349250</xdr:colOff>
      <xdr:row>6</xdr:row>
      <xdr:rowOff>105833</xdr:rowOff>
    </xdr:from>
    <xdr:to>
      <xdr:col>19</xdr:col>
      <xdr:colOff>222250</xdr:colOff>
      <xdr:row>12</xdr:row>
      <xdr:rowOff>148167</xdr:rowOff>
    </xdr:to>
    <xdr:sp macro="" textlink="">
      <xdr:nvSpPr>
        <xdr:cNvPr id="8" name="Ovál 7">
          <a:extLst>
            <a:ext uri="{FF2B5EF4-FFF2-40B4-BE49-F238E27FC236}">
              <a16:creationId xmlns:a16="http://schemas.microsoft.com/office/drawing/2014/main" id="{00000000-0008-0000-0C00-000008000000}"/>
            </a:ext>
          </a:extLst>
        </xdr:cNvPr>
        <xdr:cNvSpPr/>
      </xdr:nvSpPr>
      <xdr:spPr>
        <a:xfrm>
          <a:off x="10784417" y="1058333"/>
          <a:ext cx="1100666" cy="99483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15</xdr:col>
      <xdr:colOff>476250</xdr:colOff>
      <xdr:row>4</xdr:row>
      <xdr:rowOff>127000</xdr:rowOff>
    </xdr:from>
    <xdr:to>
      <xdr:col>17</xdr:col>
      <xdr:colOff>317500</xdr:colOff>
      <xdr:row>7</xdr:row>
      <xdr:rowOff>84667</xdr:rowOff>
    </xdr:to>
    <xdr:sp macro="" textlink="">
      <xdr:nvSpPr>
        <xdr:cNvPr id="9" name="TextovéPole 8">
          <a:extLst>
            <a:ext uri="{FF2B5EF4-FFF2-40B4-BE49-F238E27FC236}">
              <a16:creationId xmlns:a16="http://schemas.microsoft.com/office/drawing/2014/main" id="{00000000-0008-0000-0C00-000009000000}"/>
            </a:ext>
          </a:extLst>
        </xdr:cNvPr>
        <xdr:cNvSpPr txBox="1"/>
      </xdr:nvSpPr>
      <xdr:spPr>
        <a:xfrm>
          <a:off x="9683750" y="762000"/>
          <a:ext cx="1068917" cy="433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100" b="1">
              <a:solidFill>
                <a:srgbClr val="FF0000"/>
              </a:solidFill>
            </a:rPr>
            <a:t>NEJLEPŠÍ BENEFIT/ RISK</a:t>
          </a:r>
        </a:p>
      </xdr:txBody>
    </xdr:sp>
    <xdr:clientData/>
  </xdr:twoCellAnchor>
  <xdr:twoCellAnchor>
    <xdr:from>
      <xdr:col>16</xdr:col>
      <xdr:colOff>455084</xdr:colOff>
      <xdr:row>7</xdr:row>
      <xdr:rowOff>105833</xdr:rowOff>
    </xdr:from>
    <xdr:to>
      <xdr:col>17</xdr:col>
      <xdr:colOff>296333</xdr:colOff>
      <xdr:row>8</xdr:row>
      <xdr:rowOff>137583</xdr:rowOff>
    </xdr:to>
    <xdr:cxnSp macro="">
      <xdr:nvCxnSpPr>
        <xdr:cNvPr id="11" name="Přímá spojnice se šipkou 10">
          <a:extLst>
            <a:ext uri="{FF2B5EF4-FFF2-40B4-BE49-F238E27FC236}">
              <a16:creationId xmlns:a16="http://schemas.microsoft.com/office/drawing/2014/main" id="{00000000-0008-0000-0C00-00000B000000}"/>
            </a:ext>
          </a:extLst>
        </xdr:cNvPr>
        <xdr:cNvCxnSpPr/>
      </xdr:nvCxnSpPr>
      <xdr:spPr>
        <a:xfrm>
          <a:off x="10276417" y="1217083"/>
          <a:ext cx="455083" cy="190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26</xdr:row>
      <xdr:rowOff>105833</xdr:rowOff>
    </xdr:from>
    <xdr:to>
      <xdr:col>16</xdr:col>
      <xdr:colOff>433917</xdr:colOff>
      <xdr:row>27</xdr:row>
      <xdr:rowOff>52916</xdr:rowOff>
    </xdr:to>
    <xdr:sp macro="" textlink="">
      <xdr:nvSpPr>
        <xdr:cNvPr id="13" name="TextovéPole 12">
          <a:extLst>
            <a:ext uri="{FF2B5EF4-FFF2-40B4-BE49-F238E27FC236}">
              <a16:creationId xmlns:a16="http://schemas.microsoft.com/office/drawing/2014/main" id="{00000000-0008-0000-0C00-00000D000000}"/>
            </a:ext>
          </a:extLst>
        </xdr:cNvPr>
        <xdr:cNvSpPr txBox="1"/>
      </xdr:nvSpPr>
      <xdr:spPr>
        <a:xfrm>
          <a:off x="6709833" y="4233333"/>
          <a:ext cx="3545417" cy="10583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editAs="oneCell">
    <xdr:from>
      <xdr:col>1</xdr:col>
      <xdr:colOff>328082</xdr:colOff>
      <xdr:row>32</xdr:row>
      <xdr:rowOff>116417</xdr:rowOff>
    </xdr:from>
    <xdr:to>
      <xdr:col>18</xdr:col>
      <xdr:colOff>190761</xdr:colOff>
      <xdr:row>58</xdr:row>
      <xdr:rowOff>137582</xdr:rowOff>
    </xdr:to>
    <xdr:pic>
      <xdr:nvPicPr>
        <xdr:cNvPr id="14" name="Obrázek 13">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1915" y="5196417"/>
          <a:ext cx="10297846" cy="4148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465666</xdr:colOff>
      <xdr:row>37</xdr:row>
      <xdr:rowOff>148167</xdr:rowOff>
    </xdr:from>
    <xdr:to>
      <xdr:col>7</xdr:col>
      <xdr:colOff>285750</xdr:colOff>
      <xdr:row>38</xdr:row>
      <xdr:rowOff>148167</xdr:rowOff>
    </xdr:to>
    <xdr:sp macro="" textlink="">
      <xdr:nvSpPr>
        <xdr:cNvPr id="15" name="Ovál 14">
          <a:extLst>
            <a:ext uri="{FF2B5EF4-FFF2-40B4-BE49-F238E27FC236}">
              <a16:creationId xmlns:a16="http://schemas.microsoft.com/office/drawing/2014/main" id="{00000000-0008-0000-0C00-00000F000000}"/>
            </a:ext>
          </a:extLst>
        </xdr:cNvPr>
        <xdr:cNvSpPr/>
      </xdr:nvSpPr>
      <xdr:spPr>
        <a:xfrm>
          <a:off x="2920999" y="6021917"/>
          <a:ext cx="1661584" cy="158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13</xdr:col>
      <xdr:colOff>550332</xdr:colOff>
      <xdr:row>49</xdr:row>
      <xdr:rowOff>148166</xdr:rowOff>
    </xdr:from>
    <xdr:to>
      <xdr:col>14</xdr:col>
      <xdr:colOff>613831</xdr:colOff>
      <xdr:row>50</xdr:row>
      <xdr:rowOff>95250</xdr:rowOff>
    </xdr:to>
    <xdr:sp macro="" textlink="">
      <xdr:nvSpPr>
        <xdr:cNvPr id="16" name="Ovál 15">
          <a:extLst>
            <a:ext uri="{FF2B5EF4-FFF2-40B4-BE49-F238E27FC236}">
              <a16:creationId xmlns:a16="http://schemas.microsoft.com/office/drawing/2014/main" id="{00000000-0008-0000-0C00-000010000000}"/>
            </a:ext>
          </a:extLst>
        </xdr:cNvPr>
        <xdr:cNvSpPr/>
      </xdr:nvSpPr>
      <xdr:spPr>
        <a:xfrm>
          <a:off x="8530165" y="7926916"/>
          <a:ext cx="677333" cy="10583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10</xdr:col>
      <xdr:colOff>359835</xdr:colOff>
      <xdr:row>49</xdr:row>
      <xdr:rowOff>137585</xdr:rowOff>
    </xdr:from>
    <xdr:to>
      <xdr:col>11</xdr:col>
      <xdr:colOff>476251</xdr:colOff>
      <xdr:row>50</xdr:row>
      <xdr:rowOff>116417</xdr:rowOff>
    </xdr:to>
    <xdr:sp macro="" textlink="">
      <xdr:nvSpPr>
        <xdr:cNvPr id="17" name="Ovál 16">
          <a:extLst>
            <a:ext uri="{FF2B5EF4-FFF2-40B4-BE49-F238E27FC236}">
              <a16:creationId xmlns:a16="http://schemas.microsoft.com/office/drawing/2014/main" id="{00000000-0008-0000-0C00-000011000000}"/>
            </a:ext>
          </a:extLst>
        </xdr:cNvPr>
        <xdr:cNvSpPr/>
      </xdr:nvSpPr>
      <xdr:spPr>
        <a:xfrm>
          <a:off x="6498168" y="7916335"/>
          <a:ext cx="730250" cy="13758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xdr:col>
      <xdr:colOff>497416</xdr:colOff>
      <xdr:row>37</xdr:row>
      <xdr:rowOff>148167</xdr:rowOff>
    </xdr:from>
    <xdr:to>
      <xdr:col>3</xdr:col>
      <xdr:colOff>10582</xdr:colOff>
      <xdr:row>38</xdr:row>
      <xdr:rowOff>148167</xdr:rowOff>
    </xdr:to>
    <xdr:sp macro="" textlink="">
      <xdr:nvSpPr>
        <xdr:cNvPr id="18" name="Ovál 17">
          <a:extLst>
            <a:ext uri="{FF2B5EF4-FFF2-40B4-BE49-F238E27FC236}">
              <a16:creationId xmlns:a16="http://schemas.microsoft.com/office/drawing/2014/main" id="{00000000-0008-0000-0C00-000012000000}"/>
            </a:ext>
          </a:extLst>
        </xdr:cNvPr>
        <xdr:cNvSpPr/>
      </xdr:nvSpPr>
      <xdr:spPr>
        <a:xfrm>
          <a:off x="1111249" y="6021917"/>
          <a:ext cx="740833" cy="1587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álová Lenka" refreshedDate="43837.58902939815" createdVersion="5" refreshedVersion="5" minRefreshableVersion="3" recordCount="184" xr:uid="{00000000-000A-0000-FFFF-FFFF00000000}">
  <cacheSource type="worksheet">
    <worksheetSource name="Seznam1"/>
  </cacheSource>
  <cacheFields count="28">
    <cacheField name="Jméno " numFmtId="0">
      <sharedItems containsBlank="1"/>
    </cacheField>
    <cacheField name="rodné číslo" numFmtId="0">
      <sharedItems containsBlank="1"/>
    </cacheField>
    <cacheField name="Zdrav.poj." numFmtId="0">
      <sharedItems containsString="0" containsBlank="1" containsNumber="1" containsInteger="1" minValue="111" maxValue="213"/>
    </cacheField>
    <cacheField name="nasazení" numFmtId="14">
      <sharedItems containsDate="1" containsBlank="1" containsMixedTypes="1" minDate="2005-04-19T00:00:00" maxDate="2019-12-12T00:00:00"/>
    </cacheField>
    <cacheField name="název" numFmtId="0">
      <sharedItems containsBlank="1"/>
    </cacheField>
    <cacheField name="ukončení" numFmtId="0">
      <sharedItems containsNonDate="0" containsDate="1" containsString="0" containsBlank="1" minDate="2006-03-03T00:00:00" maxDate="2019-11-26T00:00:00"/>
    </cacheField>
    <cacheField name="nasazení2" numFmtId="0">
      <sharedItems containsDate="1" containsBlank="1" containsMixedTypes="1" minDate="2007-07-26T00:00:00" maxDate="2019-12-12T00:00:00"/>
    </cacheField>
    <cacheField name="název 2" numFmtId="0">
      <sharedItems containsBlank="1"/>
    </cacheField>
    <cacheField name="ukončení2" numFmtId="0">
      <sharedItems containsNonDate="0" containsDate="1" containsString="0" containsBlank="1" minDate="2008-04-21T00:00:00" maxDate="2019-11-19T00:00:00"/>
    </cacheField>
    <cacheField name="nasazení3" numFmtId="0">
      <sharedItems containsNonDate="0" containsDate="1" containsString="0" containsBlank="1" minDate="2008-09-03T00:00:00" maxDate="2019-12-12T00:00:00"/>
    </cacheField>
    <cacheField name="název 3" numFmtId="0">
      <sharedItems containsBlank="1"/>
    </cacheField>
    <cacheField name="ukončení3" numFmtId="0">
      <sharedItems containsNonDate="0" containsDate="1" containsString="0" containsBlank="1" minDate="2009-04-10T00:00:00" maxDate="2019-10-23T00:00:00"/>
    </cacheField>
    <cacheField name="nasazení4" numFmtId="0">
      <sharedItems containsNonDate="0" containsDate="1" containsString="0" containsBlank="1" minDate="2009-04-22T00:00:00" maxDate="2019-12-03T00:00:00"/>
    </cacheField>
    <cacheField name="název 4" numFmtId="0">
      <sharedItems containsBlank="1"/>
    </cacheField>
    <cacheField name="ukončení4" numFmtId="0">
      <sharedItems containsNonDate="0" containsDate="1" containsString="0" containsBlank="1" minDate="2011-01-06T00:00:00" maxDate="2018-09-14T00:00:00"/>
    </cacheField>
    <cacheField name="nasazení5" numFmtId="0">
      <sharedItems containsNonDate="0" containsDate="1" containsString="0" containsBlank="1" minDate="2011-01-20T00:00:00" maxDate="2018-09-21T00:00:00"/>
    </cacheField>
    <cacheField name="název 5" numFmtId="0">
      <sharedItems containsBlank="1"/>
    </cacheField>
    <cacheField name="ukončení 5" numFmtId="0">
      <sharedItems containsNonDate="0" containsDate="1" containsString="0" containsBlank="1" minDate="2015-01-13T00:00:00" maxDate="2018-03-13T00:00:00"/>
    </cacheField>
    <cacheField name="nasazení 6" numFmtId="0">
      <sharedItems containsNonDate="0" containsDate="1" containsString="0" containsBlank="1" minDate="2015-01-26T00:00:00" maxDate="2018-03-15T00:00:00"/>
    </cacheField>
    <cacheField name="název 6" numFmtId="0">
      <sharedItems containsBlank="1"/>
    </cacheField>
    <cacheField name="ukončení 6" numFmtId="0">
      <sharedItems containsNonDate="0" containsDate="1" containsString="0" containsBlank="1" minDate="2015-11-25T00:00:00" maxDate="2018-09-20T00:00:00"/>
    </cacheField>
    <cacheField name="nasazení 7" numFmtId="0">
      <sharedItems containsNonDate="0" containsDate="1" containsString="0" containsBlank="1" minDate="2016-02-09T00:00:00" maxDate="2018-09-27T00:00:00"/>
    </cacheField>
    <cacheField name="název 7" numFmtId="0">
      <sharedItems containsBlank="1"/>
    </cacheField>
    <cacheField name="ukončení 7" numFmtId="0">
      <sharedItems containsNonDate="0" containsDate="1" containsString="0" containsBlank="1" minDate="2017-02-28T00:00:00" maxDate="2019-03-19T00:00:00"/>
    </cacheField>
    <cacheField name="nasazení 8" numFmtId="0">
      <sharedItems containsNonDate="0" containsDate="1" containsString="0" containsBlank="1" minDate="2019-03-18T00:00:00" maxDate="2019-03-19T00:00:00"/>
    </cacheField>
    <cacheField name="název 8" numFmtId="0">
      <sharedItems containsBlank="1"/>
    </cacheField>
    <cacheField name="název nebo ukončen" numFmtId="0">
      <sharedItems containsBlank="1" count="33">
        <s v="HUMIRA"/>
        <s v="TALTZ "/>
        <s v="KYNTHEUM"/>
        <s v="ENBREL"/>
        <s v="HYRIMOZ"/>
        <s v="STELARA"/>
        <s v="REMICADE"/>
        <s v="COSENTYX"/>
        <s v="INFLECTRA"/>
        <s v="TREMFYA"/>
        <s v="ukončeno 19"/>
        <s v="HUMIRA (HIDRADENITIS SU)"/>
        <s v="OTEZLA"/>
        <s v="CIMZIA"/>
        <s v="ukončeno 18"/>
        <s v="ukončeno 06"/>
        <s v="ukončeno 09"/>
        <s v="ukončeno 11"/>
        <s v="ukončeno 12"/>
        <s v="ukončeno 13"/>
        <s v="ukončeno 15"/>
        <s v="ukončeno 16"/>
        <s v="ukončeno 17"/>
        <s v="SKYRIZI"/>
        <m/>
        <s v="????" u="1"/>
        <s v="OTEZLA " u="1"/>
        <s v="???" u="1"/>
        <s v="REMSIMA" u="1"/>
        <s v="TALTZ (VZORKY)" u="1"/>
        <s v="ukončeno 2018" u="1"/>
        <s v="OTEZLA (vzorky)" u="1"/>
        <s v="ukončeno" u="1"/>
      </sharedItems>
    </cacheField>
    <cacheField name="Důvod ukončení"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4">
  <r>
    <s v="Dvořák Petr"/>
    <s v="520915/231"/>
    <n v="111"/>
    <d v="2005-04-19T00:00:00"/>
    <s v="Raptiva (efalizumab)"/>
    <d v="2009-04-01T00:00:00"/>
    <d v="2009-05-05T00:00:00"/>
    <s v="HUMIRA"/>
    <m/>
    <m/>
    <m/>
    <m/>
    <m/>
    <m/>
    <m/>
    <m/>
    <m/>
    <m/>
    <m/>
    <m/>
    <m/>
    <m/>
    <m/>
    <m/>
    <m/>
    <m/>
    <x v="0"/>
    <m/>
  </r>
  <r>
    <s v="Sychra Miloslav"/>
    <s v="571118/1531"/>
    <n v="111"/>
    <d v="2006-01-03T00:00:00"/>
    <s v="Raptiva (efalizumab)"/>
    <d v="2006-03-03T00:00:00"/>
    <d v="2011-06-10T00:00:00"/>
    <s v="HUMIRA "/>
    <d v="2012-09-17T00:00:00"/>
    <d v="2012-10-23T00:00:00"/>
    <s v="ENBREL"/>
    <d v="2019-01-04T00:00:00"/>
    <d v="2019-01-09T00:00:00"/>
    <s v="TALTZ"/>
    <m/>
    <m/>
    <m/>
    <m/>
    <m/>
    <m/>
    <m/>
    <m/>
    <m/>
    <m/>
    <m/>
    <m/>
    <x v="1"/>
    <m/>
  </r>
  <r>
    <s v="Václavek Vojtěch"/>
    <s v="451211/406"/>
    <n v="111"/>
    <d v="2006-01-05T00:00:00"/>
    <s v="Raptiva (efalizumab)"/>
    <d v="2006-03-15T00:00:00"/>
    <d v="2007-10-08T00:00:00"/>
    <s v="REMICADE (infliximab)"/>
    <d v="2016-09-30T00:00:00"/>
    <d v="2016-10-11T00:00:00"/>
    <s v="COSENTYX"/>
    <d v="2017-01-24T00:00:00"/>
    <d v="2017-01-24T00:00:00"/>
    <s v="ENBREL"/>
    <d v="2017-04-11T00:00:00"/>
    <d v="2017-05-02T00:00:00"/>
    <s v="TALTZ (VZORKY)"/>
    <d v="2018-03-12T00:00:00"/>
    <d v="2018-03-14T00:00:00"/>
    <s v="STELARA"/>
    <d v="2018-09-19T00:00:00"/>
    <d v="2018-09-26T00:00:00"/>
    <s v="kyntheum"/>
    <m/>
    <m/>
    <m/>
    <x v="2"/>
    <m/>
  </r>
  <r>
    <s v="Skopalík David"/>
    <s v="780411/5319"/>
    <n v="207"/>
    <d v="2006-04-18T00:00:00"/>
    <s v="REMICADE (infliximab)"/>
    <d v="2007-09-28T00:00:00"/>
    <d v="2007-11-15T00:00:00"/>
    <s v="ENBREL (etanercept)"/>
    <m/>
    <m/>
    <m/>
    <m/>
    <m/>
    <m/>
    <m/>
    <m/>
    <m/>
    <m/>
    <m/>
    <m/>
    <m/>
    <m/>
    <m/>
    <m/>
    <m/>
    <m/>
    <x v="3"/>
    <m/>
  </r>
  <r>
    <s v="Wünschová Stanislava"/>
    <s v="445119/082"/>
    <n v="201"/>
    <d v="2006-04-18T00:00:00"/>
    <s v="ENBREL (etanercept)"/>
    <d v="2006-10-26T00:00:00"/>
    <d v="2015-06-23T00:00:00"/>
    <s v="ENBREL (etanercept)"/>
    <d v="2015-10-21T00:00:00"/>
    <d v="2015-11-02T00:00:00"/>
    <s v="HUMIRA"/>
    <d v="2019-07-08T00:00:00"/>
    <d v="2019-07-08T00:00:00"/>
    <s v="hyrimoz"/>
    <m/>
    <m/>
    <m/>
    <m/>
    <m/>
    <m/>
    <m/>
    <m/>
    <m/>
    <m/>
    <m/>
    <m/>
    <x v="4"/>
    <m/>
  </r>
  <r>
    <s v="Pěnták Tomáš"/>
    <s v="720717/5272"/>
    <n v="201"/>
    <d v="2006-11-29T00:00:00"/>
    <s v="Raptiva (efalizumab)"/>
    <d v="2009-03-19T00:00:00"/>
    <d v="2009-04-16T00:00:00"/>
    <s v="ENBREL (etanercept)"/>
    <m/>
    <m/>
    <m/>
    <m/>
    <m/>
    <m/>
    <m/>
    <m/>
    <m/>
    <m/>
    <m/>
    <m/>
    <m/>
    <m/>
    <m/>
    <m/>
    <m/>
    <m/>
    <x v="3"/>
    <m/>
  </r>
  <r>
    <s v="Nykl Petr"/>
    <s v="770324/5363"/>
    <n v="211"/>
    <d v="2007-01-04T00:00:00"/>
    <s v="HUMIRA"/>
    <m/>
    <m/>
    <m/>
    <m/>
    <m/>
    <m/>
    <m/>
    <m/>
    <m/>
    <m/>
    <m/>
    <m/>
    <m/>
    <m/>
    <m/>
    <m/>
    <m/>
    <m/>
    <m/>
    <m/>
    <m/>
    <x v="0"/>
    <m/>
  </r>
  <r>
    <s v="Saitz Miloslav"/>
    <s v="650813/1542"/>
    <n v="211"/>
    <d v="2007-01-05T00:00:00"/>
    <s v="Raptiva (efalizumab)"/>
    <d v="2009-04-29T00:00:00"/>
    <d v="2009-05-28T00:00:00"/>
    <s v="ENBREL (etanercept)"/>
    <d v="2009-12-10T00:00:00"/>
    <d v="2009-12-14T00:00:00"/>
    <s v="HUMIRA"/>
    <m/>
    <m/>
    <m/>
    <m/>
    <m/>
    <m/>
    <m/>
    <m/>
    <m/>
    <m/>
    <m/>
    <m/>
    <m/>
    <m/>
    <m/>
    <x v="0"/>
    <m/>
  </r>
  <r>
    <s v="Röder Karel"/>
    <s v="690930/5326"/>
    <n v="211"/>
    <d v="2007-03-01T00:00:00"/>
    <s v="Raptiva (efalizumab)"/>
    <d v="2007-05-16T00:00:00"/>
    <d v="2007-07-26T00:00:00"/>
    <s v="ENBREL (etanercept)"/>
    <d v="2010-05-20T00:00:00"/>
    <d v="2010-06-02T00:00:00"/>
    <s v="HUMIRA"/>
    <d v="2011-04-06T00:00:00"/>
    <d v="2011-05-02T00:00:00"/>
    <s v="STELARA"/>
    <m/>
    <m/>
    <m/>
    <m/>
    <m/>
    <m/>
    <m/>
    <m/>
    <m/>
    <m/>
    <m/>
    <m/>
    <x v="5"/>
    <m/>
  </r>
  <r>
    <s v="Kardohelyi Rudolf"/>
    <s v="760412/5353"/>
    <n v="201"/>
    <d v="2007-03-15T00:00:00"/>
    <s v="HUMIRA"/>
    <d v="2017-03-27T00:00:00"/>
    <d v="2017-04-06T00:00:00"/>
    <s v="STELARA"/>
    <d v="2017-07-27T00:00:00"/>
    <d v="2017-08-09T00:00:00"/>
    <s v="COSENTYX"/>
    <d v="2018-01-22T00:00:00"/>
    <d v="2018-02-01T00:00:00"/>
    <s v="TALTZ"/>
    <d v="2018-09-13T00:00:00"/>
    <d v="2018-09-20T00:00:00"/>
    <s v="KYNTHEUM"/>
    <m/>
    <m/>
    <m/>
    <m/>
    <m/>
    <m/>
    <m/>
    <m/>
    <m/>
    <x v="2"/>
    <m/>
  </r>
  <r>
    <s v="Ryšavý Pavel"/>
    <s v="500320/145"/>
    <n v="111"/>
    <d v="2007-08-20T00:00:00"/>
    <s v="ENBREL (etanercept)"/>
    <d v="2011-04-01T00:00:00"/>
    <d v="2011-06-06T00:00:00"/>
    <s v="STELARA"/>
    <m/>
    <m/>
    <m/>
    <m/>
    <m/>
    <m/>
    <m/>
    <m/>
    <m/>
    <m/>
    <m/>
    <m/>
    <m/>
    <m/>
    <m/>
    <m/>
    <m/>
    <m/>
    <x v="5"/>
    <m/>
  </r>
  <r>
    <s v="Lessy Pavel"/>
    <s v="591007/1354"/>
    <n v="211"/>
    <d v="2007-10-15T00:00:00"/>
    <s v="Raptiva (efalizumab)"/>
    <d v="2009-04-01T00:00:00"/>
    <d v="2009-06-09T00:00:00"/>
    <s v="ENBREL (etanercept)"/>
    <m/>
    <m/>
    <m/>
    <m/>
    <m/>
    <m/>
    <m/>
    <m/>
    <m/>
    <m/>
    <m/>
    <m/>
    <m/>
    <m/>
    <m/>
    <m/>
    <m/>
    <m/>
    <x v="3"/>
    <m/>
  </r>
  <r>
    <s v="Hlaváčová Alena"/>
    <s v="536031/238"/>
    <n v="111"/>
    <d v="2007-10-18T00:00:00"/>
    <s v="Raptiva (efalizumab)"/>
    <d v="2008-02-28T00:00:00"/>
    <d v="2008-03-05T00:00:00"/>
    <s v="ENBREL (etanercept)"/>
    <d v="2008-04-21T00:00:00"/>
    <d v="2008-09-03T00:00:00"/>
    <s v="Raptiva (efalizumab)"/>
    <d v="2009-04-10T00:00:00"/>
    <d v="2009-04-22T00:00:00"/>
    <s v="ENBREL"/>
    <d v="2016-04-11T00:00:00"/>
    <d v="2018-02-01T00:00:00"/>
    <s v="TALTZ"/>
    <m/>
    <m/>
    <m/>
    <m/>
    <m/>
    <m/>
    <m/>
    <m/>
    <m/>
    <x v="1"/>
    <s v="resorbující hematom v oblasti zevního kvadrantu pravého prsu po odběru vzorku"/>
  </r>
  <r>
    <s v="Adam Miroslav"/>
    <s v="690930/5700"/>
    <n v="205"/>
    <d v="2007-10-22T00:00:00"/>
    <s v="Raptiva (efalizumab)"/>
    <d v="2009-05-13T00:00:00"/>
    <d v="2009-06-01T00:00:00"/>
    <s v="ENBREL (etanercept)"/>
    <d v="2013-10-08T00:00:00"/>
    <d v="2013-10-15T00:00:00"/>
    <s v="HUMIRA"/>
    <d v="2019-06-05T00:00:00"/>
    <d v="2019-06-05T00:00:00"/>
    <s v="hyrimoz"/>
    <m/>
    <m/>
    <m/>
    <m/>
    <m/>
    <m/>
    <m/>
    <m/>
    <m/>
    <m/>
    <m/>
    <m/>
    <x v="4"/>
    <m/>
  </r>
  <r>
    <s v="Martinez Jakub"/>
    <s v="851225/4916"/>
    <n v="111"/>
    <d v="2007-11-01T00:00:00"/>
    <s v="REMICADE (infliximab)"/>
    <d v="2007-12-13T00:00:00"/>
    <d v="2007-12-21T00:00:00"/>
    <s v="Raptiva (efalizumab)"/>
    <d v="2009-03-13T00:00:00"/>
    <d v="2009-03-13T00:00:00"/>
    <s v="ENBREL"/>
    <d v="2009-12-10T00:00:00"/>
    <d v="2009-12-15T00:00:00"/>
    <s v="HUMIRA"/>
    <d v="2011-01-06T00:00:00"/>
    <d v="2011-01-20T00:00:00"/>
    <s v="STELARA"/>
    <m/>
    <m/>
    <m/>
    <m/>
    <m/>
    <m/>
    <m/>
    <m/>
    <m/>
    <x v="5"/>
    <m/>
  </r>
  <r>
    <s v="Pospíšil Josef"/>
    <s v="560927/1514"/>
    <n v="205"/>
    <d v="2007-11-05T00:00:00"/>
    <s v="ENBREL (etanercept)"/>
    <d v="2008-02-14T00:00:00"/>
    <d v="2008-10-27T00:00:00"/>
    <s v="ENBREL (etanercept)"/>
    <m/>
    <m/>
    <m/>
    <m/>
    <m/>
    <m/>
    <m/>
    <m/>
    <m/>
    <m/>
    <m/>
    <m/>
    <m/>
    <m/>
    <m/>
    <m/>
    <m/>
    <m/>
    <x v="3"/>
    <m/>
  </r>
  <r>
    <s v="Reitr Pavel"/>
    <s v="700729/5306"/>
    <n v="205"/>
    <d v="2007-11-14T00:00:00"/>
    <s v="Raptiva (efalizumab)"/>
    <d v="2008-08-18T00:00:00"/>
    <d v="2008-09-25T00:00:00"/>
    <s v="ENBREL (etanercept)"/>
    <d v="2008-11-26T00:00:00"/>
    <d v="2010-02-03T00:00:00"/>
    <s v="STELARA"/>
    <m/>
    <m/>
    <m/>
    <m/>
    <m/>
    <m/>
    <m/>
    <m/>
    <m/>
    <m/>
    <m/>
    <m/>
    <m/>
    <m/>
    <m/>
    <x v="5"/>
    <m/>
  </r>
  <r>
    <s v="Pišťák Stanislav Ing."/>
    <s v="780723/4468"/>
    <n v="111"/>
    <d v="2007-11-23T00:00:00"/>
    <s v="Raptiva (efalizumab)"/>
    <d v="2009-03-02T00:00:00"/>
    <d v="2009-05-18T00:00:00"/>
    <s v="REMICADE (infliximab)"/>
    <m/>
    <m/>
    <m/>
    <m/>
    <m/>
    <m/>
    <m/>
    <m/>
    <m/>
    <m/>
    <m/>
    <m/>
    <m/>
    <m/>
    <m/>
    <m/>
    <m/>
    <m/>
    <x v="6"/>
    <m/>
  </r>
  <r>
    <s v="Voráč Jaroslav"/>
    <s v="731108/4682"/>
    <n v="201"/>
    <d v="2007-12-17T00:00:00"/>
    <s v="ENBREL (etanercept)"/>
    <d v="2008-05-06T00:00:00"/>
    <d v="2008-05-12T00:00:00"/>
    <s v="REMICADE (infliximab)"/>
    <d v="2009-04-09T00:00:00"/>
    <d v="2009-04-09T00:00:00"/>
    <s v="HUMIRA"/>
    <d v="2011-06-09T00:00:00"/>
    <d v="2011-07-01T00:00:00"/>
    <s v="STELARA"/>
    <m/>
    <m/>
    <m/>
    <m/>
    <m/>
    <m/>
    <m/>
    <m/>
    <m/>
    <m/>
    <m/>
    <m/>
    <x v="5"/>
    <m/>
  </r>
  <r>
    <s v="Ambros Vladimír Ing."/>
    <s v="680520/0501"/>
    <n v="201"/>
    <d v="2008-02-25T00:00:00"/>
    <s v="ENBREL (etanercept)"/>
    <m/>
    <m/>
    <m/>
    <m/>
    <m/>
    <m/>
    <m/>
    <m/>
    <m/>
    <m/>
    <m/>
    <m/>
    <m/>
    <m/>
    <m/>
    <m/>
    <m/>
    <m/>
    <m/>
    <m/>
    <m/>
    <x v="3"/>
    <m/>
  </r>
  <r>
    <s v="Mikuláček Petr"/>
    <s v="710612/4872"/>
    <n v="111"/>
    <d v="2008-03-31T00:00:00"/>
    <s v="ENBREL (etanercept)"/>
    <d v="2017-11-07T00:00:00"/>
    <d v="2017-11-21T00:00:00"/>
    <s v="COSENTYX"/>
    <m/>
    <m/>
    <m/>
    <m/>
    <m/>
    <m/>
    <m/>
    <m/>
    <m/>
    <m/>
    <m/>
    <m/>
    <m/>
    <m/>
    <m/>
    <m/>
    <m/>
    <m/>
    <x v="7"/>
    <m/>
  </r>
  <r>
    <s v="Otáhalová Vladislava "/>
    <s v="476031/476"/>
    <n v="205"/>
    <d v="2008-04-03T00:00:00"/>
    <s v="ENBREL (etanercept)"/>
    <d v="2018-10-19T00:00:00"/>
    <d v="2018-10-30T00:00:00"/>
    <s v="TALTZ"/>
    <m/>
    <m/>
    <m/>
    <m/>
    <m/>
    <m/>
    <m/>
    <m/>
    <m/>
    <m/>
    <m/>
    <m/>
    <m/>
    <m/>
    <m/>
    <m/>
    <m/>
    <m/>
    <x v="1"/>
    <m/>
  </r>
  <r>
    <s v="Spáčilová Jana"/>
    <s v="685107/0094"/>
    <n v="211"/>
    <d v="2008-05-19T00:00:00"/>
    <s v="Raptiva (efalizumab)"/>
    <d v="2009-02-19T00:00:00"/>
    <d v="2012-01-23T00:00:00"/>
    <s v="STELARA"/>
    <d v="2016-10-25T00:00:00"/>
    <d v="2016-11-07T00:00:00"/>
    <s v="COSENTYX"/>
    <d v="2019-04-30T00:00:00"/>
    <d v="2019-05-07T00:00:00"/>
    <s v="TALZT "/>
    <m/>
    <m/>
    <m/>
    <m/>
    <m/>
    <m/>
    <m/>
    <m/>
    <m/>
    <m/>
    <m/>
    <m/>
    <x v="1"/>
    <m/>
  </r>
  <r>
    <s v="Kocián Dušan"/>
    <s v="730713/5693"/>
    <n v="205"/>
    <d v="2008-06-13T00:00:00"/>
    <s v="REMICADE (infliximab)"/>
    <d v="2014-03-31T00:00:00"/>
    <d v="2014-04-08T00:00:00"/>
    <s v="STELARA"/>
    <d v="2015-06-30T00:00:00"/>
    <d v="2015-06-30T00:00:00"/>
    <s v="HUMIRA"/>
    <d v="2017-05-09T00:00:00"/>
    <d v="2017-05-18T00:00:00"/>
    <s v="TALTZ"/>
    <m/>
    <m/>
    <m/>
    <m/>
    <m/>
    <m/>
    <m/>
    <m/>
    <m/>
    <m/>
    <m/>
    <m/>
    <x v="1"/>
    <m/>
  </r>
  <r>
    <s v="Vařeka Josef"/>
    <s v="580902/1383"/>
    <n v="205"/>
    <d v="2008-09-29T00:00:00"/>
    <s v="REMICADE (infliximab)"/>
    <d v="2009-04-14T00:00:00"/>
    <d v="2009-04-14T00:00:00"/>
    <s v="HUMIRA"/>
    <d v="2018-09-12T00:00:00"/>
    <d v="2018-11-20T00:00:00"/>
    <s v="TALTZ"/>
    <m/>
    <m/>
    <m/>
    <m/>
    <m/>
    <m/>
    <m/>
    <m/>
    <m/>
    <m/>
    <m/>
    <m/>
    <m/>
    <m/>
    <m/>
    <x v="1"/>
    <m/>
  </r>
  <r>
    <s v="Tšponová Marcela"/>
    <s v="685902/1246"/>
    <n v="211"/>
    <d v="2008-11-12T00:00:00"/>
    <s v="ENBREL (etanercept)"/>
    <d v="2011-02-08T00:00:00"/>
    <d v="2013-05-20T00:00:00"/>
    <s v="HUMIRA"/>
    <m/>
    <m/>
    <m/>
    <m/>
    <m/>
    <m/>
    <m/>
    <m/>
    <m/>
    <m/>
    <m/>
    <m/>
    <m/>
    <m/>
    <m/>
    <m/>
    <m/>
    <m/>
    <x v="0"/>
    <m/>
  </r>
  <r>
    <s v="Navrátil Josef"/>
    <s v="561220/2376"/>
    <n v="201"/>
    <d v="2009-01-12T00:00:00"/>
    <s v="ENBREL (etanercept)"/>
    <d v="2009-03-02T00:00:00"/>
    <d v="2009-09-22T00:00:00"/>
    <s v="REMICADE (infliximab)"/>
    <d v="2015-03-19T00:00:00"/>
    <d v="2017-02-09T00:00:00"/>
    <s v="OTEZLA (vzorky)"/>
    <d v="2017-07-27T00:00:00"/>
    <d v="2017-09-19T00:00:00"/>
    <s v="TALTZ"/>
    <m/>
    <m/>
    <m/>
    <m/>
    <m/>
    <m/>
    <m/>
    <m/>
    <m/>
    <m/>
    <m/>
    <m/>
    <x v="1"/>
    <s v="karcinom-kontraindikace"/>
  </r>
  <r>
    <s v="Boudný Zdeněk"/>
    <s v="810504/5696"/>
    <n v="211"/>
    <d v="2009-01-14T00:00:00"/>
    <s v="Raptiva (efalizumab)"/>
    <d v="2009-03-03T00:00:00"/>
    <d v="2009-03-03T00:00:00"/>
    <s v="ENBREL (etanercept)"/>
    <d v="2017-04-21T00:00:00"/>
    <d v="2017-05-03T00:00:00"/>
    <s v="TALTZ"/>
    <m/>
    <m/>
    <m/>
    <m/>
    <m/>
    <m/>
    <m/>
    <m/>
    <m/>
    <m/>
    <m/>
    <m/>
    <m/>
    <m/>
    <m/>
    <x v="1"/>
    <m/>
  </r>
  <r>
    <s v="Hanáková Petra"/>
    <s v="745302/4436"/>
    <n v="111"/>
    <d v="2009-04-08T00:00:00"/>
    <s v="ENBREL (etanercept)"/>
    <d v="2010-01-07T00:00:00"/>
    <d v="2010-01-11T00:00:00"/>
    <s v="HUMIRA"/>
    <d v="2019-07-18T00:00:00"/>
    <d v="2019-07-18T00:00:00"/>
    <s v="HYRIMOZ"/>
    <m/>
    <m/>
    <m/>
    <m/>
    <m/>
    <m/>
    <m/>
    <m/>
    <m/>
    <m/>
    <m/>
    <m/>
    <m/>
    <m/>
    <m/>
    <x v="4"/>
    <m/>
  </r>
  <r>
    <s v="Kvapil Bedřich Mgr."/>
    <s v="610307/1018"/>
    <n v="111"/>
    <d v="2009-05-11T00:00:00"/>
    <s v="ENBREL (etanercept)"/>
    <m/>
    <m/>
    <m/>
    <m/>
    <m/>
    <m/>
    <m/>
    <m/>
    <m/>
    <m/>
    <m/>
    <m/>
    <m/>
    <m/>
    <m/>
    <m/>
    <m/>
    <m/>
    <m/>
    <m/>
    <m/>
    <x v="3"/>
    <m/>
  </r>
  <r>
    <s v="Lehký Milan"/>
    <s v="851210/6141"/>
    <n v="205"/>
    <d v="2009-07-21T00:00:00"/>
    <s v="ENBREL (etanercept)"/>
    <d v="2015-10-14T00:00:00"/>
    <d v="2015-10-22T00:00:00"/>
    <s v="HUMIRA"/>
    <d v="2019-07-18T00:00:00"/>
    <d v="2019-07-18T00:00:00"/>
    <s v="HYRIMOZ"/>
    <m/>
    <m/>
    <m/>
    <m/>
    <m/>
    <m/>
    <m/>
    <m/>
    <m/>
    <m/>
    <m/>
    <m/>
    <m/>
    <m/>
    <m/>
    <x v="4"/>
    <m/>
  </r>
  <r>
    <s v="Macková Ludmila"/>
    <s v="525522/138"/>
    <n v="211"/>
    <d v="2009-10-08T00:00:00"/>
    <s v="STELARA"/>
    <d v="2010-07-29T00:00:00"/>
    <d v="2010-09-13T00:00:00"/>
    <s v="HUMIRA"/>
    <d v="2019-06-04T00:00:00"/>
    <d v="2019-06-04T00:00:00"/>
    <m/>
    <m/>
    <m/>
    <m/>
    <m/>
    <m/>
    <m/>
    <m/>
    <m/>
    <m/>
    <m/>
    <m/>
    <m/>
    <m/>
    <m/>
    <m/>
    <x v="4"/>
    <m/>
  </r>
  <r>
    <s v="Rapant Jan"/>
    <s v="620327/1525"/>
    <n v="211"/>
    <d v="2009-12-17T00:00:00"/>
    <s v="HUMIRA"/>
    <d v="2014-12-08T00:00:00"/>
    <d v="2015-12-17T00:00:00"/>
    <s v="STELARA"/>
    <m/>
    <m/>
    <m/>
    <m/>
    <m/>
    <m/>
    <m/>
    <m/>
    <m/>
    <m/>
    <m/>
    <m/>
    <m/>
    <m/>
    <m/>
    <m/>
    <m/>
    <m/>
    <x v="5"/>
    <m/>
  </r>
  <r>
    <s v="Štefka Antonín"/>
    <s v="600613/0350"/>
    <n v="111"/>
    <d v="2009-12-21T00:00:00"/>
    <s v="REMICADE (infliximab)"/>
    <d v="2016-11-09T00:00:00"/>
    <d v="2016-11-09T00:00:00"/>
    <s v="inflectra (infliximab)"/>
    <m/>
    <m/>
    <m/>
    <m/>
    <m/>
    <m/>
    <m/>
    <m/>
    <m/>
    <m/>
    <m/>
    <m/>
    <m/>
    <m/>
    <m/>
    <m/>
    <m/>
    <m/>
    <x v="8"/>
    <m/>
  </r>
  <r>
    <s v="Nováková Dana"/>
    <s v="635323/0499"/>
    <n v="205"/>
    <d v="2009-12-21T00:00:00"/>
    <s v="REMICADE (infliximab)"/>
    <d v="2016-11-28T00:00:00"/>
    <d v="2016-11-28T00:00:00"/>
    <s v="inflectra (infliximab)"/>
    <m/>
    <m/>
    <m/>
    <m/>
    <m/>
    <m/>
    <m/>
    <m/>
    <m/>
    <m/>
    <m/>
    <m/>
    <m/>
    <m/>
    <m/>
    <m/>
    <m/>
    <m/>
    <x v="8"/>
    <m/>
  </r>
  <r>
    <s v="Menšík Roman"/>
    <s v="731002/4689"/>
    <n v="205"/>
    <d v="2009-12-25T00:00:00"/>
    <s v="ENBREL (etanercept)"/>
    <d v="2010-06-02T00:00:00"/>
    <d v="2010-06-16T00:00:00"/>
    <s v="HUMIRA"/>
    <d v="2010-09-15T00:00:00"/>
    <d v="2010-10-05T00:00:00"/>
    <s v="REMICADE"/>
    <d v="2016-10-19T00:00:00"/>
    <d v="2016-10-19T00:00:00"/>
    <s v="INFLECTRA"/>
    <m/>
    <m/>
    <m/>
    <m/>
    <m/>
    <m/>
    <m/>
    <m/>
    <m/>
    <m/>
    <m/>
    <m/>
    <x v="8"/>
    <m/>
  </r>
  <r>
    <s v="Novotný František"/>
    <s v="600529/0027"/>
    <n v="205"/>
    <d v="2010-01-20T00:00:00"/>
    <s v="ENBREL (etanercept)"/>
    <d v="2011-03-08T00:00:00"/>
    <d v="2011-03-29T00:00:00"/>
    <s v="HUMIRA"/>
    <d v="2013-10-22T00:00:00"/>
    <d v="2013-11-05T00:00:00"/>
    <s v="REMICADE"/>
    <d v="2016-11-30T00:00:00"/>
    <d v="2016-11-30T00:00:00"/>
    <s v="INFLECTRA"/>
    <m/>
    <m/>
    <m/>
    <m/>
    <m/>
    <m/>
    <m/>
    <m/>
    <m/>
    <m/>
    <m/>
    <m/>
    <x v="8"/>
    <m/>
  </r>
  <r>
    <s v="Tihelková Jitka"/>
    <s v="695703/4458"/>
    <n v="111"/>
    <d v="2010-02-12T00:00:00"/>
    <s v="STELARA"/>
    <d v="2013-01-31T00:00:00"/>
    <d v="2013-03-13T00:00:00"/>
    <s v="HUMIRA"/>
    <d v="2013-05-15T00:00:00"/>
    <d v="2013-05-16T00:00:00"/>
    <s v="ENBREL"/>
    <d v="2013-09-26T00:00:00"/>
    <d v="2013-10-16T00:00:00"/>
    <s v="STELARA"/>
    <d v="2015-01-07T00:00:00"/>
    <d v="2015-01-07T00:00:00"/>
    <s v="REMSIMA"/>
    <d v="2016-01-11T00:00:00"/>
    <d v="2016-01-20T00:00:00"/>
    <s v="COSENTYX"/>
    <d v="2016-05-11T00:00:00"/>
    <d v="2016-06-16T00:00:00"/>
    <s v="STELARA"/>
    <d v="2019-03-18T00:00:00"/>
    <d v="2019-03-18T00:00:00"/>
    <s v="TREMFYA"/>
    <x v="9"/>
    <m/>
  </r>
  <r>
    <s v="Nguyen Ngoc Phu "/>
    <s v="680607/2262"/>
    <n v="111"/>
    <d v="2010-02-16T00:00:00"/>
    <s v="REMICADE (infliximab)"/>
    <d v="2016-10-18T00:00:00"/>
    <d v="2016-10-18T00:00:00"/>
    <s v="inflectra (infliximab)"/>
    <d v="2017-05-23T00:00:00"/>
    <d v="2017-06-02T00:00:00"/>
    <s v="STELARA"/>
    <m/>
    <m/>
    <m/>
    <m/>
    <m/>
    <m/>
    <m/>
    <m/>
    <m/>
    <m/>
    <m/>
    <m/>
    <m/>
    <m/>
    <m/>
    <x v="5"/>
    <m/>
  </r>
  <r>
    <s v="Janák Petr, Ing."/>
    <s v="890709/6077"/>
    <n v="111"/>
    <d v="2010-04-01T00:00:00"/>
    <s v="ENBREL (etanercept)"/>
    <m/>
    <m/>
    <m/>
    <m/>
    <m/>
    <m/>
    <m/>
    <m/>
    <m/>
    <m/>
    <m/>
    <m/>
    <m/>
    <m/>
    <m/>
    <m/>
    <m/>
    <m/>
    <m/>
    <m/>
    <m/>
    <x v="3"/>
    <m/>
  </r>
  <r>
    <s v="Ganiec Josef"/>
    <s v="580926/1744"/>
    <n v="201"/>
    <d v="2010-07-22T00:00:00"/>
    <s v="HUMIRA vzorky"/>
    <d v="2011-03-24T00:00:00"/>
    <d v="2011-03-24T00:00:00"/>
    <s v="HUMIRA"/>
    <d v="2011-09-21T00:00:00"/>
    <d v="2011-10-05T00:00:00"/>
    <s v="ENBREL"/>
    <m/>
    <m/>
    <m/>
    <m/>
    <m/>
    <m/>
    <m/>
    <m/>
    <m/>
    <m/>
    <m/>
    <m/>
    <m/>
    <m/>
    <m/>
    <x v="3"/>
    <m/>
  </r>
  <r>
    <s v="Hurta Radek"/>
    <s v="730503/5881"/>
    <n v="111"/>
    <d v="2010-12-07T00:00:00"/>
    <s v="REMICADE (infliximab)"/>
    <d v="2017-01-17T00:00:00"/>
    <d v="2017-01-17T00:00:00"/>
    <s v="inflectra (infliximab)"/>
    <m/>
    <m/>
    <m/>
    <m/>
    <m/>
    <m/>
    <m/>
    <m/>
    <m/>
    <m/>
    <m/>
    <m/>
    <m/>
    <m/>
    <m/>
    <m/>
    <m/>
    <m/>
    <x v="8"/>
    <m/>
  </r>
  <r>
    <s v="Matoušková Monika"/>
    <s v="696009/5791"/>
    <n v="111"/>
    <d v="2011-03-07T00:00:00"/>
    <s v="ENBREL (etanercept)"/>
    <d v="2011-07-21T00:00:00"/>
    <d v="2011-09-14T00:00:00"/>
    <s v="HUMIRA"/>
    <d v="2013-01-15T00:00:00"/>
    <d v="2013-01-15T00:00:00"/>
    <s v="ENBREL"/>
    <d v="2017-05-24T00:00:00"/>
    <d v="2017-06-05T00:00:00"/>
    <s v="COSENTYX"/>
    <m/>
    <m/>
    <m/>
    <m/>
    <m/>
    <m/>
    <m/>
    <m/>
    <m/>
    <m/>
    <m/>
    <m/>
    <x v="7"/>
    <m/>
  </r>
  <r>
    <s v="Konečný Tomáš"/>
    <s v="790703/4465"/>
    <n v="205"/>
    <d v="2011-04-04T00:00:00"/>
    <s v="STELARA"/>
    <d v="2011-10-18T00:00:00"/>
    <d v="2012-10-16T00:00:00"/>
    <s v="REMICADE"/>
    <d v="2013-01-22T00:00:00"/>
    <d v="2015-07-27T00:00:00"/>
    <s v="COSENTYX"/>
    <m/>
    <m/>
    <m/>
    <m/>
    <m/>
    <m/>
    <m/>
    <m/>
    <m/>
    <m/>
    <m/>
    <m/>
    <m/>
    <m/>
    <m/>
    <x v="7"/>
    <m/>
  </r>
  <r>
    <s v="Surá Michaela"/>
    <s v="815903/4884"/>
    <n v="211"/>
    <d v="2011-09-19T00:00:00"/>
    <s v="STELARA"/>
    <d v="2013-05-29T00:00:00"/>
    <d v="2013-12-12T00:00:00"/>
    <s v="STELARA"/>
    <m/>
    <m/>
    <m/>
    <m/>
    <m/>
    <m/>
    <m/>
    <m/>
    <m/>
    <m/>
    <m/>
    <m/>
    <m/>
    <m/>
    <m/>
    <m/>
    <m/>
    <m/>
    <x v="5"/>
    <m/>
  </r>
  <r>
    <s v="Tardíková Andrea"/>
    <s v="776129/4486"/>
    <n v="201"/>
    <d v="2011-11-23T00:00:00"/>
    <s v="ENBREL (etanercept)"/>
    <d v="2013-01-16T00:00:00"/>
    <d v="2013-01-16T00:00:00"/>
    <s v="HUMIRA "/>
    <d v="2019-06-25T00:00:00"/>
    <d v="2019-06-25T00:00:00"/>
    <s v="HYRIMOZ"/>
    <m/>
    <m/>
    <m/>
    <m/>
    <m/>
    <m/>
    <m/>
    <m/>
    <m/>
    <m/>
    <m/>
    <m/>
    <m/>
    <m/>
    <m/>
    <x v="4"/>
    <m/>
  </r>
  <r>
    <s v="Šlechtová Ilona"/>
    <s v="546014/3084"/>
    <n v="205"/>
    <d v="2012-02-01T00:00:00"/>
    <s v="ENBREL (etanercept)"/>
    <d v="2018-12-11T00:00:00"/>
    <d v="2018-12-20T00:00:00"/>
    <s v="STELARA"/>
    <m/>
    <m/>
    <m/>
    <m/>
    <m/>
    <m/>
    <m/>
    <m/>
    <m/>
    <m/>
    <m/>
    <m/>
    <m/>
    <m/>
    <m/>
    <m/>
    <m/>
    <m/>
    <x v="5"/>
    <m/>
  </r>
  <r>
    <s v="Odložil Jan Ing."/>
    <s v="741112/5689"/>
    <n v="211"/>
    <d v="2012-04-26T00:00:00"/>
    <s v="ENBREL (etanercept)"/>
    <d v="2018-02-09T00:00:00"/>
    <d v="2018-02-23T00:00:00"/>
    <s v="COSENTYX"/>
    <m/>
    <m/>
    <m/>
    <m/>
    <m/>
    <m/>
    <m/>
    <m/>
    <m/>
    <m/>
    <m/>
    <m/>
    <m/>
    <m/>
    <m/>
    <m/>
    <m/>
    <m/>
    <x v="7"/>
    <m/>
  </r>
  <r>
    <s v="Baštinec Jiří"/>
    <s v="830821/5718"/>
    <n v="111"/>
    <d v="2012-11-05T00:00:00"/>
    <s v="ENBREL (etanercept)"/>
    <d v="2014-02-17T00:00:00"/>
    <d v="2014-02-24T00:00:00"/>
    <s v="STELARA"/>
    <m/>
    <m/>
    <m/>
    <m/>
    <m/>
    <m/>
    <m/>
    <m/>
    <m/>
    <m/>
    <m/>
    <m/>
    <m/>
    <m/>
    <m/>
    <m/>
    <m/>
    <m/>
    <x v="5"/>
    <m/>
  </r>
  <r>
    <s v="Kotlárová Petra"/>
    <s v="755416/5333"/>
    <n v="205"/>
    <d v="2013-08-14T00:00:00"/>
    <s v="HUMIRA"/>
    <d v="2013-10-29T00:00:00"/>
    <d v="2013-11-18T00:00:00"/>
    <s v="STELARA"/>
    <m/>
    <m/>
    <m/>
    <m/>
    <m/>
    <m/>
    <m/>
    <m/>
    <m/>
    <m/>
    <m/>
    <m/>
    <m/>
    <m/>
    <m/>
    <m/>
    <m/>
    <m/>
    <x v="5"/>
    <m/>
  </r>
  <r>
    <s v="Partyka Vlastimil"/>
    <s v="530415/086"/>
    <n v="111"/>
    <d v="2014-01-22T00:00:00"/>
    <s v="REMSIMA (infliximab)"/>
    <d v="2014-10-15T00:00:00"/>
    <d v="2014-11-04T00:00:00"/>
    <s v="ENBREL (etanercept)"/>
    <m/>
    <m/>
    <m/>
    <m/>
    <m/>
    <m/>
    <m/>
    <m/>
    <m/>
    <m/>
    <m/>
    <m/>
    <m/>
    <m/>
    <m/>
    <m/>
    <m/>
    <m/>
    <x v="3"/>
    <m/>
  </r>
  <r>
    <s v="Minx Alois Ing."/>
    <s v="480902/427"/>
    <n v="111"/>
    <d v="2014-01-29T00:00:00"/>
    <s v="REMICADE (infliximab)"/>
    <d v="2016-12-12T00:00:00"/>
    <d v="2016-12-12T00:00:00"/>
    <s v="inflectra (infliximab)"/>
    <m/>
    <m/>
    <m/>
    <m/>
    <m/>
    <m/>
    <m/>
    <m/>
    <m/>
    <m/>
    <m/>
    <m/>
    <m/>
    <m/>
    <m/>
    <m/>
    <m/>
    <m/>
    <x v="8"/>
    <m/>
  </r>
  <r>
    <s v="Obroučka Jaroslav"/>
    <s v="710324/5776"/>
    <n v="111"/>
    <d v="2014-01-31T00:00:00"/>
    <s v="REMSIMA (infliximab)"/>
    <d v="2015-06-11T00:00:00"/>
    <d v="2015-06-11T00:00:00"/>
    <s v="STELARA"/>
    <d v="2019-03-06T00:00:00"/>
    <d v="2019-03-19T00:00:00"/>
    <s v="TALTZ"/>
    <m/>
    <m/>
    <m/>
    <m/>
    <m/>
    <m/>
    <m/>
    <m/>
    <m/>
    <m/>
    <m/>
    <m/>
    <m/>
    <m/>
    <m/>
    <x v="1"/>
    <m/>
  </r>
  <r>
    <s v="Choma Martin"/>
    <s v="690318/9183"/>
    <n v="205"/>
    <d v="2014-02-25T00:00:00"/>
    <s v="REMSIMA (infliximab)"/>
    <d v="2016-10-16T00:00:00"/>
    <d v="2016-10-17T00:00:00"/>
    <s v="inflectra (infliximab)"/>
    <d v="2017-02-17T00:00:00"/>
    <d v="2017-02-17T00:00:00"/>
    <s v="STELARA"/>
    <m/>
    <m/>
    <m/>
    <m/>
    <m/>
    <m/>
    <m/>
    <m/>
    <m/>
    <m/>
    <m/>
    <m/>
    <m/>
    <m/>
    <m/>
    <x v="5"/>
    <m/>
  </r>
  <r>
    <s v="Gajdošová Stanislava"/>
    <s v="755928/4139"/>
    <n v="111"/>
    <d v="2014-02-26T00:00:00"/>
    <s v="REMSIMA (infliximab)"/>
    <d v="2016-12-14T00:00:00"/>
    <d v="2016-12-14T00:00:00"/>
    <s v="inflectra (infliximab)"/>
    <m/>
    <m/>
    <m/>
    <m/>
    <m/>
    <m/>
    <m/>
    <m/>
    <m/>
    <m/>
    <m/>
    <m/>
    <m/>
    <m/>
    <m/>
    <m/>
    <m/>
    <m/>
    <x v="8"/>
    <m/>
  </r>
  <r>
    <s v="Mojžíšková Alena"/>
    <s v="565710/1142"/>
    <n v="111"/>
    <d v="2014-07-21T00:00:00"/>
    <s v="HUMIRA"/>
    <d v="2017-04-27T00:00:00"/>
    <d v="2017-05-19T00:00:00"/>
    <s v="TALTZ"/>
    <m/>
    <m/>
    <m/>
    <m/>
    <m/>
    <m/>
    <m/>
    <m/>
    <m/>
    <m/>
    <m/>
    <m/>
    <m/>
    <m/>
    <m/>
    <m/>
    <m/>
    <m/>
    <x v="1"/>
    <m/>
  </r>
  <r>
    <s v="Štefek Roman"/>
    <s v="800930/4952"/>
    <n v="111"/>
    <d v="2014-09-19T00:00:00"/>
    <s v="REMICADE (infliximab)"/>
    <d v="2016-04-01T00:00:00"/>
    <d v="2016-04-12T00:00:00"/>
    <s v="ENBREL (etanercept)"/>
    <d v="2016-06-07T00:00:00"/>
    <d v="2016-06-30T00:00:00"/>
    <s v="COSENTYX"/>
    <d v="2019-10-22T00:00:00"/>
    <d v="2019-12-02T00:00:00"/>
    <s v="tremfya"/>
    <m/>
    <m/>
    <m/>
    <m/>
    <m/>
    <m/>
    <m/>
    <m/>
    <m/>
    <m/>
    <m/>
    <m/>
    <x v="9"/>
    <m/>
  </r>
  <r>
    <s v="Matoušková Pavla"/>
    <s v="805117/4483"/>
    <n v="111"/>
    <d v="2014-10-09T00:00:00"/>
    <s v="STELARA"/>
    <m/>
    <m/>
    <m/>
    <m/>
    <m/>
    <m/>
    <m/>
    <m/>
    <m/>
    <m/>
    <m/>
    <m/>
    <m/>
    <m/>
    <m/>
    <m/>
    <m/>
    <m/>
    <m/>
    <m/>
    <m/>
    <x v="5"/>
    <m/>
  </r>
  <r>
    <s v="Švubová Stanislava"/>
    <s v="775306/5760"/>
    <n v="111"/>
    <d v="2014-11-06T00:00:00"/>
    <s v="HUMIRA"/>
    <d v="2015-11-11T00:00:00"/>
    <d v="2015-11-26T00:00:00"/>
    <s v="ENBREL (etanercept)"/>
    <d v="2016-03-14T00:00:00"/>
    <d v="2016-03-21T00:00:00"/>
    <s v="COSENTYX"/>
    <m/>
    <m/>
    <m/>
    <m/>
    <m/>
    <m/>
    <m/>
    <m/>
    <m/>
    <m/>
    <m/>
    <m/>
    <m/>
    <m/>
    <m/>
    <x v="7"/>
    <m/>
  </r>
  <r>
    <s v="Kučera František"/>
    <s v="680817/0699"/>
    <n v="205"/>
    <d v="2014-11-10T00:00:00"/>
    <s v="REMSIMA (infliximab)"/>
    <d v="2016-03-22T00:00:00"/>
    <d v="2016-04-15T00:00:00"/>
    <s v="COSENTYX"/>
    <m/>
    <m/>
    <m/>
    <m/>
    <m/>
    <m/>
    <m/>
    <m/>
    <m/>
    <m/>
    <m/>
    <m/>
    <m/>
    <m/>
    <m/>
    <m/>
    <m/>
    <m/>
    <x v="7"/>
    <m/>
  </r>
  <r>
    <s v="Harna Zdeněk"/>
    <s v="551007/1138"/>
    <n v="111"/>
    <d v="2015-01-12T00:00:00"/>
    <s v="REMSIMA (infliximab)"/>
    <d v="2015-10-05T00:00:00"/>
    <d v="2015-11-02T00:00:00"/>
    <s v="HUMIRA"/>
    <d v="2016-04-04T00:00:00"/>
    <d v="2016-04-25T00:00:00"/>
    <s v="COSENTYX"/>
    <d v="2018-09-12T00:00:00"/>
    <d v="2018-09-20T00:00:00"/>
    <s v="KYNTHEUM"/>
    <m/>
    <m/>
    <m/>
    <m/>
    <m/>
    <m/>
    <m/>
    <m/>
    <m/>
    <m/>
    <m/>
    <m/>
    <x v="2"/>
    <m/>
  </r>
  <r>
    <s v="Klásek Vladimír Mgr."/>
    <s v="670822/0343"/>
    <n v="205"/>
    <d v="2015-02-05T00:00:00"/>
    <s v="HUMIRA"/>
    <d v="2019-07-12T00:00:00"/>
    <d v="2019-07-12T00:00:00"/>
    <s v="HYRIMOZ"/>
    <m/>
    <m/>
    <m/>
    <m/>
    <m/>
    <m/>
    <m/>
    <m/>
    <m/>
    <m/>
    <m/>
    <m/>
    <m/>
    <m/>
    <m/>
    <m/>
    <m/>
    <m/>
    <x v="4"/>
    <m/>
  </r>
  <r>
    <s v="Procházková Ludmila"/>
    <s v="535722/140"/>
    <n v="111"/>
    <d v="2015-03-05T00:00:00"/>
    <s v="HUMIRA"/>
    <d v="2016-03-31T00:00:00"/>
    <d v="2016-04-18T00:00:00"/>
    <s v="STELARA"/>
    <d v="2017-06-30T00:00:00"/>
    <d v="2017-08-25T00:00:00"/>
    <s v="TALTZ"/>
    <m/>
    <m/>
    <m/>
    <m/>
    <m/>
    <m/>
    <m/>
    <m/>
    <m/>
    <m/>
    <m/>
    <m/>
    <m/>
    <m/>
    <m/>
    <x v="1"/>
    <m/>
  </r>
  <r>
    <s v="Vávra František"/>
    <s v="580208/0328"/>
    <n v="111"/>
    <d v="2015-03-20T00:00:00"/>
    <s v="STELARA"/>
    <d v="2019-09-02T00:00:00"/>
    <s v="20.9.20119"/>
    <s v="TREMFYA"/>
    <m/>
    <m/>
    <m/>
    <m/>
    <m/>
    <m/>
    <m/>
    <m/>
    <m/>
    <m/>
    <m/>
    <m/>
    <m/>
    <m/>
    <m/>
    <m/>
    <m/>
    <m/>
    <x v="9"/>
    <m/>
  </r>
  <r>
    <s v="Fabiánová Taťána"/>
    <s v="565126/2540"/>
    <n v="111"/>
    <d v="2015-05-21T00:00:00"/>
    <s v="HUMIRA"/>
    <d v="2015-10-05T00:00:00"/>
    <d v="2015-10-15T00:00:00"/>
    <s v="ENBREL (etanercept)"/>
    <d v="2016-01-28T00:00:00"/>
    <d v="2016-02-11T00:00:00"/>
    <s v="STELARA"/>
    <m/>
    <m/>
    <m/>
    <m/>
    <m/>
    <m/>
    <m/>
    <m/>
    <m/>
    <m/>
    <m/>
    <m/>
    <m/>
    <m/>
    <m/>
    <x v="5"/>
    <m/>
  </r>
  <r>
    <s v="Axman Oldřich "/>
    <s v="510419/041"/>
    <n v="111"/>
    <d v="2015-07-21T00:00:00"/>
    <s v="HUMIRA"/>
    <d v="2016-06-01T00:00:00"/>
    <d v="2016-11-08T00:00:00"/>
    <s v="STELARA"/>
    <m/>
    <m/>
    <m/>
    <m/>
    <m/>
    <m/>
    <m/>
    <m/>
    <m/>
    <m/>
    <m/>
    <m/>
    <m/>
    <m/>
    <m/>
    <m/>
    <m/>
    <m/>
    <x v="5"/>
    <m/>
  </r>
  <r>
    <s v="Demiltová Jana PhDr."/>
    <s v="485229/417"/>
    <n v="111"/>
    <d v="2015-07-22T00:00:00"/>
    <s v="STELARA"/>
    <m/>
    <m/>
    <m/>
    <m/>
    <m/>
    <m/>
    <m/>
    <m/>
    <m/>
    <m/>
    <m/>
    <m/>
    <m/>
    <m/>
    <m/>
    <m/>
    <m/>
    <m/>
    <m/>
    <m/>
    <m/>
    <x v="5"/>
    <m/>
  </r>
  <r>
    <s v="Kolářová Anna"/>
    <s v="345721/462"/>
    <n v="111"/>
    <d v="2016-03-24T00:00:00"/>
    <s v="HUMIRA"/>
    <d v="2019-03-31T00:00:00"/>
    <m/>
    <m/>
    <m/>
    <m/>
    <m/>
    <m/>
    <m/>
    <m/>
    <m/>
    <m/>
    <m/>
    <m/>
    <m/>
    <m/>
    <m/>
    <m/>
    <m/>
    <m/>
    <m/>
    <m/>
    <x v="10"/>
    <s v="nedostavila se na kontrolu"/>
  </r>
  <r>
    <s v="Molková (Chládková) Lenka"/>
    <s v="805124/5103"/>
    <n v="207"/>
    <d v="2016-05-04T00:00:00"/>
    <s v="HUMIRA (HIDRADENITIS SU)"/>
    <m/>
    <m/>
    <m/>
    <m/>
    <m/>
    <m/>
    <m/>
    <m/>
    <m/>
    <m/>
    <m/>
    <m/>
    <m/>
    <m/>
    <m/>
    <m/>
    <m/>
    <m/>
    <m/>
    <m/>
    <m/>
    <x v="11"/>
    <m/>
  </r>
  <r>
    <s v="Hamplová Marie"/>
    <s v="505509/059"/>
    <n v="111"/>
    <d v="2016-09-20T00:00:00"/>
    <s v="HUMIRA"/>
    <d v="2019-07-02T00:00:00"/>
    <d v="2019-07-02T00:00:00"/>
    <s v="HYRIMOZ"/>
    <m/>
    <m/>
    <m/>
    <m/>
    <m/>
    <m/>
    <m/>
    <m/>
    <m/>
    <m/>
    <m/>
    <m/>
    <m/>
    <m/>
    <m/>
    <m/>
    <m/>
    <m/>
    <x v="4"/>
    <m/>
  </r>
  <r>
    <s v="Souralová Emílie"/>
    <s v="405829/419"/>
    <n v="207"/>
    <d v="2016-10-04T00:00:00"/>
    <s v="ENBREL (etanercept)"/>
    <m/>
    <m/>
    <m/>
    <m/>
    <m/>
    <m/>
    <m/>
    <m/>
    <m/>
    <m/>
    <m/>
    <m/>
    <m/>
    <m/>
    <m/>
    <m/>
    <m/>
    <m/>
    <m/>
    <m/>
    <m/>
    <x v="3"/>
    <m/>
  </r>
  <r>
    <s v="Lysák Radek"/>
    <s v="720905/5799"/>
    <n v="111"/>
    <d v="2016-10-05T00:00:00"/>
    <s v="ENBREL (etanercept)"/>
    <m/>
    <m/>
    <m/>
    <m/>
    <m/>
    <m/>
    <m/>
    <m/>
    <m/>
    <m/>
    <m/>
    <m/>
    <m/>
    <m/>
    <m/>
    <m/>
    <m/>
    <m/>
    <m/>
    <m/>
    <m/>
    <x v="3"/>
    <m/>
  </r>
  <r>
    <s v="Zdebská Dagmar"/>
    <s v="635723/0275"/>
    <n v="213"/>
    <d v="2016-10-14T00:00:00"/>
    <s v="HUMIRA"/>
    <d v="2018-06-22T00:00:00"/>
    <d v="2018-07-16T00:00:00"/>
    <s v="TALTZ"/>
    <m/>
    <m/>
    <m/>
    <m/>
    <m/>
    <m/>
    <m/>
    <m/>
    <m/>
    <m/>
    <m/>
    <m/>
    <m/>
    <m/>
    <m/>
    <m/>
    <m/>
    <m/>
    <x v="1"/>
    <m/>
  </r>
  <r>
    <s v="Červenák Jan"/>
    <s v="540406/2587"/>
    <n v="213"/>
    <d v="2016-11-21T00:00:00"/>
    <s v="STELARA"/>
    <m/>
    <m/>
    <m/>
    <m/>
    <m/>
    <m/>
    <m/>
    <m/>
    <m/>
    <m/>
    <m/>
    <m/>
    <m/>
    <m/>
    <m/>
    <m/>
    <m/>
    <m/>
    <m/>
    <m/>
    <m/>
    <x v="5"/>
    <m/>
  </r>
  <r>
    <s v="Bortl Jiří"/>
    <s v="620106/0360"/>
    <n v="111"/>
    <d v="2017-02-06T00:00:00"/>
    <s v="HUMIRA"/>
    <d v="2019-07-22T00:00:00"/>
    <d v="2019-07-22T00:00:00"/>
    <s v="HYRIMOZ"/>
    <m/>
    <m/>
    <m/>
    <m/>
    <m/>
    <m/>
    <m/>
    <m/>
    <m/>
    <m/>
    <m/>
    <m/>
    <m/>
    <m/>
    <m/>
    <m/>
    <m/>
    <m/>
    <x v="4"/>
    <m/>
  </r>
  <r>
    <s v="Kohutek Pavel"/>
    <s v="530913/128"/>
    <n v="111"/>
    <d v="2017-03-27T00:00:00"/>
    <s v="COSENTYX"/>
    <d v="2018-07-09T00:00:00"/>
    <d v="2018-07-17T00:00:00"/>
    <s v="HUMIRA"/>
    <d v="2018-11-19T00:00:00"/>
    <d v="2018-11-27T00:00:00"/>
    <s v="TALTZ"/>
    <m/>
    <m/>
    <m/>
    <m/>
    <m/>
    <m/>
    <m/>
    <m/>
    <m/>
    <m/>
    <m/>
    <m/>
    <m/>
    <m/>
    <m/>
    <x v="1"/>
    <m/>
  </r>
  <r>
    <s v="Hruban Jakub"/>
    <s v="830713/4473"/>
    <n v="205"/>
    <d v="2017-03-29T00:00:00"/>
    <s v="COSENTYX"/>
    <m/>
    <m/>
    <m/>
    <m/>
    <m/>
    <m/>
    <m/>
    <m/>
    <m/>
    <m/>
    <m/>
    <m/>
    <m/>
    <m/>
    <m/>
    <m/>
    <m/>
    <m/>
    <m/>
    <m/>
    <m/>
    <x v="7"/>
    <m/>
  </r>
  <r>
    <s v="Janura Miroslav"/>
    <s v="570714/0758"/>
    <n v="111"/>
    <d v="2017-04-12T00:00:00"/>
    <s v="COSENTYX"/>
    <m/>
    <m/>
    <m/>
    <m/>
    <m/>
    <m/>
    <m/>
    <m/>
    <m/>
    <m/>
    <m/>
    <m/>
    <m/>
    <m/>
    <m/>
    <m/>
    <m/>
    <m/>
    <m/>
    <m/>
    <m/>
    <x v="7"/>
    <m/>
  </r>
  <r>
    <s v="Bartáková Gabriela"/>
    <s v="735615/5444"/>
    <n v="201"/>
    <d v="2017-04-12T00:00:00"/>
    <s v="COSENTYX"/>
    <m/>
    <m/>
    <m/>
    <m/>
    <m/>
    <m/>
    <m/>
    <m/>
    <m/>
    <m/>
    <m/>
    <m/>
    <m/>
    <m/>
    <m/>
    <m/>
    <m/>
    <m/>
    <m/>
    <m/>
    <m/>
    <x v="7"/>
    <m/>
  </r>
  <r>
    <s v="Boháč Jakub"/>
    <s v="871202/6136"/>
    <n v="201"/>
    <d v="2017-04-12T00:00:00"/>
    <s v="HUMIRA"/>
    <d v="2019-07-11T00:00:00"/>
    <d v="2019-07-11T00:00:00"/>
    <s v="HYRIMOZ"/>
    <m/>
    <m/>
    <m/>
    <m/>
    <m/>
    <m/>
    <m/>
    <m/>
    <m/>
    <m/>
    <m/>
    <m/>
    <m/>
    <m/>
    <m/>
    <m/>
    <m/>
    <m/>
    <x v="4"/>
    <m/>
  </r>
  <r>
    <s v="Frýza František"/>
    <s v="480418/473"/>
    <n v="213"/>
    <d v="2017-04-21T00:00:00"/>
    <s v="HUMIRA"/>
    <d v="2019-01-30T00:00:00"/>
    <d v="2019-05-30T00:00:00"/>
    <s v="TREMFYA"/>
    <m/>
    <m/>
    <m/>
    <m/>
    <m/>
    <m/>
    <m/>
    <m/>
    <m/>
    <m/>
    <m/>
    <m/>
    <m/>
    <m/>
    <m/>
    <m/>
    <m/>
    <m/>
    <x v="9"/>
    <m/>
  </r>
  <r>
    <s v="Součková Alena"/>
    <s v="685318/1786"/>
    <n v="111"/>
    <d v="2017-04-25T00:00:00"/>
    <s v="ENBREL (etanercept)"/>
    <m/>
    <m/>
    <m/>
    <m/>
    <m/>
    <m/>
    <m/>
    <m/>
    <m/>
    <m/>
    <m/>
    <m/>
    <m/>
    <m/>
    <m/>
    <m/>
    <m/>
    <m/>
    <m/>
    <m/>
    <m/>
    <x v="3"/>
    <m/>
  </r>
  <r>
    <s v="Vávra Pavel"/>
    <s v="700121/5331"/>
    <n v="205"/>
    <d v="2017-04-28T00:00:00"/>
    <s v="COSENTYX"/>
    <m/>
    <m/>
    <m/>
    <m/>
    <m/>
    <m/>
    <m/>
    <m/>
    <m/>
    <m/>
    <m/>
    <m/>
    <m/>
    <m/>
    <m/>
    <m/>
    <m/>
    <m/>
    <m/>
    <m/>
    <m/>
    <x v="7"/>
    <m/>
  </r>
  <r>
    <s v="Neoralová Petra ing."/>
    <s v="816127/5342"/>
    <n v="211"/>
    <d v="2017-05-15T00:00:00"/>
    <s v="STELARA"/>
    <m/>
    <m/>
    <m/>
    <m/>
    <m/>
    <m/>
    <m/>
    <m/>
    <m/>
    <m/>
    <m/>
    <m/>
    <m/>
    <m/>
    <m/>
    <m/>
    <m/>
    <m/>
    <m/>
    <m/>
    <m/>
    <x v="5"/>
    <m/>
  </r>
  <r>
    <s v="Pavlů Monika"/>
    <s v="785826/5767"/>
    <n v="205"/>
    <d v="2017-06-29T00:00:00"/>
    <s v="HUMIRA (HIDRADENITIS SU)"/>
    <m/>
    <m/>
    <m/>
    <m/>
    <m/>
    <m/>
    <m/>
    <m/>
    <m/>
    <m/>
    <m/>
    <m/>
    <m/>
    <m/>
    <m/>
    <m/>
    <m/>
    <m/>
    <m/>
    <m/>
    <m/>
    <x v="11"/>
    <m/>
  </r>
  <r>
    <s v="Prajka Vilém"/>
    <s v="561223/0305"/>
    <n v="111"/>
    <d v="2017-09-14T00:00:00"/>
    <s v="HUMIRA (HIDRADENITIS SU)"/>
    <m/>
    <m/>
    <m/>
    <m/>
    <m/>
    <m/>
    <m/>
    <m/>
    <m/>
    <m/>
    <m/>
    <m/>
    <m/>
    <m/>
    <m/>
    <m/>
    <m/>
    <m/>
    <m/>
    <m/>
    <m/>
    <x v="11"/>
    <m/>
  </r>
  <r>
    <s v="Sedláčková Veronika"/>
    <s v="776116/5302"/>
    <n v="211"/>
    <d v="2017-10-05T00:00:00"/>
    <s v="COSENTYX"/>
    <m/>
    <m/>
    <m/>
    <m/>
    <m/>
    <m/>
    <m/>
    <m/>
    <m/>
    <m/>
    <m/>
    <m/>
    <m/>
    <m/>
    <m/>
    <m/>
    <m/>
    <m/>
    <m/>
    <m/>
    <m/>
    <x v="7"/>
    <m/>
  </r>
  <r>
    <s v="Kaňkovský Josef"/>
    <s v="800623/5303"/>
    <n v="111"/>
    <d v="2017-11-20T00:00:00"/>
    <s v="COSENTYX"/>
    <m/>
    <m/>
    <m/>
    <m/>
    <m/>
    <m/>
    <m/>
    <m/>
    <m/>
    <m/>
    <m/>
    <m/>
    <m/>
    <m/>
    <m/>
    <m/>
    <m/>
    <m/>
    <m/>
    <m/>
    <m/>
    <x v="7"/>
    <m/>
  </r>
  <r>
    <s v="Bartovič Pavel ing."/>
    <s v="690208/5091"/>
    <n v="201"/>
    <d v="2017-12-13T00:00:00"/>
    <s v="TALTZ"/>
    <m/>
    <m/>
    <m/>
    <m/>
    <m/>
    <m/>
    <m/>
    <m/>
    <m/>
    <m/>
    <m/>
    <m/>
    <m/>
    <m/>
    <m/>
    <m/>
    <m/>
    <m/>
    <m/>
    <m/>
    <m/>
    <x v="1"/>
    <m/>
  </r>
  <r>
    <s v="Bednařík Pavel, Bc."/>
    <s v="680404/0309"/>
    <n v="111"/>
    <d v="2018-01-10T00:00:00"/>
    <s v="COSENTYX"/>
    <m/>
    <m/>
    <m/>
    <m/>
    <m/>
    <m/>
    <m/>
    <m/>
    <m/>
    <m/>
    <m/>
    <m/>
    <m/>
    <m/>
    <m/>
    <m/>
    <m/>
    <m/>
    <m/>
    <m/>
    <m/>
    <x v="7"/>
    <m/>
  </r>
  <r>
    <s v="Vaněk Jan"/>
    <s v="600708/1619"/>
    <n v="207"/>
    <d v="2018-01-17T00:00:00"/>
    <s v="HUMIRA"/>
    <d v="2018-07-26T00:00:00"/>
    <d v="2018-08-27T00:00:00"/>
    <s v="TALTZ"/>
    <m/>
    <m/>
    <m/>
    <m/>
    <m/>
    <m/>
    <m/>
    <m/>
    <m/>
    <m/>
    <m/>
    <m/>
    <m/>
    <m/>
    <m/>
    <m/>
    <m/>
    <m/>
    <x v="1"/>
    <m/>
  </r>
  <r>
    <s v="Vojvodíková Věra"/>
    <s v="615805/1108"/>
    <n v="213"/>
    <d v="2018-01-18T00:00:00"/>
    <s v="STELARA"/>
    <d v="2019-11-25T00:00:00"/>
    <d v="2019-12-11T00:00:00"/>
    <s v="TREMFYA"/>
    <m/>
    <m/>
    <m/>
    <m/>
    <m/>
    <m/>
    <m/>
    <m/>
    <m/>
    <m/>
    <m/>
    <m/>
    <m/>
    <m/>
    <m/>
    <m/>
    <m/>
    <m/>
    <x v="9"/>
    <m/>
  </r>
  <r>
    <s v="Žvátora Alois"/>
    <s v="600612/0065"/>
    <n v="111"/>
    <d v="2018-01-24T00:00:00"/>
    <s v="HUMIRA"/>
    <d v="2018-11-29T00:00:00"/>
    <d v="2018-12-19T00:00:00"/>
    <s v="COSENTYX"/>
    <m/>
    <m/>
    <m/>
    <m/>
    <m/>
    <m/>
    <m/>
    <m/>
    <m/>
    <m/>
    <m/>
    <m/>
    <m/>
    <m/>
    <m/>
    <m/>
    <m/>
    <m/>
    <x v="7"/>
    <m/>
  </r>
  <r>
    <s v="Žáčiková Margita"/>
    <s v="795117/5815"/>
    <n v="201"/>
    <d v="2018-02-22T00:00:00"/>
    <s v="HUMIRA (HIDRADENITIS SU)"/>
    <m/>
    <m/>
    <m/>
    <m/>
    <m/>
    <m/>
    <m/>
    <m/>
    <m/>
    <m/>
    <m/>
    <m/>
    <m/>
    <m/>
    <m/>
    <m/>
    <m/>
    <m/>
    <m/>
    <m/>
    <m/>
    <x v="11"/>
    <m/>
  </r>
  <r>
    <s v="Ocelík Václav"/>
    <s v="670827/1317"/>
    <n v="201"/>
    <d v="2018-02-22T00:00:00"/>
    <s v="HUMIRA"/>
    <d v="2019-06-21T00:00:00"/>
    <d v="2019-06-21T00:00:00"/>
    <s v="HYRIMOZ"/>
    <m/>
    <m/>
    <m/>
    <m/>
    <m/>
    <m/>
    <m/>
    <m/>
    <m/>
    <m/>
    <m/>
    <m/>
    <m/>
    <m/>
    <m/>
    <m/>
    <m/>
    <m/>
    <x v="4"/>
    <m/>
  </r>
  <r>
    <s v="Los Miroslav"/>
    <s v="740829/5851"/>
    <n v="111"/>
    <d v="2018-03-01T00:00:00"/>
    <s v="HUMIRA"/>
    <d v="2019-06-28T00:00:00"/>
    <d v="2019-07-17T00:00:00"/>
    <s v="COSENTYX"/>
    <m/>
    <m/>
    <m/>
    <m/>
    <m/>
    <m/>
    <m/>
    <m/>
    <m/>
    <m/>
    <m/>
    <m/>
    <m/>
    <m/>
    <m/>
    <m/>
    <m/>
    <m/>
    <x v="7"/>
    <m/>
  </r>
  <r>
    <s v="Navrátilová Oldřiška"/>
    <s v="675829/0198"/>
    <n v="213"/>
    <d v="2018-03-02T00:00:00"/>
    <s v="HUMIRA"/>
    <d v="2019-06-28T00:00:00"/>
    <d v="2019-06-28T00:00:00"/>
    <s v="HYRIMOZ"/>
    <m/>
    <m/>
    <m/>
    <m/>
    <m/>
    <m/>
    <m/>
    <m/>
    <m/>
    <m/>
    <m/>
    <m/>
    <m/>
    <m/>
    <m/>
    <m/>
    <m/>
    <m/>
    <x v="4"/>
    <m/>
  </r>
  <r>
    <s v="Ošťádalová Lenka"/>
    <s v="885509/6129"/>
    <n v="213"/>
    <d v="2018-04-11T00:00:00"/>
    <s v="COSENTYX"/>
    <m/>
    <m/>
    <m/>
    <m/>
    <m/>
    <m/>
    <m/>
    <m/>
    <m/>
    <m/>
    <m/>
    <m/>
    <m/>
    <m/>
    <m/>
    <m/>
    <m/>
    <m/>
    <m/>
    <m/>
    <m/>
    <x v="7"/>
    <m/>
  </r>
  <r>
    <s v="Bauer Michal"/>
    <s v="831017/4851"/>
    <n v="111"/>
    <d v="2018-04-17T00:00:00"/>
    <s v="COSENTYX"/>
    <d v="2019-04-17T00:00:00"/>
    <d v="2019-04-23T00:00:00"/>
    <s v="KYNTHEUM"/>
    <m/>
    <m/>
    <m/>
    <m/>
    <m/>
    <m/>
    <m/>
    <m/>
    <m/>
    <m/>
    <m/>
    <m/>
    <m/>
    <m/>
    <m/>
    <m/>
    <m/>
    <m/>
    <x v="2"/>
    <m/>
  </r>
  <r>
    <s v="Rajnoch Zbyněk"/>
    <s v="780721/4151"/>
    <n v="205"/>
    <d v="2018-05-21T00:00:00"/>
    <s v="HUMIRA"/>
    <d v="2019-06-26T00:00:00"/>
    <d v="2019-06-26T00:00:00"/>
    <s v="HYRIMOZ"/>
    <m/>
    <m/>
    <m/>
    <m/>
    <m/>
    <m/>
    <m/>
    <m/>
    <m/>
    <m/>
    <m/>
    <m/>
    <m/>
    <m/>
    <m/>
    <m/>
    <m/>
    <m/>
    <x v="4"/>
    <m/>
  </r>
  <r>
    <s v="Zelenskij Vasilij"/>
    <s v="660601/2336"/>
    <n v="205"/>
    <d v="2018-06-06T00:00:00"/>
    <s v="HUMIRA"/>
    <d v="2018-09-27T00:00:00"/>
    <d v="2018-10-08T00:00:00"/>
    <s v="STELARA"/>
    <m/>
    <m/>
    <m/>
    <m/>
    <m/>
    <m/>
    <m/>
    <m/>
    <m/>
    <m/>
    <m/>
    <m/>
    <m/>
    <m/>
    <m/>
    <m/>
    <m/>
    <m/>
    <x v="5"/>
    <m/>
  </r>
  <r>
    <s v="Grušková Zdena"/>
    <s v="455102/410"/>
    <n v="111"/>
    <d v="2018-06-18T00:00:00"/>
    <s v="ENBREL (etanercept)"/>
    <d v="2019-06-20T00:00:00"/>
    <d v="2019-07-01T00:00:00"/>
    <s v="HYRIMOZ"/>
    <d v="2019-11-18T00:00:00"/>
    <d v="2019-12-11T00:00:00"/>
    <s v="TREMFYA"/>
    <m/>
    <m/>
    <m/>
    <m/>
    <m/>
    <m/>
    <m/>
    <m/>
    <m/>
    <m/>
    <m/>
    <m/>
    <m/>
    <m/>
    <m/>
    <x v="9"/>
    <m/>
  </r>
  <r>
    <s v="Seidlová Ellen"/>
    <s v="895314/6092"/>
    <n v="205"/>
    <d v="2018-07-02T00:00:00"/>
    <s v="COSENTYX"/>
    <m/>
    <m/>
    <m/>
    <m/>
    <m/>
    <m/>
    <m/>
    <m/>
    <m/>
    <m/>
    <m/>
    <m/>
    <m/>
    <m/>
    <m/>
    <m/>
    <m/>
    <m/>
    <m/>
    <m/>
    <m/>
    <x v="7"/>
    <m/>
  </r>
  <r>
    <s v="Zlámal Otakar"/>
    <s v="540630/1813"/>
    <n v="205"/>
    <d v="2018-07-16T00:00:00"/>
    <s v="COSENTYX"/>
    <m/>
    <m/>
    <m/>
    <m/>
    <m/>
    <m/>
    <m/>
    <m/>
    <m/>
    <m/>
    <m/>
    <m/>
    <m/>
    <m/>
    <m/>
    <m/>
    <m/>
    <m/>
    <m/>
    <m/>
    <m/>
    <x v="7"/>
    <m/>
  </r>
  <r>
    <s v="Jánová Mária"/>
    <s v="815128/8420"/>
    <n v="205"/>
    <d v="2018-07-16T00:00:00"/>
    <s v="COSENTYX"/>
    <m/>
    <m/>
    <m/>
    <m/>
    <m/>
    <m/>
    <m/>
    <m/>
    <m/>
    <m/>
    <m/>
    <m/>
    <m/>
    <m/>
    <m/>
    <m/>
    <m/>
    <m/>
    <m/>
    <m/>
    <m/>
    <x v="7"/>
    <m/>
  </r>
  <r>
    <s v="Mocek Martin"/>
    <s v="850315/5727"/>
    <n v="211"/>
    <d v="2018-08-03T00:00:00"/>
    <s v="TALTZ"/>
    <d v="2019-10-18T00:00:00"/>
    <d v="2019-11-08T00:00:00"/>
    <s v="KYNTHEUM"/>
    <m/>
    <m/>
    <m/>
    <m/>
    <m/>
    <m/>
    <m/>
    <m/>
    <m/>
    <m/>
    <m/>
    <m/>
    <m/>
    <m/>
    <m/>
    <m/>
    <m/>
    <m/>
    <x v="2"/>
    <m/>
  </r>
  <r>
    <s v="Dohnalová Marta "/>
    <s v="585112/6897"/>
    <n v="201"/>
    <d v="2018-08-24T00:00:00"/>
    <s v="HUMIRA "/>
    <d v="2019-01-18T00:00:00"/>
    <d v="2019-01-29T00:00:00"/>
    <s v="TALTZ"/>
    <m/>
    <m/>
    <m/>
    <m/>
    <m/>
    <m/>
    <m/>
    <m/>
    <m/>
    <m/>
    <m/>
    <m/>
    <m/>
    <m/>
    <m/>
    <m/>
    <m/>
    <m/>
    <x v="1"/>
    <m/>
  </r>
  <r>
    <s v="Sokele Vladimír"/>
    <s v="740827/4456"/>
    <n v="211"/>
    <d v="2018-09-24T00:00:00"/>
    <s v="TALTZ"/>
    <m/>
    <m/>
    <m/>
    <m/>
    <m/>
    <m/>
    <m/>
    <m/>
    <m/>
    <m/>
    <m/>
    <m/>
    <m/>
    <m/>
    <m/>
    <m/>
    <m/>
    <m/>
    <m/>
    <m/>
    <m/>
    <x v="1"/>
    <m/>
  </r>
  <r>
    <s v="Kušner Rostislav"/>
    <s v="610406/0831"/>
    <n v="211"/>
    <d v="2018-09-25T00:00:00"/>
    <s v="COSENTYX"/>
    <m/>
    <m/>
    <m/>
    <m/>
    <m/>
    <m/>
    <m/>
    <m/>
    <m/>
    <m/>
    <m/>
    <m/>
    <m/>
    <m/>
    <m/>
    <m/>
    <m/>
    <m/>
    <m/>
    <m/>
    <m/>
    <x v="7"/>
    <m/>
  </r>
  <r>
    <s v="Weinlich Josef"/>
    <s v="580408/7025"/>
    <n v="111"/>
    <d v="2018-09-26T00:00:00"/>
    <s v="OTEZLA"/>
    <d v="2019-05-10T00:00:00"/>
    <d v="2019-06-03T00:00:00"/>
    <s v="HYRIMOZ"/>
    <m/>
    <m/>
    <m/>
    <m/>
    <m/>
    <m/>
    <m/>
    <m/>
    <m/>
    <m/>
    <m/>
    <m/>
    <m/>
    <m/>
    <m/>
    <m/>
    <m/>
    <m/>
    <x v="4"/>
    <m/>
  </r>
  <r>
    <s v="Matoušek Josef"/>
    <s v="770507/5323"/>
    <n v="111"/>
    <d v="2018-10-04T00:00:00"/>
    <s v="OTEZLA"/>
    <d v="2019-08-02T00:00:00"/>
    <d v="2019-08-02T00:00:00"/>
    <s v="COSENTYX"/>
    <m/>
    <m/>
    <m/>
    <m/>
    <m/>
    <m/>
    <m/>
    <m/>
    <m/>
    <m/>
    <m/>
    <m/>
    <m/>
    <m/>
    <m/>
    <m/>
    <m/>
    <m/>
    <x v="7"/>
    <m/>
  </r>
  <r>
    <s v="Kliment Antonín"/>
    <s v="530429/167"/>
    <n v="211"/>
    <d v="2018-10-08T00:00:00"/>
    <s v="STELARA"/>
    <m/>
    <m/>
    <m/>
    <m/>
    <m/>
    <m/>
    <m/>
    <m/>
    <m/>
    <m/>
    <m/>
    <m/>
    <m/>
    <m/>
    <m/>
    <m/>
    <m/>
    <m/>
    <m/>
    <m/>
    <m/>
    <x v="5"/>
    <m/>
  </r>
  <r>
    <s v="Hrochová Iva"/>
    <s v="646128/1695"/>
    <n v="111"/>
    <d v="2018-10-11T00:00:00"/>
    <s v="HUMIRA"/>
    <d v="2019-01-10T00:00:00"/>
    <d v="2019-01-22T00:00:00"/>
    <s v="TALTZ"/>
    <m/>
    <m/>
    <m/>
    <m/>
    <m/>
    <m/>
    <m/>
    <m/>
    <m/>
    <m/>
    <m/>
    <m/>
    <m/>
    <m/>
    <m/>
    <m/>
    <m/>
    <m/>
    <x v="1"/>
    <m/>
  </r>
  <r>
    <s v="Štefanka Jaroslav"/>
    <s v="760913/4940"/>
    <n v="213"/>
    <d v="2018-11-07T00:00:00"/>
    <s v="kyntheum"/>
    <m/>
    <m/>
    <m/>
    <m/>
    <m/>
    <m/>
    <m/>
    <m/>
    <m/>
    <m/>
    <m/>
    <m/>
    <m/>
    <m/>
    <m/>
    <m/>
    <m/>
    <m/>
    <m/>
    <m/>
    <m/>
    <x v="2"/>
    <m/>
  </r>
  <r>
    <s v="Kozubská Markéta"/>
    <s v="845808/4470"/>
    <n v="205"/>
    <d v="2018-11-13T00:00:00"/>
    <s v="OTEZLA"/>
    <d v="2019-01-09T00:00:00"/>
    <d v="2019-01-16T00:00:00"/>
    <s v="STELARA"/>
    <m/>
    <m/>
    <m/>
    <m/>
    <m/>
    <m/>
    <m/>
    <m/>
    <m/>
    <m/>
    <m/>
    <m/>
    <m/>
    <m/>
    <m/>
    <m/>
    <m/>
    <m/>
    <x v="5"/>
    <m/>
  </r>
  <r>
    <s v="Podškupková Eva"/>
    <s v="845414/5304"/>
    <n v="205"/>
    <d v="2018-11-15T00:00:00"/>
    <s v="HUMIRA"/>
    <d v="2019-07-03T00:00:00"/>
    <d v="2019-07-03T00:00:00"/>
    <s v="HYRIMOZ"/>
    <m/>
    <m/>
    <m/>
    <m/>
    <m/>
    <m/>
    <m/>
    <m/>
    <m/>
    <m/>
    <m/>
    <m/>
    <m/>
    <m/>
    <m/>
    <m/>
    <m/>
    <m/>
    <x v="4"/>
    <m/>
  </r>
  <r>
    <s v="Waloszková Zuzana "/>
    <s v="635925/0282"/>
    <n v="213"/>
    <d v="2018-11-27T00:00:00"/>
    <s v="HUMIRA"/>
    <d v="2019-07-15T00:00:00"/>
    <d v="2019-07-15T00:00:00"/>
    <s v="HYRIMOZ"/>
    <m/>
    <m/>
    <m/>
    <m/>
    <m/>
    <m/>
    <m/>
    <m/>
    <m/>
    <m/>
    <m/>
    <m/>
    <m/>
    <m/>
    <m/>
    <m/>
    <m/>
    <m/>
    <x v="4"/>
    <m/>
  </r>
  <r>
    <s v="Holešovská Michaela"/>
    <s v="915717/4224"/>
    <n v="111"/>
    <d v="2018-11-28T00:00:00"/>
    <s v="OTEZLA"/>
    <m/>
    <m/>
    <m/>
    <m/>
    <m/>
    <m/>
    <m/>
    <m/>
    <m/>
    <m/>
    <m/>
    <m/>
    <m/>
    <m/>
    <m/>
    <m/>
    <m/>
    <m/>
    <m/>
    <m/>
    <m/>
    <x v="12"/>
    <m/>
  </r>
  <r>
    <s v="Blehová Zuzana"/>
    <s v="785303/4464"/>
    <n v="205"/>
    <d v="2018-12-10T00:00:00"/>
    <s v="OTEZLA"/>
    <d v="2019-05-20T00:00:00"/>
    <d v="2019-06-12T00:00:00"/>
    <s v="HYRIMOZ"/>
    <m/>
    <m/>
    <m/>
    <m/>
    <m/>
    <m/>
    <m/>
    <m/>
    <m/>
    <m/>
    <m/>
    <m/>
    <m/>
    <m/>
    <m/>
    <m/>
    <m/>
    <m/>
    <x v="4"/>
    <m/>
  </r>
  <r>
    <s v="Vrtal Tomáš"/>
    <s v="621118/0756"/>
    <n v="205"/>
    <d v="2018-12-14T00:00:00"/>
    <s v="OTEZLA"/>
    <d v="2019-05-10T00:00:00"/>
    <d v="2019-10-07T00:00:00"/>
    <s v="HYRIMOZ"/>
    <m/>
    <m/>
    <m/>
    <m/>
    <m/>
    <m/>
    <m/>
    <m/>
    <m/>
    <m/>
    <m/>
    <m/>
    <m/>
    <m/>
    <m/>
    <m/>
    <m/>
    <m/>
    <x v="4"/>
    <m/>
  </r>
  <r>
    <s v="Vázler Lubomír"/>
    <s v="740726/3534"/>
    <n v="111"/>
    <d v="2019-01-15T00:00:00"/>
    <s v="COSENTYX"/>
    <d v="2019-09-17T00:00:00"/>
    <d v="2019-10-08T00:00:00"/>
    <s v="TALTZ"/>
    <m/>
    <m/>
    <m/>
    <m/>
    <m/>
    <m/>
    <m/>
    <m/>
    <m/>
    <m/>
    <m/>
    <m/>
    <m/>
    <m/>
    <m/>
    <m/>
    <m/>
    <m/>
    <x v="1"/>
    <m/>
  </r>
  <r>
    <s v="Kaleja Rudolf"/>
    <s v="701217/9449"/>
    <n v="111"/>
    <d v="2019-02-12T00:00:00"/>
    <s v="TREMFYA"/>
    <m/>
    <m/>
    <m/>
    <m/>
    <m/>
    <m/>
    <m/>
    <m/>
    <m/>
    <m/>
    <m/>
    <m/>
    <m/>
    <m/>
    <m/>
    <m/>
    <m/>
    <m/>
    <m/>
    <m/>
    <m/>
    <x v="9"/>
    <m/>
  </r>
  <r>
    <s v="Brettschneider Marek"/>
    <s v="880419/5378"/>
    <n v="211"/>
    <d v="2019-02-21T00:00:00"/>
    <s v="COSENTYX"/>
    <m/>
    <m/>
    <m/>
    <m/>
    <m/>
    <m/>
    <m/>
    <m/>
    <m/>
    <m/>
    <m/>
    <m/>
    <m/>
    <m/>
    <m/>
    <m/>
    <m/>
    <m/>
    <m/>
    <m/>
    <m/>
    <x v="7"/>
    <m/>
  </r>
  <r>
    <s v="Kramoliš Zbyněk"/>
    <s v="740213/5268"/>
    <n v="111"/>
    <d v="2019-03-01T00:00:00"/>
    <s v="COSENTYX"/>
    <m/>
    <m/>
    <m/>
    <m/>
    <m/>
    <m/>
    <m/>
    <m/>
    <m/>
    <m/>
    <m/>
    <m/>
    <m/>
    <m/>
    <m/>
    <m/>
    <m/>
    <m/>
    <m/>
    <m/>
    <m/>
    <x v="7"/>
    <m/>
  </r>
  <r>
    <s v="Pompová Sarah"/>
    <s v="005424/6071"/>
    <n v="213"/>
    <d v="2019-03-06T00:00:00"/>
    <s v="HUMIRA (HIDRADENITIS SU)"/>
    <m/>
    <m/>
    <m/>
    <m/>
    <m/>
    <m/>
    <m/>
    <m/>
    <m/>
    <m/>
    <m/>
    <m/>
    <m/>
    <m/>
    <m/>
    <m/>
    <m/>
    <m/>
    <m/>
    <m/>
    <m/>
    <x v="11"/>
    <m/>
  </r>
  <r>
    <s v="Florešová Jitka"/>
    <s v="765902/5682"/>
    <n v="111"/>
    <d v="2019-03-08T00:00:00"/>
    <s v="CIMZIA"/>
    <m/>
    <m/>
    <m/>
    <m/>
    <m/>
    <m/>
    <m/>
    <m/>
    <m/>
    <m/>
    <m/>
    <m/>
    <m/>
    <m/>
    <m/>
    <m/>
    <m/>
    <m/>
    <m/>
    <m/>
    <m/>
    <x v="13"/>
    <m/>
  </r>
  <r>
    <s v="Murko Vlastimil"/>
    <s v="770409/4849"/>
    <n v="205"/>
    <d v="2019-03-13T00:00:00"/>
    <s v="CIMZIA"/>
    <m/>
    <m/>
    <m/>
    <m/>
    <m/>
    <m/>
    <m/>
    <m/>
    <m/>
    <m/>
    <m/>
    <m/>
    <m/>
    <m/>
    <m/>
    <m/>
    <m/>
    <m/>
    <m/>
    <m/>
    <m/>
    <x v="13"/>
    <m/>
  </r>
  <r>
    <s v="Nováková Pavlína"/>
    <s v="665615/0402"/>
    <n v="111"/>
    <d v="2019-03-21T00:00:00"/>
    <s v="OTEZLA"/>
    <d v="2019-07-16T00:00:00"/>
    <d v="2019-07-29T00:00:00"/>
    <s v="HYRIMOZ"/>
    <m/>
    <m/>
    <m/>
    <m/>
    <m/>
    <m/>
    <m/>
    <m/>
    <m/>
    <m/>
    <m/>
    <m/>
    <m/>
    <m/>
    <m/>
    <m/>
    <m/>
    <m/>
    <x v="4"/>
    <m/>
  </r>
  <r>
    <s v="Merta Luboš"/>
    <s v="780307/5775"/>
    <n v="205"/>
    <d v="2019-03-27T00:00:00"/>
    <s v="COSENTYX"/>
    <m/>
    <m/>
    <m/>
    <m/>
    <m/>
    <m/>
    <m/>
    <m/>
    <m/>
    <m/>
    <m/>
    <m/>
    <m/>
    <m/>
    <m/>
    <m/>
    <m/>
    <m/>
    <m/>
    <m/>
    <m/>
    <x v="7"/>
    <m/>
  </r>
  <r>
    <s v="Macháč Jaromír"/>
    <s v="790630/5242"/>
    <n v="111"/>
    <d v="2019-04-09T00:00:00"/>
    <s v="CIMZIA"/>
    <m/>
    <m/>
    <m/>
    <m/>
    <m/>
    <m/>
    <m/>
    <m/>
    <m/>
    <m/>
    <m/>
    <m/>
    <m/>
    <m/>
    <m/>
    <m/>
    <m/>
    <m/>
    <m/>
    <m/>
    <m/>
    <x v="13"/>
    <m/>
  </r>
  <r>
    <s v="Mariánek Martin"/>
    <s v="700207/4409"/>
    <n v="205"/>
    <d v="2019-04-09T00:00:00"/>
    <s v="OTEZLA"/>
    <d v="2019-07-10T00:00:00"/>
    <d v="2019-10-24T00:00:00"/>
    <s v="TREMFYA"/>
    <m/>
    <m/>
    <m/>
    <m/>
    <m/>
    <m/>
    <m/>
    <m/>
    <m/>
    <m/>
    <m/>
    <m/>
    <m/>
    <m/>
    <m/>
    <m/>
    <m/>
    <m/>
    <x v="9"/>
    <m/>
  </r>
  <r>
    <s v="Stibora Hana"/>
    <s v="646223/0137"/>
    <n v="111"/>
    <d v="2019-04-15T00:00:00"/>
    <s v="HUMIRA"/>
    <d v="2019-06-17T00:00:00"/>
    <d v="2019-06-17T00:00:00"/>
    <s v="HYRIMOZ"/>
    <d v="2019-07-10T00:00:00"/>
    <d v="2019-07-25T00:00:00"/>
    <s v="TALTZ"/>
    <m/>
    <m/>
    <m/>
    <m/>
    <m/>
    <m/>
    <m/>
    <m/>
    <m/>
    <m/>
    <m/>
    <m/>
    <m/>
    <m/>
    <m/>
    <x v="1"/>
    <m/>
  </r>
  <r>
    <s v="Ďurčo Peter"/>
    <s v="631026/6567"/>
    <n v="201"/>
    <d v="2019-04-18T00:00:00"/>
    <s v="OTEZLA"/>
    <d v="2019-07-25T00:00:00"/>
    <d v="2019-12-09T00:00:00"/>
    <s v="COSENTYX"/>
    <m/>
    <m/>
    <m/>
    <m/>
    <m/>
    <m/>
    <m/>
    <m/>
    <m/>
    <m/>
    <m/>
    <m/>
    <m/>
    <m/>
    <m/>
    <m/>
    <m/>
    <m/>
    <x v="7"/>
    <m/>
  </r>
  <r>
    <s v="Kešelák Petr"/>
    <s v="571227/0839"/>
    <n v="111"/>
    <d v="2019-04-25T00:00:00"/>
    <s v="ENBREL (etanercept)"/>
    <m/>
    <m/>
    <m/>
    <m/>
    <m/>
    <m/>
    <m/>
    <m/>
    <m/>
    <m/>
    <m/>
    <m/>
    <m/>
    <m/>
    <m/>
    <m/>
    <m/>
    <m/>
    <m/>
    <m/>
    <m/>
    <x v="3"/>
    <m/>
  </r>
  <r>
    <s v="Potočný Ivo"/>
    <s v="670218/1882"/>
    <n v="111"/>
    <d v="2019-04-26T00:00:00"/>
    <s v="TALTZ"/>
    <m/>
    <m/>
    <m/>
    <m/>
    <m/>
    <m/>
    <m/>
    <m/>
    <m/>
    <m/>
    <m/>
    <m/>
    <m/>
    <m/>
    <m/>
    <m/>
    <m/>
    <m/>
    <m/>
    <m/>
    <m/>
    <x v="1"/>
    <m/>
  </r>
  <r>
    <s v="Bajerová Blanka"/>
    <s v="565731/1638"/>
    <n v="205"/>
    <d v="2019-04-29T00:00:00"/>
    <s v="TREMFYA"/>
    <d v="2019-09-04T00:00:00"/>
    <m/>
    <m/>
    <m/>
    <m/>
    <m/>
    <m/>
    <m/>
    <m/>
    <m/>
    <m/>
    <m/>
    <m/>
    <m/>
    <m/>
    <m/>
    <m/>
    <m/>
    <m/>
    <m/>
    <m/>
    <x v="10"/>
    <m/>
  </r>
  <r>
    <s v="Krůčková Markéta"/>
    <s v="875621/5974"/>
    <n v="205"/>
    <d v="2019-04-30T00:00:00"/>
    <s v="COSENTYX"/>
    <m/>
    <m/>
    <m/>
    <m/>
    <m/>
    <m/>
    <m/>
    <m/>
    <m/>
    <m/>
    <m/>
    <m/>
    <m/>
    <m/>
    <m/>
    <m/>
    <m/>
    <m/>
    <m/>
    <m/>
    <m/>
    <x v="7"/>
    <m/>
  </r>
  <r>
    <s v="Mockovčiaková Lenka"/>
    <s v="815504/5173"/>
    <n v="205"/>
    <d v="2019-04-30T00:00:00"/>
    <s v="CIMZIA"/>
    <d v="2019-10-07T00:00:00"/>
    <d v="2019-10-21T00:00:00"/>
    <s v="KYNTHEUM"/>
    <m/>
    <m/>
    <m/>
    <m/>
    <m/>
    <m/>
    <m/>
    <m/>
    <m/>
    <m/>
    <m/>
    <m/>
    <m/>
    <m/>
    <m/>
    <m/>
    <m/>
    <m/>
    <x v="2"/>
    <m/>
  </r>
  <r>
    <s v="Schmidt Erik"/>
    <s v="831215/4862"/>
    <n v="111"/>
    <d v="2019-04-30T00:00:00"/>
    <s v="CIMZIA"/>
    <d v="2019-10-29T00:00:00"/>
    <d v="2019-11-13T00:00:00"/>
    <s v="TALTZ"/>
    <m/>
    <m/>
    <m/>
    <m/>
    <m/>
    <m/>
    <m/>
    <m/>
    <m/>
    <m/>
    <m/>
    <m/>
    <m/>
    <m/>
    <m/>
    <m/>
    <m/>
    <m/>
    <x v="1"/>
    <m/>
  </r>
  <r>
    <s v="Obrodovský Zdeněk"/>
    <s v="800618/5924"/>
    <n v="111"/>
    <d v="2019-05-06T00:00:00"/>
    <s v="TREMFYA"/>
    <m/>
    <m/>
    <m/>
    <m/>
    <m/>
    <m/>
    <m/>
    <m/>
    <m/>
    <m/>
    <m/>
    <m/>
    <m/>
    <m/>
    <m/>
    <m/>
    <m/>
    <m/>
    <m/>
    <m/>
    <m/>
    <x v="9"/>
    <m/>
  </r>
  <r>
    <s v="Minarčíková Pavla"/>
    <s v="796212/5677"/>
    <n v="205"/>
    <d v="2019-05-07T00:00:00"/>
    <s v="TALTZ"/>
    <m/>
    <m/>
    <m/>
    <m/>
    <m/>
    <m/>
    <m/>
    <m/>
    <m/>
    <m/>
    <m/>
    <m/>
    <m/>
    <m/>
    <m/>
    <m/>
    <m/>
    <m/>
    <m/>
    <m/>
    <m/>
    <x v="1"/>
    <m/>
  </r>
  <r>
    <s v="Onderka Vladimír"/>
    <s v="720622/5884"/>
    <n v="111"/>
    <d v="2019-05-10T00:00:00"/>
    <s v="OTEZLA"/>
    <m/>
    <m/>
    <m/>
    <m/>
    <m/>
    <m/>
    <m/>
    <m/>
    <m/>
    <m/>
    <m/>
    <m/>
    <m/>
    <m/>
    <m/>
    <m/>
    <m/>
    <m/>
    <m/>
    <m/>
    <m/>
    <x v="12"/>
    <m/>
  </r>
  <r>
    <s v="Rysová Anna"/>
    <s v="015511/5708"/>
    <n v="205"/>
    <d v="2019-05-27T00:00:00"/>
    <s v="HYRIMOZ"/>
    <m/>
    <m/>
    <m/>
    <m/>
    <m/>
    <m/>
    <m/>
    <m/>
    <m/>
    <m/>
    <m/>
    <m/>
    <m/>
    <m/>
    <m/>
    <m/>
    <m/>
    <m/>
    <m/>
    <m/>
    <m/>
    <x v="4"/>
    <m/>
  </r>
  <r>
    <s v="Sviežený Milan"/>
    <s v="601230/1031"/>
    <n v="111"/>
    <d v="2019-06-12T00:00:00"/>
    <s v="HYRIMOZ"/>
    <d v="2019-10-16T00:00:00"/>
    <d v="2019-11-05T00:00:00"/>
    <s v="TREMFYA"/>
    <m/>
    <m/>
    <m/>
    <m/>
    <m/>
    <m/>
    <m/>
    <m/>
    <m/>
    <m/>
    <m/>
    <m/>
    <m/>
    <m/>
    <m/>
    <m/>
    <m/>
    <m/>
    <x v="9"/>
    <m/>
  </r>
  <r>
    <s v="Vaculík Přemysl"/>
    <s v="770402/5692"/>
    <n v="111"/>
    <d v="2019-06-14T00:00:00"/>
    <s v="HYRIMOZ"/>
    <m/>
    <m/>
    <m/>
    <m/>
    <m/>
    <m/>
    <m/>
    <m/>
    <m/>
    <m/>
    <m/>
    <m/>
    <m/>
    <m/>
    <m/>
    <m/>
    <m/>
    <m/>
    <m/>
    <m/>
    <m/>
    <x v="4"/>
    <m/>
  </r>
  <r>
    <s v="Linart Lumír"/>
    <s v="631228/0744"/>
    <n v="205"/>
    <d v="2019-06-14T00:00:00"/>
    <s v="kyntheum"/>
    <m/>
    <m/>
    <m/>
    <m/>
    <m/>
    <m/>
    <m/>
    <m/>
    <m/>
    <m/>
    <m/>
    <m/>
    <m/>
    <m/>
    <m/>
    <m/>
    <m/>
    <m/>
    <m/>
    <m/>
    <m/>
    <x v="2"/>
    <m/>
  </r>
  <r>
    <s v="Komár Josef"/>
    <s v="000812/4842"/>
    <n v="205"/>
    <d v="2019-07-15T00:00:00"/>
    <s v="HUMIRA (HIDRADENITIS SU)"/>
    <m/>
    <m/>
    <m/>
    <m/>
    <m/>
    <m/>
    <m/>
    <m/>
    <m/>
    <m/>
    <m/>
    <m/>
    <m/>
    <m/>
    <m/>
    <m/>
    <m/>
    <m/>
    <m/>
    <m/>
    <m/>
    <x v="11"/>
    <m/>
  </r>
  <r>
    <s v="Richterová Daniela"/>
    <s v="995616/5736"/>
    <n v="205"/>
    <d v="2019-07-29T00:00:00"/>
    <s v="HUMIRA (HIDRADENITIS SU)"/>
    <m/>
    <m/>
    <m/>
    <m/>
    <m/>
    <m/>
    <m/>
    <m/>
    <m/>
    <m/>
    <m/>
    <m/>
    <m/>
    <m/>
    <m/>
    <m/>
    <m/>
    <m/>
    <m/>
    <m/>
    <m/>
    <x v="11"/>
    <m/>
  </r>
  <r>
    <s v="Zlámal Pavel "/>
    <s v="640828/1308"/>
    <n v="205"/>
    <d v="2019-08-01T00:00:00"/>
    <s v="CIMZIA"/>
    <m/>
    <m/>
    <m/>
    <m/>
    <m/>
    <m/>
    <m/>
    <m/>
    <m/>
    <m/>
    <m/>
    <m/>
    <m/>
    <m/>
    <m/>
    <m/>
    <m/>
    <m/>
    <m/>
    <m/>
    <m/>
    <x v="13"/>
    <m/>
  </r>
  <r>
    <s v="Schwanová Monika"/>
    <s v="816120/4458"/>
    <n v="205"/>
    <d v="2007-03-28T00:00:00"/>
    <s v="REMICADE (infliximab)"/>
    <d v="2007-10-26T00:00:00"/>
    <d v="2009-06-11T00:00:00"/>
    <s v="ENBREL (etanercept)"/>
    <d v="2009-09-29T00:00:00"/>
    <d v="2009-10-01T00:00:00"/>
    <s v="STELARA"/>
    <d v="2014-06-23T00:00:00"/>
    <d v="2014-06-23T00:00:00"/>
    <s v="REMICADE"/>
    <d v="2014-07-29T00:00:00"/>
    <d v="2014-08-22T00:00:00"/>
    <s v="HUMIRA"/>
    <d v="2015-01-13T00:00:00"/>
    <d v="2015-01-26T00:00:00"/>
    <s v="STELARA"/>
    <d v="2018-03-28T00:00:00"/>
    <m/>
    <m/>
    <m/>
    <m/>
    <m/>
    <x v="14"/>
    <s v="převedena na revmatologii"/>
  </r>
  <r>
    <s v="Vlček Jaroslav"/>
    <s v="760717/4850"/>
    <n v="201"/>
    <d v="2006-03-09T00:00:00"/>
    <s v="Raptiva (efalizumab)"/>
    <d v="2006-06-22T00:00:00"/>
    <m/>
    <m/>
    <m/>
    <m/>
    <m/>
    <m/>
    <m/>
    <m/>
    <m/>
    <m/>
    <m/>
    <m/>
    <m/>
    <m/>
    <m/>
    <m/>
    <m/>
    <m/>
    <m/>
    <m/>
    <x v="15"/>
    <m/>
  </r>
  <r>
    <s v="Bor František"/>
    <s v="740914/4193"/>
    <n v="205"/>
    <d v="2008-02-25T00:00:00"/>
    <s v="Raptiva (efalizumab)"/>
    <d v="2009-08-24T00:00:00"/>
    <m/>
    <m/>
    <m/>
    <m/>
    <m/>
    <m/>
    <m/>
    <m/>
    <m/>
    <m/>
    <m/>
    <m/>
    <m/>
    <m/>
    <m/>
    <m/>
    <m/>
    <m/>
    <m/>
    <m/>
    <x v="16"/>
    <m/>
  </r>
  <r>
    <s v="Lantová Libuše"/>
    <s v="435512/453"/>
    <n v="111"/>
    <d v="2008-05-19T00:00:00"/>
    <s v="Raptiva (efalizumab)"/>
    <d v="2009-03-18T00:00:00"/>
    <d v="2009-04-16T00:00:00"/>
    <s v="ENBREL (etanercept)"/>
    <d v="2009-10-08T00:00:00"/>
    <m/>
    <m/>
    <m/>
    <m/>
    <m/>
    <m/>
    <m/>
    <m/>
    <m/>
    <m/>
    <m/>
    <m/>
    <m/>
    <m/>
    <m/>
    <m/>
    <m/>
    <x v="16"/>
    <s v="6 úmrtí"/>
  </r>
  <r>
    <s v="Procházka Marek"/>
    <s v="691111/4749"/>
    <n v="111"/>
    <d v="2008-07-07T00:00:00"/>
    <s v="Raptiva (efalizumab)"/>
    <d v="2009-03-11T00:00:00"/>
    <m/>
    <m/>
    <m/>
    <m/>
    <m/>
    <m/>
    <m/>
    <m/>
    <m/>
    <m/>
    <m/>
    <m/>
    <m/>
    <m/>
    <m/>
    <m/>
    <m/>
    <m/>
    <m/>
    <m/>
    <x v="16"/>
    <m/>
  </r>
  <r>
    <s v="Galia Norbert"/>
    <s v="690312/5702"/>
    <n v="213"/>
    <d v="2008-12-11T00:00:00"/>
    <s v="Raptiva (efalizumab)"/>
    <d v="2009-03-03T00:00:00"/>
    <d v="2009-03-03T00:00:00"/>
    <s v="ENBREL (etanercept)"/>
    <d v="2009-09-29T00:00:00"/>
    <m/>
    <m/>
    <m/>
    <m/>
    <m/>
    <m/>
    <m/>
    <m/>
    <m/>
    <m/>
    <m/>
    <m/>
    <m/>
    <m/>
    <m/>
    <m/>
    <m/>
    <x v="16"/>
    <m/>
  </r>
  <r>
    <s v="Kameník Alexej"/>
    <s v="741205/4463"/>
    <n v="111"/>
    <d v="2007-10-04T00:00:00"/>
    <s v="ENBREL (etanercept)"/>
    <d v="2011-12-30T00:00:00"/>
    <m/>
    <m/>
    <m/>
    <m/>
    <m/>
    <m/>
    <m/>
    <m/>
    <m/>
    <m/>
    <m/>
    <m/>
    <m/>
    <m/>
    <m/>
    <m/>
    <m/>
    <m/>
    <m/>
    <m/>
    <x v="17"/>
    <m/>
  </r>
  <r>
    <s v="Kyselá Ludmila"/>
    <s v="585709/1878"/>
    <n v="111"/>
    <d v="2008-11-12T00:00:00"/>
    <s v="Raptiva (efalizumab)"/>
    <d v="2009-04-28T00:00:00"/>
    <d v="2009-06-15T00:00:00"/>
    <s v="ENBREL (etanercept)"/>
    <d v="2012-03-30T00:00:00"/>
    <m/>
    <m/>
    <m/>
    <m/>
    <m/>
    <m/>
    <m/>
    <m/>
    <m/>
    <m/>
    <m/>
    <m/>
    <m/>
    <m/>
    <m/>
    <m/>
    <m/>
    <x v="18"/>
    <s v="infekce HCD a hypertenze"/>
  </r>
  <r>
    <s v="Klabačka Jiří"/>
    <s v="590224/1752"/>
    <n v="111"/>
    <d v="2010-01-20T00:00:00"/>
    <s v="ENBREL (etanercept)"/>
    <d v="2011-12-12T00:00:00"/>
    <d v="2012-01-04T00:00:00"/>
    <s v="HUMIRA"/>
    <d v="2012-03-28T00:00:00"/>
    <d v="2012-04-10T00:00:00"/>
    <s v="STELARA"/>
    <d v="2013-01-31T00:00:00"/>
    <d v="2013-05-22T00:00:00"/>
    <s v="REMICADE"/>
    <d v="2013-12-02T00:00:00"/>
    <m/>
    <m/>
    <m/>
    <m/>
    <m/>
    <m/>
    <m/>
    <m/>
    <m/>
    <m/>
    <m/>
    <x v="19"/>
    <s v="nepřišel"/>
  </r>
  <r>
    <s v="Hávová Karolína"/>
    <s v="925311/6147"/>
    <n v="111"/>
    <d v="2011-04-07T00:00:00"/>
    <s v="ENBREL (etanercept)"/>
    <d v="2012-07-16T00:00:00"/>
    <d v="2012-10-09T00:00:00"/>
    <s v="HUMIRA"/>
    <d v="2013-01-31T00:00:00"/>
    <m/>
    <m/>
    <m/>
    <m/>
    <m/>
    <m/>
    <m/>
    <m/>
    <m/>
    <m/>
    <m/>
    <m/>
    <m/>
    <m/>
    <m/>
    <m/>
    <m/>
    <x v="19"/>
    <s v="nepřišla"/>
  </r>
  <r>
    <s v="Lepařová Marta"/>
    <s v="696202/5334"/>
    <n v="205"/>
    <d v="2013-01-15T00:00:00"/>
    <s v="HUMIRA"/>
    <d v="2013-07-31T00:00:00"/>
    <m/>
    <m/>
    <m/>
    <m/>
    <m/>
    <m/>
    <m/>
    <m/>
    <m/>
    <m/>
    <m/>
    <m/>
    <m/>
    <m/>
    <m/>
    <m/>
    <m/>
    <m/>
    <m/>
    <m/>
    <x v="19"/>
    <s v="infekce DCD"/>
  </r>
  <r>
    <s v="Vinklárek František"/>
    <s v="510518/194"/>
    <n v="211"/>
    <d v="2007-11-08T00:00:00"/>
    <s v="Raptiva (efalizumab)"/>
    <d v="2009-05-14T00:00:00"/>
    <d v="2009-06-08T00:00:00"/>
    <s v="ENBREL (etanercept)"/>
    <d v="2015-06-13T00:00:00"/>
    <m/>
    <m/>
    <m/>
    <m/>
    <m/>
    <m/>
    <m/>
    <m/>
    <m/>
    <m/>
    <m/>
    <m/>
    <m/>
    <m/>
    <m/>
    <m/>
    <m/>
    <x v="20"/>
    <s v="malignita"/>
  </r>
  <r>
    <s v="Složilová Tereza"/>
    <s v="825218/5689"/>
    <n v="111"/>
    <d v="2009-09-22T00:00:00"/>
    <s v="ENBREL (etanercept)"/>
    <d v="2010-08-31T00:00:00"/>
    <d v="2011-09-20T00:00:00"/>
    <s v="HUMIRA"/>
    <d v="2012-04-11T00:00:00"/>
    <d v="2012-05-03T00:00:00"/>
    <s v="STELARA"/>
    <d v="2016-04-05T00:00:00"/>
    <m/>
    <m/>
    <m/>
    <m/>
    <m/>
    <m/>
    <m/>
    <m/>
    <m/>
    <m/>
    <m/>
    <m/>
    <m/>
    <m/>
    <x v="21"/>
    <s v="zahraničí"/>
  </r>
  <r>
    <s v="Kotěra Petr"/>
    <s v="760927/3683"/>
    <n v="111"/>
    <d v="2010-01-20T00:00:00"/>
    <s v="ENBREL (etanercept)"/>
    <d v="2016-07-07T00:00:00"/>
    <m/>
    <m/>
    <m/>
    <m/>
    <m/>
    <m/>
    <m/>
    <m/>
    <m/>
    <m/>
    <m/>
    <m/>
    <m/>
    <m/>
    <m/>
    <m/>
    <m/>
    <m/>
    <m/>
    <m/>
    <x v="21"/>
    <s v="6 úmrtí"/>
  </r>
  <r>
    <s v="Rakus Zdeněk Ing."/>
    <s v="631025/0848"/>
    <n v="205"/>
    <d v="2009-03-26T00:00:00"/>
    <s v="ENBREL (etanercept)"/>
    <d v="2009-10-21T00:00:00"/>
    <d v="2010-10-04T00:00:00"/>
    <s v="REMICADE"/>
    <d v="2012-05-31T00:00:00"/>
    <d v="2012-09-05T00:00:00"/>
    <s v="STELARA"/>
    <d v="2014-02-13T00:00:00"/>
    <d v="2014-03-03T00:00:00"/>
    <s v="REMICADE"/>
    <d v="2014-06-05T00:00:00"/>
    <d v="2014-09-08T00:00:00"/>
    <s v="HUMIRA"/>
    <d v="2015-06-01T00:00:00"/>
    <d v="2015-06-16T00:00:00"/>
    <s v="REMSIMA"/>
    <d v="2015-11-25T00:00:00"/>
    <d v="2016-02-09T00:00:00"/>
    <s v="COSENTYX"/>
    <d v="2017-02-28T00:00:00"/>
    <m/>
    <m/>
    <x v="22"/>
    <s v="nespolupráce / tumor"/>
  </r>
  <r>
    <s v="Vosmanská Vladimíra"/>
    <s v="876229/6147"/>
    <n v="111"/>
    <d v="2009-10-19T00:00:00"/>
    <s v="ENBREL (etanercept)"/>
    <d v="2017-12-30T00:00:00"/>
    <m/>
    <m/>
    <m/>
    <m/>
    <m/>
    <m/>
    <m/>
    <m/>
    <m/>
    <m/>
    <m/>
    <m/>
    <m/>
    <m/>
    <m/>
    <m/>
    <m/>
    <m/>
    <m/>
    <m/>
    <x v="22"/>
    <s v="zahraničí"/>
  </r>
  <r>
    <s v="Novák Darko"/>
    <s v="510626/074"/>
    <n v="111"/>
    <d v="2014-05-12T00:00:00"/>
    <s v="STELARA"/>
    <d v="2017-08-31T00:00:00"/>
    <m/>
    <m/>
    <m/>
    <m/>
    <m/>
    <m/>
    <m/>
    <m/>
    <m/>
    <m/>
    <m/>
    <m/>
    <m/>
    <m/>
    <m/>
    <m/>
    <m/>
    <m/>
    <m/>
    <m/>
    <x v="22"/>
    <s v="převeden na revmatologii"/>
  </r>
  <r>
    <s v="Koutný Miroslav"/>
    <s v="480326/436"/>
    <n v="211"/>
    <d v="2016-12-14T00:00:00"/>
    <s v="ENBREL (etanercept)"/>
    <d v="2017-07-24T00:00:00"/>
    <m/>
    <m/>
    <m/>
    <m/>
    <m/>
    <m/>
    <m/>
    <m/>
    <m/>
    <m/>
    <m/>
    <m/>
    <m/>
    <m/>
    <m/>
    <m/>
    <m/>
    <m/>
    <m/>
    <m/>
    <x v="22"/>
    <s v="vyšetřován na HOK"/>
  </r>
  <r>
    <s v="Holub Oldřich"/>
    <s v="391010/431"/>
    <n v="213"/>
    <d v="2008-04-16T00:00:00"/>
    <s v="ENBREL (etanercept)"/>
    <d v="2018-09-15T00:00:00"/>
    <m/>
    <m/>
    <m/>
    <m/>
    <m/>
    <m/>
    <m/>
    <m/>
    <m/>
    <m/>
    <m/>
    <m/>
    <m/>
    <m/>
    <m/>
    <m/>
    <m/>
    <m/>
    <m/>
    <m/>
    <x v="14"/>
    <s v="zjištění pozit. nálezu biopsie prostaty a vysokých hodnot PSA."/>
  </r>
  <r>
    <s v="Skřišovská Petra"/>
    <s v="925604/6195"/>
    <n v="205"/>
    <d v="2017-05-15T00:00:00"/>
    <s v="COSENTYX"/>
    <d v="2018-08-31T00:00:00"/>
    <m/>
    <m/>
    <m/>
    <m/>
    <m/>
    <m/>
    <m/>
    <m/>
    <m/>
    <m/>
    <m/>
    <m/>
    <m/>
    <m/>
    <m/>
    <m/>
    <m/>
    <m/>
    <m/>
    <m/>
    <x v="14"/>
    <s v="plánování gravidity"/>
  </r>
  <r>
    <s v="Váňová Pavla"/>
    <s v="586014/1738"/>
    <n v="201"/>
    <d v="2017-07-20T00:00:00"/>
    <s v="OTEZLA (vzorky)"/>
    <d v="2018-04-17T00:00:00"/>
    <m/>
    <m/>
    <m/>
    <m/>
    <m/>
    <m/>
    <m/>
    <m/>
    <m/>
    <m/>
    <m/>
    <m/>
    <m/>
    <m/>
    <m/>
    <m/>
    <m/>
    <m/>
    <m/>
    <m/>
    <x v="14"/>
    <s v="neúčinnost"/>
  </r>
  <r>
    <s v="Němec Jan"/>
    <s v="410212/479"/>
    <n v="111"/>
    <d v="2018-04-06T00:00:00"/>
    <s v="OTEZLA"/>
    <d v="2018-05-30T00:00:00"/>
    <m/>
    <m/>
    <m/>
    <m/>
    <m/>
    <m/>
    <m/>
    <m/>
    <m/>
    <m/>
    <m/>
    <m/>
    <m/>
    <m/>
    <m/>
    <m/>
    <m/>
    <m/>
    <m/>
    <m/>
    <x v="14"/>
    <m/>
  </r>
  <r>
    <s v="Fulneček Petr Ing."/>
    <s v="611126/1563"/>
    <n v="211"/>
    <d v="2019-09-16T00:00:00"/>
    <s v="HYRIMOZ"/>
    <m/>
    <m/>
    <m/>
    <m/>
    <m/>
    <m/>
    <m/>
    <m/>
    <m/>
    <m/>
    <m/>
    <m/>
    <m/>
    <m/>
    <m/>
    <m/>
    <m/>
    <m/>
    <m/>
    <m/>
    <m/>
    <x v="4"/>
    <m/>
  </r>
  <r>
    <s v="Rozsypalová Dagmar"/>
    <s v="505828/077"/>
    <n v="111"/>
    <d v="2019-09-19T00:00:00"/>
    <s v="SKYRIZI"/>
    <m/>
    <m/>
    <m/>
    <m/>
    <m/>
    <m/>
    <m/>
    <m/>
    <m/>
    <m/>
    <m/>
    <m/>
    <m/>
    <m/>
    <m/>
    <m/>
    <m/>
    <m/>
    <m/>
    <m/>
    <m/>
    <x v="23"/>
    <m/>
  </r>
  <r>
    <s v="Hýsková Alena"/>
    <s v="495702/140"/>
    <n v="205"/>
    <d v="2019-10-25T00:00:00"/>
    <s v="HYRIMOZ"/>
    <m/>
    <m/>
    <m/>
    <m/>
    <m/>
    <m/>
    <m/>
    <m/>
    <m/>
    <m/>
    <m/>
    <m/>
    <m/>
    <m/>
    <m/>
    <m/>
    <m/>
    <m/>
    <m/>
    <m/>
    <m/>
    <x v="4"/>
    <m/>
  </r>
  <r>
    <s v="Horáček Radoslav"/>
    <s v="590508/0808"/>
    <n v="205"/>
    <d v="2019-10-25T00:00:00"/>
    <s v="HYRIMOZ"/>
    <m/>
    <m/>
    <m/>
    <m/>
    <m/>
    <m/>
    <m/>
    <m/>
    <m/>
    <m/>
    <m/>
    <m/>
    <m/>
    <m/>
    <m/>
    <m/>
    <m/>
    <m/>
    <m/>
    <m/>
    <m/>
    <x v="4"/>
    <m/>
  </r>
  <r>
    <s v="Kakiš René"/>
    <s v="710901/3494"/>
    <n v="111"/>
    <d v="2019-10-25T00:00:00"/>
    <s v="HYRIMOZ"/>
    <m/>
    <m/>
    <m/>
    <m/>
    <m/>
    <m/>
    <m/>
    <m/>
    <m/>
    <m/>
    <m/>
    <m/>
    <m/>
    <m/>
    <m/>
    <m/>
    <m/>
    <m/>
    <m/>
    <m/>
    <m/>
    <x v="4"/>
    <m/>
  </r>
  <r>
    <s v="Dibelková Kateřina"/>
    <s v="686020/1645"/>
    <n v="111"/>
    <d v="2019-11-04T00:00:00"/>
    <s v="HYRIMOZ"/>
    <m/>
    <m/>
    <m/>
    <m/>
    <m/>
    <m/>
    <m/>
    <m/>
    <m/>
    <m/>
    <m/>
    <m/>
    <m/>
    <m/>
    <m/>
    <m/>
    <m/>
    <m/>
    <m/>
    <m/>
    <m/>
    <x v="4"/>
    <m/>
  </r>
  <r>
    <s v="Podivínský Ladislav"/>
    <s v="760625/5371"/>
    <n v="111"/>
    <d v="2019-11-26T00:00:00"/>
    <s v="SKYRIZI"/>
    <m/>
    <m/>
    <m/>
    <m/>
    <m/>
    <m/>
    <m/>
    <m/>
    <m/>
    <m/>
    <m/>
    <m/>
    <m/>
    <m/>
    <m/>
    <m/>
    <m/>
    <m/>
    <m/>
    <m/>
    <m/>
    <x v="23"/>
    <m/>
  </r>
  <r>
    <s v="Beran Vratislav"/>
    <s v="690509/4603"/>
    <n v="211"/>
    <d v="2019-12-11T00:00:00"/>
    <s v="HYRIMOZ"/>
    <m/>
    <m/>
    <m/>
    <m/>
    <m/>
    <m/>
    <m/>
    <m/>
    <m/>
    <m/>
    <m/>
    <m/>
    <m/>
    <m/>
    <m/>
    <m/>
    <m/>
    <m/>
    <m/>
    <m/>
    <m/>
    <x v="4"/>
    <m/>
  </r>
  <r>
    <s v="Slavíková Danuše"/>
    <s v="615221/0317"/>
    <n v="205"/>
    <s v="8.1.2020 ??"/>
    <s v="COSENTYX"/>
    <m/>
    <m/>
    <m/>
    <m/>
    <m/>
    <m/>
    <m/>
    <m/>
    <m/>
    <m/>
    <m/>
    <m/>
    <m/>
    <m/>
    <m/>
    <m/>
    <m/>
    <m/>
    <m/>
    <m/>
    <m/>
    <x v="24"/>
    <m/>
  </r>
  <r>
    <s v="Jurečka Zdeněk"/>
    <s v="740808/4981"/>
    <n v="111"/>
    <s v="17.1.???"/>
    <m/>
    <m/>
    <m/>
    <m/>
    <m/>
    <m/>
    <m/>
    <m/>
    <m/>
    <m/>
    <m/>
    <m/>
    <m/>
    <m/>
    <m/>
    <m/>
    <m/>
    <m/>
    <m/>
    <m/>
    <m/>
    <m/>
    <x v="24"/>
    <m/>
  </r>
  <r>
    <s v="Hadamczik Marcel  "/>
    <s v="730820/5454"/>
    <n v="211"/>
    <s v="zatím ne"/>
    <m/>
    <m/>
    <m/>
    <m/>
    <m/>
    <m/>
    <m/>
    <m/>
    <m/>
    <m/>
    <m/>
    <m/>
    <m/>
    <m/>
    <m/>
    <m/>
    <m/>
    <m/>
    <m/>
    <m/>
    <m/>
    <m/>
    <x v="24"/>
    <m/>
  </r>
  <r>
    <s v="Krajča Vítězslav"/>
    <s v="931228/4850"/>
    <n v="205"/>
    <s v="zatím ne"/>
    <m/>
    <m/>
    <m/>
    <m/>
    <m/>
    <m/>
    <m/>
    <m/>
    <m/>
    <m/>
    <m/>
    <m/>
    <m/>
    <m/>
    <m/>
    <m/>
    <m/>
    <m/>
    <m/>
    <m/>
    <m/>
    <m/>
    <x v="24"/>
    <m/>
  </r>
  <r>
    <m/>
    <m/>
    <m/>
    <m/>
    <m/>
    <m/>
    <m/>
    <m/>
    <m/>
    <m/>
    <m/>
    <m/>
    <m/>
    <m/>
    <m/>
    <m/>
    <m/>
    <m/>
    <m/>
    <m/>
    <m/>
    <m/>
    <m/>
    <m/>
    <m/>
    <m/>
    <x v="24"/>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Kontingenční tabulka 8" cacheId="0" applyNumberFormats="0" applyBorderFormats="0" applyFontFormats="0" applyPatternFormats="0" applyAlignmentFormats="0" applyWidthHeightFormats="1" dataCaption="Hodnoty" updatedVersion="5" minRefreshableVersion="3" useAutoFormatting="1" rowGrandTotals="0" colGrandTotals="0" itemPrintTitles="1" createdVersion="5" indent="0" compact="0" compactData="0" multipleFieldFilters="0" chartFormat="37">
  <location ref="B2:C16" firstHeaderRow="1" firstDataRow="1" firstDataCol="1"/>
  <pivotFields count="28">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name="název " axis="axisRow" compact="0" outline="0" showAll="0" sortType="descending" defaultSubtotal="0">
      <items count="33">
        <item h="1" m="1" x="27"/>
        <item h="1" m="1" x="25"/>
        <item x="7"/>
        <item x="3"/>
        <item x="0"/>
        <item x="11"/>
        <item x="8"/>
        <item x="2"/>
        <item x="12"/>
        <item h="1" m="1" x="26"/>
        <item m="1" x="31"/>
        <item n="k" x="6"/>
        <item m="1" x="28"/>
        <item x="5"/>
        <item n="TALTZ" h="1" x="24"/>
        <item x="1"/>
        <item h="1" m="1" x="29"/>
        <item x="9"/>
        <item h="1" m="1" x="32"/>
        <item h="1" x="15"/>
        <item h="1" x="16"/>
        <item h="1" x="17"/>
        <item h="1" x="18"/>
        <item h="1" x="19"/>
        <item h="1" x="20"/>
        <item h="1" x="21"/>
        <item h="1" x="22"/>
        <item h="1" x="14"/>
        <item h="1" x="10"/>
        <item h="1" m="1" x="30"/>
        <item x="13"/>
        <item x="4"/>
        <item x="23"/>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26"/>
  </rowFields>
  <rowItems count="14">
    <i>
      <x v="31"/>
    </i>
    <i>
      <x v="2"/>
    </i>
    <i>
      <x v="15"/>
    </i>
    <i>
      <x v="13"/>
    </i>
    <i>
      <x v="3"/>
    </i>
    <i>
      <x v="17"/>
    </i>
    <i>
      <x v="7"/>
    </i>
    <i>
      <x v="5"/>
    </i>
    <i>
      <x v="6"/>
    </i>
    <i>
      <x v="30"/>
    </i>
    <i>
      <x v="4"/>
    </i>
    <i>
      <x v="32"/>
    </i>
    <i>
      <x v="8"/>
    </i>
    <i>
      <x v="11"/>
    </i>
  </rowItems>
  <colItems count="1">
    <i/>
  </colItems>
  <dataFields count="1">
    <dataField name="počet pacientů k 25.2.2020" fld="0" subtotal="count" baseField="23" baseItem="0"/>
  </dataFields>
  <formats count="120">
    <format dxfId="119">
      <pivotArea outline="0" collapsedLevelsAreSubtotals="1" fieldPosition="0">
        <references count="1">
          <reference field="26" count="1" selected="0">
            <x v="12"/>
          </reference>
        </references>
      </pivotArea>
    </format>
    <format dxfId="118">
      <pivotArea dataOnly="0" labelOnly="1" outline="0" fieldPosition="0">
        <references count="1">
          <reference field="26" count="1">
            <x v="12"/>
          </reference>
        </references>
      </pivotArea>
    </format>
    <format dxfId="117">
      <pivotArea outline="0" collapsedLevelsAreSubtotals="1" fieldPosition="0">
        <references count="1">
          <reference field="26" count="1" selected="0">
            <x v="11"/>
          </reference>
        </references>
      </pivotArea>
    </format>
    <format dxfId="116">
      <pivotArea dataOnly="0" labelOnly="1" outline="0" fieldPosition="0">
        <references count="1">
          <reference field="26" count="1">
            <x v="11"/>
          </reference>
        </references>
      </pivotArea>
    </format>
    <format dxfId="115">
      <pivotArea outline="0" collapsedLevelsAreSubtotals="1" fieldPosition="0">
        <references count="1">
          <reference field="26" count="1" selected="0">
            <x v="4"/>
          </reference>
        </references>
      </pivotArea>
    </format>
    <format dxfId="114">
      <pivotArea dataOnly="0" labelOnly="1" outline="0" fieldPosition="0">
        <references count="1">
          <reference field="26" count="1">
            <x v="4"/>
          </reference>
        </references>
      </pivotArea>
    </format>
    <format dxfId="113">
      <pivotArea type="all" dataOnly="0" outline="0" fieldPosition="0"/>
    </format>
    <format dxfId="112">
      <pivotArea dataOnly="0" labelOnly="1" outline="0" fieldPosition="0">
        <references count="1">
          <reference field="26" count="0"/>
        </references>
      </pivotArea>
    </format>
    <format dxfId="111">
      <pivotArea type="all" dataOnly="0" outline="0" fieldPosition="0"/>
    </format>
    <format dxfId="110">
      <pivotArea outline="0" collapsedLevelsAreSubtotals="1" fieldPosition="0"/>
    </format>
    <format dxfId="109">
      <pivotArea field="26" type="button" dataOnly="0" labelOnly="1" outline="0" axis="axisRow" fieldPosition="0"/>
    </format>
    <format dxfId="108">
      <pivotArea dataOnly="0" labelOnly="1" outline="0" axis="axisValues" fieldPosition="0"/>
    </format>
    <format dxfId="107">
      <pivotArea dataOnly="0" labelOnly="1" outline="0" fieldPosition="0">
        <references count="1">
          <reference field="26" count="0"/>
        </references>
      </pivotArea>
    </format>
    <format dxfId="106">
      <pivotArea type="all" dataOnly="0" outline="0" fieldPosition="0"/>
    </format>
    <format dxfId="105">
      <pivotArea outline="0" collapsedLevelsAreSubtotals="1" fieldPosition="0"/>
    </format>
    <format dxfId="104">
      <pivotArea field="26" type="button" dataOnly="0" labelOnly="1" outline="0" axis="axisRow" fieldPosition="0"/>
    </format>
    <format dxfId="103">
      <pivotArea dataOnly="0" labelOnly="1" outline="0" axis="axisValues" fieldPosition="0"/>
    </format>
    <format dxfId="102">
      <pivotArea dataOnly="0" labelOnly="1" outline="0" fieldPosition="0">
        <references count="1">
          <reference field="26" count="0"/>
        </references>
      </pivotArea>
    </format>
    <format dxfId="101">
      <pivotArea outline="0" collapsedLevelsAreSubtotals="1" fieldPosition="0">
        <references count="1">
          <reference field="26" count="1" selected="0">
            <x v="14"/>
          </reference>
        </references>
      </pivotArea>
    </format>
    <format dxfId="100">
      <pivotArea dataOnly="0" labelOnly="1" outline="0" fieldPosition="0">
        <references count="1">
          <reference field="26" count="1">
            <x v="14"/>
          </reference>
        </references>
      </pivotArea>
    </format>
    <format dxfId="99">
      <pivotArea outline="0" collapsedLevelsAreSubtotals="1" fieldPosition="0">
        <references count="1">
          <reference field="26" count="6" selected="0">
            <x v="2"/>
            <x v="3"/>
            <x v="4"/>
            <x v="11"/>
            <x v="12"/>
            <x v="13"/>
          </reference>
        </references>
      </pivotArea>
    </format>
    <format dxfId="98">
      <pivotArea dataOnly="0" labelOnly="1" outline="0" fieldPosition="0">
        <references count="1">
          <reference field="26" count="6">
            <x v="2"/>
            <x v="3"/>
            <x v="4"/>
            <x v="11"/>
            <x v="12"/>
            <x v="13"/>
          </reference>
        </references>
      </pivotArea>
    </format>
    <format dxfId="97">
      <pivotArea outline="0" collapsedLevelsAreSubtotals="1" fieldPosition="0">
        <references count="1">
          <reference field="26" count="1" selected="0">
            <x v="6"/>
          </reference>
        </references>
      </pivotArea>
    </format>
    <format dxfId="96">
      <pivotArea dataOnly="0" labelOnly="1" outline="0" fieldPosition="0">
        <references count="1">
          <reference field="26" count="1">
            <x v="6"/>
          </reference>
        </references>
      </pivotArea>
    </format>
    <format dxfId="95">
      <pivotArea outline="0" collapsedLevelsAreSubtotals="1" fieldPosition="0">
        <references count="1">
          <reference field="26" count="1" selected="0">
            <x v="14"/>
          </reference>
        </references>
      </pivotArea>
    </format>
    <format dxfId="94">
      <pivotArea outline="0" collapsedLevelsAreSubtotals="1" fieldPosition="0">
        <references count="1">
          <reference field="26" count="1" selected="0">
            <x v="14"/>
          </reference>
        </references>
      </pivotArea>
    </format>
    <format dxfId="93">
      <pivotArea outline="0" collapsedLevelsAreSubtotals="1" fieldPosition="0">
        <references count="1">
          <reference field="26" count="1" selected="0">
            <x v="14"/>
          </reference>
        </references>
      </pivotArea>
    </format>
    <format dxfId="92">
      <pivotArea dataOnly="0" labelOnly="1" outline="0" fieldPosition="0">
        <references count="1">
          <reference field="26" count="1">
            <x v="14"/>
          </reference>
        </references>
      </pivotArea>
    </format>
    <format dxfId="91">
      <pivotArea type="all" dataOnly="0" outline="0" fieldPosition="0"/>
    </format>
    <format dxfId="90">
      <pivotArea outline="0" collapsedLevelsAreSubtotals="1" fieldPosition="0"/>
    </format>
    <format dxfId="89">
      <pivotArea dataOnly="0" labelOnly="1" outline="0" fieldPosition="0">
        <references count="1">
          <reference field="26" count="0"/>
        </references>
      </pivotArea>
    </format>
    <format dxfId="88">
      <pivotArea dataOnly="0" labelOnly="1" outline="0" axis="axisValues" fieldPosition="0"/>
    </format>
    <format dxfId="87">
      <pivotArea outline="0" collapsedLevelsAreSubtotals="1" fieldPosition="0"/>
    </format>
    <format dxfId="86">
      <pivotArea dataOnly="0" labelOnly="1" outline="0" axis="axisValues" fieldPosition="0"/>
    </format>
    <format dxfId="85">
      <pivotArea outline="0" collapsedLevelsAreSubtotals="1" fieldPosition="0">
        <references count="1">
          <reference field="26" count="1" selected="0">
            <x v="16"/>
          </reference>
        </references>
      </pivotArea>
    </format>
    <format dxfId="84">
      <pivotArea dataOnly="0" labelOnly="1" outline="0" fieldPosition="0">
        <references count="1">
          <reference field="26" count="1">
            <x v="16"/>
          </reference>
        </references>
      </pivotArea>
    </format>
    <format dxfId="83">
      <pivotArea outline="0" collapsedLevelsAreSubtotals="1" fieldPosition="0">
        <references count="1">
          <reference field="26" count="1" selected="0">
            <x v="10"/>
          </reference>
        </references>
      </pivotArea>
    </format>
    <format dxfId="82">
      <pivotArea dataOnly="0" labelOnly="1" outline="0" fieldPosition="0">
        <references count="1">
          <reference field="26" count="1">
            <x v="10"/>
          </reference>
        </references>
      </pivotArea>
    </format>
    <format dxfId="81">
      <pivotArea outline="0" collapsedLevelsAreSubtotals="1" fieldPosition="0">
        <references count="1">
          <reference field="26" count="1" selected="0">
            <x v="5"/>
          </reference>
        </references>
      </pivotArea>
    </format>
    <format dxfId="80">
      <pivotArea dataOnly="0" labelOnly="1" outline="0" fieldPosition="0">
        <references count="1">
          <reference field="26" count="1">
            <x v="5"/>
          </reference>
        </references>
      </pivotArea>
    </format>
    <format dxfId="79">
      <pivotArea outline="0" collapsedLevelsAreSubtotals="1" fieldPosition="0">
        <references count="1">
          <reference field="26" count="2" selected="0">
            <x v="4"/>
            <x v="5"/>
          </reference>
        </references>
      </pivotArea>
    </format>
    <format dxfId="78">
      <pivotArea dataOnly="0" labelOnly="1" outline="0" fieldPosition="0">
        <references count="1">
          <reference field="26" count="2">
            <x v="4"/>
            <x v="5"/>
          </reference>
        </references>
      </pivotArea>
    </format>
    <format dxfId="77">
      <pivotArea outline="0" fieldPosition="0">
        <references count="1">
          <reference field="26" count="1" selected="0">
            <x v="16"/>
          </reference>
        </references>
      </pivotArea>
    </format>
    <format dxfId="76">
      <pivotArea dataOnly="0" labelOnly="1" outline="0" fieldPosition="0">
        <references count="1">
          <reference field="26" count="1">
            <x v="16"/>
          </reference>
        </references>
      </pivotArea>
    </format>
    <format dxfId="75">
      <pivotArea outline="0" fieldPosition="0">
        <references count="1">
          <reference field="26" count="1" selected="0">
            <x v="16"/>
          </reference>
        </references>
      </pivotArea>
    </format>
    <format dxfId="74">
      <pivotArea dataOnly="0" labelOnly="1" outline="0" fieldPosition="0">
        <references count="1">
          <reference field="26" count="1">
            <x v="16"/>
          </reference>
        </references>
      </pivotArea>
    </format>
    <format dxfId="73">
      <pivotArea outline="0" fieldPosition="0">
        <references count="1">
          <reference field="26" count="1" selected="0">
            <x v="9"/>
          </reference>
        </references>
      </pivotArea>
    </format>
    <format dxfId="72">
      <pivotArea field="26" type="button" dataOnly="0" labelOnly="1" outline="0" axis="axisRow" fieldPosition="0"/>
    </format>
    <format dxfId="71">
      <pivotArea dataOnly="0" labelOnly="1" outline="0" axis="axisValues" fieldPosition="0"/>
    </format>
    <format dxfId="70">
      <pivotArea field="26" type="button" dataOnly="0" labelOnly="1" outline="0" axis="axisRow" fieldPosition="0"/>
    </format>
    <format dxfId="69">
      <pivotArea dataOnly="0" labelOnly="1" outline="0" axis="axisValues" fieldPosition="0"/>
    </format>
    <format dxfId="68">
      <pivotArea type="all" dataOnly="0" outline="0" fieldPosition="0"/>
    </format>
    <format dxfId="67">
      <pivotArea outline="0" collapsedLevelsAreSubtotals="1" fieldPosition="0"/>
    </format>
    <format dxfId="66">
      <pivotArea field="26" type="button" dataOnly="0" labelOnly="1" outline="0" axis="axisRow" fieldPosition="0"/>
    </format>
    <format dxfId="65">
      <pivotArea dataOnly="0" labelOnly="1" outline="0" axis="axisValues" fieldPosition="0"/>
    </format>
    <format dxfId="64">
      <pivotArea dataOnly="0" labelOnly="1" outline="0" fieldPosition="0">
        <references count="1">
          <reference field="26" count="0"/>
        </references>
      </pivotArea>
    </format>
    <format dxfId="63">
      <pivotArea type="all" dataOnly="0" outline="0" fieldPosition="0"/>
    </format>
    <format dxfId="62">
      <pivotArea outline="0" collapsedLevelsAreSubtotals="1" fieldPosition="0"/>
    </format>
    <format dxfId="61">
      <pivotArea field="26" type="button" dataOnly="0" labelOnly="1" outline="0" axis="axisRow" fieldPosition="0"/>
    </format>
    <format dxfId="60">
      <pivotArea dataOnly="0" labelOnly="1" outline="0" axis="axisValues" fieldPosition="0"/>
    </format>
    <format dxfId="59">
      <pivotArea dataOnly="0" labelOnly="1" outline="0" fieldPosition="0">
        <references count="1">
          <reference field="26" count="0"/>
        </references>
      </pivotArea>
    </format>
    <format dxfId="58">
      <pivotArea outline="0" fieldPosition="0">
        <references count="1">
          <reference field="26" count="9" selected="0">
            <x v="19"/>
            <x v="20"/>
            <x v="21"/>
            <x v="22"/>
            <x v="23"/>
            <x v="24"/>
            <x v="25"/>
            <x v="26"/>
            <x v="27"/>
          </reference>
        </references>
      </pivotArea>
    </format>
    <format dxfId="57">
      <pivotArea dataOnly="0" labelOnly="1" outline="0" fieldPosition="0">
        <references count="1">
          <reference field="26" count="9">
            <x v="19"/>
            <x v="20"/>
            <x v="21"/>
            <x v="22"/>
            <x v="23"/>
            <x v="24"/>
            <x v="25"/>
            <x v="26"/>
            <x v="27"/>
          </reference>
        </references>
      </pivotArea>
    </format>
    <format dxfId="56">
      <pivotArea outline="0" fieldPosition="0">
        <references count="1">
          <reference field="26" count="1" selected="0">
            <x v="15"/>
          </reference>
        </references>
      </pivotArea>
    </format>
    <format dxfId="55">
      <pivotArea outline="0" fieldPosition="0">
        <references count="1">
          <reference field="26" count="1" selected="0">
            <x v="15"/>
          </reference>
        </references>
      </pivotArea>
    </format>
    <format dxfId="54">
      <pivotArea outline="0" fieldPosition="0">
        <references count="1">
          <reference field="26" count="1" selected="0">
            <x v="15"/>
          </reference>
        </references>
      </pivotArea>
    </format>
    <format dxfId="53">
      <pivotArea dataOnly="0" labelOnly="1" outline="0" fieldPosition="0">
        <references count="1">
          <reference field="26" count="1">
            <x v="15"/>
          </reference>
        </references>
      </pivotArea>
    </format>
    <format dxfId="52">
      <pivotArea field="26" type="button" dataOnly="0" labelOnly="1" outline="0" axis="axisRow" fieldPosition="0"/>
    </format>
    <format dxfId="51">
      <pivotArea dataOnly="0" labelOnly="1" outline="0" axis="axisValues" fieldPosition="0"/>
    </format>
    <format dxfId="50">
      <pivotArea outline="0" fieldPosition="0">
        <references count="1">
          <reference field="26" count="1" selected="0">
            <x v="6"/>
          </reference>
        </references>
      </pivotArea>
    </format>
    <format dxfId="49">
      <pivotArea dataOnly="0" labelOnly="1" outline="0" fieldPosition="0">
        <references count="1">
          <reference field="26" count="1">
            <x v="6"/>
          </reference>
        </references>
      </pivotArea>
    </format>
    <format dxfId="48">
      <pivotArea outline="0" fieldPosition="0">
        <references count="1">
          <reference field="26" count="1" selected="0">
            <x v="3"/>
          </reference>
        </references>
      </pivotArea>
    </format>
    <format dxfId="47">
      <pivotArea outline="0" collapsedLevelsAreSubtotals="1" fieldPosition="0">
        <references count="1">
          <reference field="26" count="1" selected="0">
            <x v="3"/>
          </reference>
        </references>
      </pivotArea>
    </format>
    <format dxfId="46">
      <pivotArea outline="0" fieldPosition="0">
        <references count="1">
          <reference field="26" count="1" selected="0">
            <x v="3"/>
          </reference>
        </references>
      </pivotArea>
    </format>
    <format dxfId="45">
      <pivotArea dataOnly="0" labelOnly="1" outline="0" fieldPosition="0">
        <references count="1">
          <reference field="26" count="1">
            <x v="3"/>
          </reference>
        </references>
      </pivotArea>
    </format>
    <format dxfId="44">
      <pivotArea type="all" dataOnly="0" outline="0" fieldPosition="0"/>
    </format>
    <format dxfId="43">
      <pivotArea outline="0" collapsedLevelsAreSubtotals="1" fieldPosition="0"/>
    </format>
    <format dxfId="42">
      <pivotArea field="26" type="button" dataOnly="0" labelOnly="1" outline="0" axis="axisRow" fieldPosition="0"/>
    </format>
    <format dxfId="41">
      <pivotArea dataOnly="0" labelOnly="1" outline="0" axis="axisValues" fieldPosition="0"/>
    </format>
    <format dxfId="40">
      <pivotArea dataOnly="0" labelOnly="1" outline="0" fieldPosition="0">
        <references count="1">
          <reference field="26" count="0"/>
        </references>
      </pivotArea>
    </format>
    <format dxfId="39">
      <pivotArea outline="0" fieldPosition="0">
        <references count="1">
          <reference field="26" count="11" selected="0">
            <x v="2"/>
            <x v="3"/>
            <x v="4"/>
            <x v="5"/>
            <x v="6"/>
            <x v="7"/>
            <x v="11"/>
            <x v="13"/>
            <x v="15"/>
            <x v="19"/>
            <x v="20"/>
          </reference>
        </references>
      </pivotArea>
    </format>
    <format dxfId="38">
      <pivotArea field="26" type="button" dataOnly="0" labelOnly="1" outline="0" axis="axisRow" fieldPosition="0"/>
    </format>
    <format dxfId="37">
      <pivotArea dataOnly="0" labelOnly="1" outline="0" axis="axisValues" fieldPosition="0"/>
    </format>
    <format dxfId="36">
      <pivotArea dataOnly="0" labelOnly="1" outline="0" fieldPosition="0">
        <references count="1">
          <reference field="26" count="11">
            <x v="2"/>
            <x v="3"/>
            <x v="4"/>
            <x v="5"/>
            <x v="6"/>
            <x v="7"/>
            <x v="11"/>
            <x v="13"/>
            <x v="15"/>
            <x v="19"/>
            <x v="20"/>
          </reference>
        </references>
      </pivotArea>
    </format>
    <format dxfId="35">
      <pivotArea outline="0" fieldPosition="0">
        <references count="1">
          <reference field="26" count="2" selected="0">
            <x v="27"/>
            <x v="28"/>
          </reference>
        </references>
      </pivotArea>
    </format>
    <format dxfId="34">
      <pivotArea dataOnly="0" labelOnly="1" outline="0" fieldPosition="0">
        <references count="1">
          <reference field="26" count="2">
            <x v="27"/>
            <x v="28"/>
          </reference>
        </references>
      </pivotArea>
    </format>
    <format dxfId="33">
      <pivotArea outline="0" fieldPosition="0">
        <references count="1">
          <reference field="26" count="13" selected="0">
            <x v="2"/>
            <x v="3"/>
            <x v="4"/>
            <x v="5"/>
            <x v="6"/>
            <x v="7"/>
            <x v="8"/>
            <x v="11"/>
            <x v="13"/>
            <x v="15"/>
            <x v="17"/>
            <x v="19"/>
            <x v="20"/>
          </reference>
        </references>
      </pivotArea>
    </format>
    <format dxfId="32">
      <pivotArea dataOnly="0" labelOnly="1" outline="0" fieldPosition="0">
        <references count="1">
          <reference field="26" count="13">
            <x v="2"/>
            <x v="3"/>
            <x v="4"/>
            <x v="5"/>
            <x v="6"/>
            <x v="7"/>
            <x v="8"/>
            <x v="11"/>
            <x v="13"/>
            <x v="15"/>
            <x v="17"/>
            <x v="19"/>
            <x v="20"/>
          </reference>
        </references>
      </pivotArea>
    </format>
    <format dxfId="31">
      <pivotArea outline="0" fieldPosition="0">
        <references count="1">
          <reference field="26" count="11" selected="0">
            <x v="2"/>
            <x v="3"/>
            <x v="4"/>
            <x v="5"/>
            <x v="6"/>
            <x v="7"/>
            <x v="8"/>
            <x v="11"/>
            <x v="13"/>
            <x v="15"/>
            <x v="17"/>
          </reference>
        </references>
      </pivotArea>
    </format>
    <format dxfId="30">
      <pivotArea dataOnly="0" labelOnly="1" outline="0" fieldPosition="0">
        <references count="1">
          <reference field="26" count="11">
            <x v="2"/>
            <x v="3"/>
            <x v="4"/>
            <x v="5"/>
            <x v="6"/>
            <x v="7"/>
            <x v="8"/>
            <x v="11"/>
            <x v="13"/>
            <x v="15"/>
            <x v="17"/>
          </reference>
        </references>
      </pivotArea>
    </format>
    <format dxfId="29">
      <pivotArea field="26" type="button" dataOnly="0" labelOnly="1" outline="0" axis="axisRow" fieldPosition="0"/>
    </format>
    <format dxfId="28">
      <pivotArea dataOnly="0" labelOnly="1" outline="0" axis="axisValues" fieldPosition="0"/>
    </format>
    <format dxfId="27">
      <pivotArea outline="0" fieldPosition="0">
        <references count="1">
          <reference field="26" count="11" selected="0">
            <x v="2"/>
            <x v="3"/>
            <x v="4"/>
            <x v="5"/>
            <x v="6"/>
            <x v="7"/>
            <x v="8"/>
            <x v="11"/>
            <x v="13"/>
            <x v="15"/>
            <x v="17"/>
          </reference>
        </references>
      </pivotArea>
    </format>
    <format dxfId="26">
      <pivotArea field="26" type="button" dataOnly="0" labelOnly="1" outline="0" axis="axisRow" fieldPosition="0"/>
    </format>
    <format dxfId="25">
      <pivotArea dataOnly="0" labelOnly="1" outline="0" axis="axisValues" fieldPosition="0"/>
    </format>
    <format dxfId="24">
      <pivotArea dataOnly="0" labelOnly="1" outline="0" fieldPosition="0">
        <references count="1">
          <reference field="26" count="11">
            <x v="2"/>
            <x v="3"/>
            <x v="4"/>
            <x v="5"/>
            <x v="6"/>
            <x v="7"/>
            <x v="8"/>
            <x v="11"/>
            <x v="13"/>
            <x v="15"/>
            <x v="17"/>
          </reference>
        </references>
      </pivotArea>
    </format>
    <format dxfId="23">
      <pivotArea outline="0" fieldPosition="0">
        <references count="1">
          <reference field="26" count="10" selected="0">
            <x v="19"/>
            <x v="20"/>
            <x v="21"/>
            <x v="22"/>
            <x v="23"/>
            <x v="24"/>
            <x v="25"/>
            <x v="26"/>
            <x v="27"/>
            <x v="28"/>
          </reference>
        </references>
      </pivotArea>
    </format>
    <format dxfId="22">
      <pivotArea dataOnly="0" labelOnly="1" outline="0" fieldPosition="0">
        <references count="1">
          <reference field="26" count="10">
            <x v="19"/>
            <x v="20"/>
            <x v="21"/>
            <x v="22"/>
            <x v="23"/>
            <x v="24"/>
            <x v="25"/>
            <x v="26"/>
            <x v="27"/>
            <x v="28"/>
          </reference>
        </references>
      </pivotArea>
    </format>
    <format dxfId="21">
      <pivotArea type="all" dataOnly="0" outline="0" fieldPosition="0"/>
    </format>
    <format dxfId="20">
      <pivotArea outline="0" collapsedLevelsAreSubtotals="1" fieldPosition="0"/>
    </format>
    <format dxfId="19">
      <pivotArea dataOnly="0" labelOnly="1" outline="0" axis="axisValues" fieldPosition="0"/>
    </format>
    <format dxfId="18">
      <pivotArea outline="0" collapsedLevelsAreSubtotals="1" fieldPosition="0"/>
    </format>
    <format dxfId="17">
      <pivotArea dataOnly="0" labelOnly="1" outline="0" axis="axisValues" fieldPosition="0"/>
    </format>
    <format dxfId="16">
      <pivotArea outline="0" collapsedLevelsAreSubtotals="1" fieldPosition="0"/>
    </format>
    <format dxfId="15">
      <pivotArea dataOnly="0" labelOnly="1" outline="0" axis="axisValues" fieldPosition="0"/>
    </format>
    <format dxfId="14">
      <pivotArea outline="0" collapsedLevelsAreSubtotals="1" fieldPosition="0"/>
    </format>
    <format dxfId="13">
      <pivotArea dataOnly="0" labelOnly="1" outline="0" axis="axisValues" fieldPosition="0"/>
    </format>
    <format dxfId="12">
      <pivotArea outline="0" collapsedLevelsAreSubtotals="1"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field="26" type="button" dataOnly="0" labelOnly="1" outline="0" axis="axisRow" fieldPosition="0"/>
    </format>
    <format dxfId="7">
      <pivotArea dataOnly="0" labelOnly="1" outline="0" axis="axisValues" fieldPosition="0"/>
    </format>
    <format dxfId="6">
      <pivotArea dataOnly="0" labelOnly="1" outline="0" fieldPosition="0">
        <references count="1">
          <reference field="26" count="0"/>
        </references>
      </pivotArea>
    </format>
    <format dxfId="5">
      <pivotArea field="26" type="button" dataOnly="0" labelOnly="1" outline="0" axis="axisRow" fieldPosition="0"/>
    </format>
    <format dxfId="4">
      <pivotArea dataOnly="0" labelOnly="1" outline="0" axis="axisValues" fieldPosition="0"/>
    </format>
    <format dxfId="3">
      <pivotArea dataOnly="0" labelOnly="1" outline="0" fieldPosition="0">
        <references count="1">
          <reference field="26" count="0"/>
        </references>
      </pivotArea>
    </format>
    <format dxfId="2">
      <pivotArea dataOnly="0" labelOnly="1" outline="0" fieldPosition="0">
        <references count="1">
          <reference field="26" count="0"/>
        </references>
      </pivotArea>
    </format>
    <format dxfId="1">
      <pivotArea dataOnly="0" labelOnly="1" outline="0" axis="axisValues" fieldPosition="0"/>
    </format>
    <format dxfId="0">
      <pivotArea dataOnly="0" labelOnly="1" outline="0" axis="axisValues" fieldPosition="0"/>
    </format>
  </formats>
  <chartFormats count="51">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6" count="1" selected="0">
            <x v="3"/>
          </reference>
        </references>
      </pivotArea>
    </chartFormat>
    <chartFormat chart="0" format="2">
      <pivotArea type="data" outline="0" fieldPosition="0">
        <references count="2">
          <reference field="4294967294" count="1" selected="0">
            <x v="0"/>
          </reference>
          <reference field="26" count="1" selected="0">
            <x v="4"/>
          </reference>
        </references>
      </pivotArea>
    </chartFormat>
    <chartFormat chart="0" format="3">
      <pivotArea type="data" outline="0" fieldPosition="0">
        <references count="2">
          <reference field="4294967294" count="1" selected="0">
            <x v="0"/>
          </reference>
          <reference field="26" count="1" selected="0">
            <x v="11"/>
          </reference>
        </references>
      </pivotArea>
    </chartFormat>
    <chartFormat chart="0" format="4">
      <pivotArea type="data" outline="0" fieldPosition="0">
        <references count="2">
          <reference field="4294967294" count="1" selected="0">
            <x v="0"/>
          </reference>
          <reference field="26" count="1" selected="0">
            <x v="12"/>
          </reference>
        </references>
      </pivotArea>
    </chartFormat>
    <chartFormat chart="0" format="5">
      <pivotArea type="data" outline="0" fieldPosition="0">
        <references count="2">
          <reference field="4294967294" count="1" selected="0">
            <x v="0"/>
          </reference>
          <reference field="26" count="1" selected="0">
            <x v="13"/>
          </reference>
        </references>
      </pivotArea>
    </chartFormat>
    <chartFormat chart="0" format="6">
      <pivotArea type="data" outline="0" fieldPosition="0">
        <references count="2">
          <reference field="4294967294" count="1" selected="0">
            <x v="0"/>
          </reference>
          <reference field="26" count="1" selected="0">
            <x v="6"/>
          </reference>
        </references>
      </pivotArea>
    </chartFormat>
    <chartFormat chart="18" format="27" series="1">
      <pivotArea type="data" outline="0" fieldPosition="0">
        <references count="1">
          <reference field="4294967294" count="1" selected="0">
            <x v="0"/>
          </reference>
        </references>
      </pivotArea>
    </chartFormat>
    <chartFormat chart="18" format="28">
      <pivotArea type="data" outline="0" fieldPosition="0">
        <references count="2">
          <reference field="4294967294" count="1" selected="0">
            <x v="0"/>
          </reference>
          <reference field="26" count="1" selected="0">
            <x v="2"/>
          </reference>
        </references>
      </pivotArea>
    </chartFormat>
    <chartFormat chart="18" format="29">
      <pivotArea type="data" outline="0" fieldPosition="0">
        <references count="2">
          <reference field="4294967294" count="1" selected="0">
            <x v="0"/>
          </reference>
          <reference field="26" count="1" selected="0">
            <x v="3"/>
          </reference>
        </references>
      </pivotArea>
    </chartFormat>
    <chartFormat chart="18" format="30">
      <pivotArea type="data" outline="0" fieldPosition="0">
        <references count="2">
          <reference field="4294967294" count="1" selected="0">
            <x v="0"/>
          </reference>
          <reference field="26" count="1" selected="0">
            <x v="4"/>
          </reference>
        </references>
      </pivotArea>
    </chartFormat>
    <chartFormat chart="18" format="31">
      <pivotArea type="data" outline="0" fieldPosition="0">
        <references count="2">
          <reference field="4294967294" count="1" selected="0">
            <x v="0"/>
          </reference>
          <reference field="26" count="1" selected="0">
            <x v="5"/>
          </reference>
        </references>
      </pivotArea>
    </chartFormat>
    <chartFormat chart="18" format="32">
      <pivotArea type="data" outline="0" fieldPosition="0">
        <references count="2">
          <reference field="4294967294" count="1" selected="0">
            <x v="0"/>
          </reference>
          <reference field="26" count="1" selected="0">
            <x v="6"/>
          </reference>
        </references>
      </pivotArea>
    </chartFormat>
    <chartFormat chart="18" format="33">
      <pivotArea type="data" outline="0" fieldPosition="0">
        <references count="2">
          <reference field="4294967294" count="1" selected="0">
            <x v="0"/>
          </reference>
          <reference field="26" count="1" selected="0">
            <x v="7"/>
          </reference>
        </references>
      </pivotArea>
    </chartFormat>
    <chartFormat chart="18" format="34">
      <pivotArea type="data" outline="0" fieldPosition="0">
        <references count="2">
          <reference field="4294967294" count="1" selected="0">
            <x v="0"/>
          </reference>
          <reference field="26" count="1" selected="0">
            <x v="8"/>
          </reference>
        </references>
      </pivotArea>
    </chartFormat>
    <chartFormat chart="18" format="35">
      <pivotArea type="data" outline="0" fieldPosition="0">
        <references count="2">
          <reference field="4294967294" count="1" selected="0">
            <x v="0"/>
          </reference>
          <reference field="26" count="1" selected="0">
            <x v="11"/>
          </reference>
        </references>
      </pivotArea>
    </chartFormat>
    <chartFormat chart="18" format="36">
      <pivotArea type="data" outline="0" fieldPosition="0">
        <references count="2">
          <reference field="4294967294" count="1" selected="0">
            <x v="0"/>
          </reference>
          <reference field="26" count="1" selected="0">
            <x v="13"/>
          </reference>
        </references>
      </pivotArea>
    </chartFormat>
    <chartFormat chart="18" format="37">
      <pivotArea type="data" outline="0" fieldPosition="0">
        <references count="2">
          <reference field="4294967294" count="1" selected="0">
            <x v="0"/>
          </reference>
          <reference field="26" count="1" selected="0">
            <x v="15"/>
          </reference>
        </references>
      </pivotArea>
    </chartFormat>
    <chartFormat chart="18" format="38">
      <pivotArea type="data" outline="0" fieldPosition="0">
        <references count="2">
          <reference field="4294967294" count="1" selected="0">
            <x v="0"/>
          </reference>
          <reference field="26" count="1" selected="0">
            <x v="19"/>
          </reference>
        </references>
      </pivotArea>
    </chartFormat>
    <chartFormat chart="18" format="39">
      <pivotArea type="data" outline="0" fieldPosition="0">
        <references count="2">
          <reference field="4294967294" count="1" selected="0">
            <x v="0"/>
          </reference>
          <reference field="26" count="1" selected="0">
            <x v="20"/>
          </reference>
        </references>
      </pivotArea>
    </chartFormat>
    <chartFormat chart="18" format="40">
      <pivotArea type="data" outline="0" fieldPosition="0">
        <references count="2">
          <reference field="4294967294" count="1" selected="0">
            <x v="0"/>
          </reference>
          <reference field="26" count="1" selected="0">
            <x v="21"/>
          </reference>
        </references>
      </pivotArea>
    </chartFormat>
    <chartFormat chart="18" format="41">
      <pivotArea type="data" outline="0" fieldPosition="0">
        <references count="2">
          <reference field="4294967294" count="1" selected="0">
            <x v="0"/>
          </reference>
          <reference field="26" count="1" selected="0">
            <x v="22"/>
          </reference>
        </references>
      </pivotArea>
    </chartFormat>
    <chartFormat chart="18" format="42">
      <pivotArea type="data" outline="0" fieldPosition="0">
        <references count="2">
          <reference field="4294967294" count="1" selected="0">
            <x v="0"/>
          </reference>
          <reference field="26" count="1" selected="0">
            <x v="23"/>
          </reference>
        </references>
      </pivotArea>
    </chartFormat>
    <chartFormat chart="18" format="43">
      <pivotArea type="data" outline="0" fieldPosition="0">
        <references count="2">
          <reference field="4294967294" count="1" selected="0">
            <x v="0"/>
          </reference>
          <reference field="26" count="1" selected="0">
            <x v="24"/>
          </reference>
        </references>
      </pivotArea>
    </chartFormat>
    <chartFormat chart="18" format="44">
      <pivotArea type="data" outline="0" fieldPosition="0">
        <references count="2">
          <reference field="4294967294" count="1" selected="0">
            <x v="0"/>
          </reference>
          <reference field="26" count="1" selected="0">
            <x v="25"/>
          </reference>
        </references>
      </pivotArea>
    </chartFormat>
    <chartFormat chart="18" format="45">
      <pivotArea type="data" outline="0" fieldPosition="0">
        <references count="2">
          <reference field="4294967294" count="1" selected="0">
            <x v="0"/>
          </reference>
          <reference field="26" count="1" selected="0">
            <x v="26"/>
          </reference>
        </references>
      </pivotArea>
    </chartFormat>
    <chartFormat chart="18" format="46">
      <pivotArea type="data" outline="0" fieldPosition="0">
        <references count="2">
          <reference field="4294967294" count="1" selected="0">
            <x v="0"/>
          </reference>
          <reference field="26" count="1" selected="0">
            <x v="27"/>
          </reference>
        </references>
      </pivotArea>
    </chartFormat>
    <chartFormat chart="18" format="47">
      <pivotArea type="data" outline="0" fieldPosition="0">
        <references count="2">
          <reference field="4294967294" count="1" selected="0">
            <x v="0"/>
          </reference>
          <reference field="26" count="1" selected="0">
            <x v="17"/>
          </reference>
        </references>
      </pivotArea>
    </chartFormat>
    <chartFormat chart="18" format="48">
      <pivotArea type="data" outline="0" fieldPosition="0">
        <references count="2">
          <reference field="4294967294" count="1" selected="0">
            <x v="0"/>
          </reference>
          <reference field="26" count="1" selected="0">
            <x v="28"/>
          </reference>
        </references>
      </pivotArea>
    </chartFormat>
    <chartFormat chart="0" format="7">
      <pivotArea type="data" outline="0" fieldPosition="0">
        <references count="2">
          <reference field="4294967294" count="1" selected="0">
            <x v="0"/>
          </reference>
          <reference field="26" count="1" selected="0">
            <x v="5"/>
          </reference>
        </references>
      </pivotArea>
    </chartFormat>
    <chartFormat chart="0" format="8">
      <pivotArea type="data" outline="0" fieldPosition="0">
        <references count="2">
          <reference field="4294967294" count="1" selected="0">
            <x v="0"/>
          </reference>
          <reference field="26" count="1" selected="0">
            <x v="7"/>
          </reference>
        </references>
      </pivotArea>
    </chartFormat>
    <chartFormat chart="0" format="9">
      <pivotArea type="data" outline="0" fieldPosition="0">
        <references count="2">
          <reference field="4294967294" count="1" selected="0">
            <x v="0"/>
          </reference>
          <reference field="26" count="1" selected="0">
            <x v="8"/>
          </reference>
        </references>
      </pivotArea>
    </chartFormat>
    <chartFormat chart="0" format="10">
      <pivotArea type="data" outline="0" fieldPosition="0">
        <references count="2">
          <reference field="4294967294" count="1" selected="0">
            <x v="0"/>
          </reference>
          <reference field="26" count="1" selected="0">
            <x v="15"/>
          </reference>
        </references>
      </pivotArea>
    </chartFormat>
    <chartFormat chart="0" format="11">
      <pivotArea type="data" outline="0" fieldPosition="0">
        <references count="2">
          <reference field="4294967294" count="1" selected="0">
            <x v="0"/>
          </reference>
          <reference field="26" count="1" selected="0">
            <x v="17"/>
          </reference>
        </references>
      </pivotArea>
    </chartFormat>
    <chartFormat chart="0" format="12">
      <pivotArea type="data" outline="0" fieldPosition="0">
        <references count="2">
          <reference field="4294967294" count="1" selected="0">
            <x v="0"/>
          </reference>
          <reference field="26" count="1" selected="0">
            <x v="19"/>
          </reference>
        </references>
      </pivotArea>
    </chartFormat>
    <chartFormat chart="0" format="13">
      <pivotArea type="data" outline="0" fieldPosition="0">
        <references count="2">
          <reference field="4294967294" count="1" selected="0">
            <x v="0"/>
          </reference>
          <reference field="26" count="1" selected="0">
            <x v="20"/>
          </reference>
        </references>
      </pivotArea>
    </chartFormat>
    <chartFormat chart="0" format="14">
      <pivotArea type="data" outline="0" fieldPosition="0">
        <references count="2">
          <reference field="4294967294" count="1" selected="0">
            <x v="0"/>
          </reference>
          <reference field="26" count="1" selected="0">
            <x v="21"/>
          </reference>
        </references>
      </pivotArea>
    </chartFormat>
    <chartFormat chart="0" format="15">
      <pivotArea type="data" outline="0" fieldPosition="0">
        <references count="2">
          <reference field="4294967294" count="1" selected="0">
            <x v="0"/>
          </reference>
          <reference field="26" count="1" selected="0">
            <x v="22"/>
          </reference>
        </references>
      </pivotArea>
    </chartFormat>
    <chartFormat chart="0" format="16">
      <pivotArea type="data" outline="0" fieldPosition="0">
        <references count="2">
          <reference field="4294967294" count="1" selected="0">
            <x v="0"/>
          </reference>
          <reference field="26" count="1" selected="0">
            <x v="23"/>
          </reference>
        </references>
      </pivotArea>
    </chartFormat>
    <chartFormat chart="0" format="17">
      <pivotArea type="data" outline="0" fieldPosition="0">
        <references count="2">
          <reference field="4294967294" count="1" selected="0">
            <x v="0"/>
          </reference>
          <reference field="26" count="1" selected="0">
            <x v="26"/>
          </reference>
        </references>
      </pivotArea>
    </chartFormat>
    <chartFormat chart="0" format="18">
      <pivotArea type="data" outline="0" fieldPosition="0">
        <references count="2">
          <reference field="4294967294" count="1" selected="0">
            <x v="0"/>
          </reference>
          <reference field="26" count="1" selected="0">
            <x v="25"/>
          </reference>
        </references>
      </pivotArea>
    </chartFormat>
    <chartFormat chart="0" format="19">
      <pivotArea type="data" outline="0" fieldPosition="0">
        <references count="2">
          <reference field="4294967294" count="1" selected="0">
            <x v="0"/>
          </reference>
          <reference field="26" count="1" selected="0">
            <x v="24"/>
          </reference>
        </references>
      </pivotArea>
    </chartFormat>
    <chartFormat chart="0" format="20">
      <pivotArea type="data" outline="0" fieldPosition="0">
        <references count="2">
          <reference field="4294967294" count="1" selected="0">
            <x v="0"/>
          </reference>
          <reference field="26" count="1" selected="0">
            <x v="2"/>
          </reference>
        </references>
      </pivotArea>
    </chartFormat>
    <chartFormat chart="0" format="21">
      <pivotArea type="data" outline="0" fieldPosition="0">
        <references count="2">
          <reference field="4294967294" count="1" selected="0">
            <x v="0"/>
          </reference>
          <reference field="26" count="1" selected="0">
            <x v="27"/>
          </reference>
        </references>
      </pivotArea>
    </chartFormat>
    <chartFormat chart="0" format="22">
      <pivotArea type="data" outline="0" fieldPosition="0">
        <references count="2">
          <reference field="4294967294" count="1" selected="0">
            <x v="0"/>
          </reference>
          <reference field="26" count="1" selected="0">
            <x v="28"/>
          </reference>
        </references>
      </pivotArea>
    </chartFormat>
    <chartFormat chart="0" format="23">
      <pivotArea type="data" outline="0" fieldPosition="0">
        <references count="2">
          <reference field="4294967294" count="1" selected="0">
            <x v="0"/>
          </reference>
          <reference field="26" count="1" selected="0">
            <x v="30"/>
          </reference>
        </references>
      </pivotArea>
    </chartFormat>
    <chartFormat chart="18" format="49">
      <pivotArea type="data" outline="0" fieldPosition="0">
        <references count="2">
          <reference field="4294967294" count="1" selected="0">
            <x v="0"/>
          </reference>
          <reference field="26" count="1" selected="0">
            <x v="30"/>
          </reference>
        </references>
      </pivotArea>
    </chartFormat>
    <chartFormat chart="0" format="24">
      <pivotArea type="data" outline="0" fieldPosition="0">
        <references count="2">
          <reference field="4294967294" count="1" selected="0">
            <x v="0"/>
          </reference>
          <reference field="26" count="1" selected="0">
            <x v="31"/>
          </reference>
        </references>
      </pivotArea>
    </chartFormat>
    <chartFormat chart="18" format="50">
      <pivotArea type="data" outline="0" fieldPosition="0">
        <references count="2">
          <reference field="4294967294" count="1" selected="0">
            <x v="0"/>
          </reference>
          <reference field="26" count="1" selected="0">
            <x v="31"/>
          </reference>
        </references>
      </pivotArea>
    </chartFormat>
    <chartFormat chart="0" format="27">
      <pivotArea type="data" outline="0" fieldPosition="0">
        <references count="2">
          <reference field="4294967294" count="1" selected="0">
            <x v="0"/>
          </reference>
          <reference field="26" count="1" selected="0">
            <x v="32"/>
          </reference>
        </references>
      </pivotArea>
    </chartFormat>
    <chartFormat chart="18" format="53">
      <pivotArea type="data" outline="0" fieldPosition="0">
        <references count="2">
          <reference field="4294967294" count="1" selected="0">
            <x v="0"/>
          </reference>
          <reference field="26" count="1" selected="0">
            <x v="3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K41"/>
  <sheetViews>
    <sheetView tabSelected="1" topLeftCell="A20" zoomScale="80" zoomScaleNormal="80" workbookViewId="0">
      <selection activeCell="H41" sqref="H41"/>
    </sheetView>
  </sheetViews>
  <sheetFormatPr defaultRowHeight="15.5" x14ac:dyDescent="0.35"/>
  <cols>
    <col min="1" max="1" width="6.453125" customWidth="1"/>
    <col min="2" max="2" width="0.81640625" style="2" customWidth="1"/>
    <col min="3" max="3" width="12.54296875" style="4" hidden="1" customWidth="1"/>
    <col min="4" max="4" width="20.1796875" style="4" customWidth="1"/>
    <col min="5" max="5" width="15.81640625" style="4" customWidth="1"/>
    <col min="6" max="6" width="16.1796875" customWidth="1"/>
    <col min="7" max="7" width="20.453125" customWidth="1"/>
    <col min="8" max="8" width="25.453125" customWidth="1"/>
    <col min="9" max="9" width="44.90625" customWidth="1"/>
    <col min="10" max="10" width="18.453125" customWidth="1"/>
    <col min="11" max="11" width="17" customWidth="1"/>
    <col min="12" max="12" width="13.81640625" customWidth="1"/>
    <col min="13" max="13" width="15.1796875" customWidth="1"/>
    <col min="14" max="14" width="15.54296875" customWidth="1"/>
    <col min="15" max="15" width="11.453125" bestFit="1" customWidth="1"/>
    <col min="16" max="17" width="12.81640625" customWidth="1"/>
    <col min="18" max="18" width="13.453125" customWidth="1"/>
    <col min="19" max="19" width="13.1796875" customWidth="1"/>
    <col min="20" max="20" width="11.81640625" bestFit="1" customWidth="1"/>
    <col min="21" max="21" width="11.54296875" customWidth="1"/>
    <col min="22" max="22" width="13.1796875" bestFit="1" customWidth="1"/>
    <col min="23" max="23" width="11.81640625" bestFit="1" customWidth="1"/>
  </cols>
  <sheetData>
    <row r="1" spans="1:37" ht="8.25" customHeight="1" x14ac:dyDescent="0.35"/>
    <row r="2" spans="1:37" s="3" customFormat="1" ht="42.5" hidden="1" thickBot="1" x14ac:dyDescent="0.3">
      <c r="A2" s="9"/>
      <c r="B2" s="14" t="s">
        <v>23</v>
      </c>
      <c r="C2" s="133" t="s">
        <v>138</v>
      </c>
      <c r="D2" s="133"/>
      <c r="E2" s="133"/>
      <c r="F2" s="128"/>
      <c r="G2" s="128"/>
      <c r="H2" s="129"/>
      <c r="I2" s="129"/>
      <c r="J2" s="363"/>
      <c r="K2" s="160"/>
      <c r="L2" s="148"/>
      <c r="M2" s="148"/>
      <c r="N2" s="149"/>
      <c r="O2" s="148"/>
      <c r="P2" s="148"/>
      <c r="Q2" s="149"/>
      <c r="R2" s="148"/>
      <c r="S2" s="148"/>
      <c r="T2" s="149"/>
      <c r="U2" s="148"/>
      <c r="V2" s="148"/>
      <c r="W2" s="149"/>
      <c r="X2" s="149"/>
      <c r="Y2" s="148"/>
      <c r="Z2" s="149"/>
      <c r="AA2" s="149"/>
      <c r="AB2" s="148"/>
      <c r="AC2" s="149"/>
      <c r="AD2" s="149"/>
      <c r="AE2" s="148"/>
      <c r="AF2" s="149"/>
      <c r="AG2" s="149"/>
      <c r="AH2" s="148"/>
      <c r="AI2" s="149"/>
      <c r="AJ2" s="149"/>
      <c r="AK2" s="148"/>
    </row>
    <row r="3" spans="1:37" s="1" customFormat="1" ht="16" hidden="1" thickBot="1" x14ac:dyDescent="0.35">
      <c r="A3" s="8" t="s">
        <v>2</v>
      </c>
      <c r="B3" s="16" t="s">
        <v>27</v>
      </c>
      <c r="C3" s="15">
        <v>27</v>
      </c>
      <c r="D3" s="146"/>
      <c r="E3" s="139"/>
      <c r="F3" s="138"/>
      <c r="G3" s="131"/>
      <c r="H3" s="132"/>
      <c r="I3" s="132"/>
      <c r="J3" s="364"/>
      <c r="K3" s="161"/>
      <c r="L3" s="151"/>
      <c r="M3" s="151"/>
      <c r="N3" s="152"/>
      <c r="O3" s="151"/>
      <c r="P3" s="151"/>
      <c r="Q3" s="153"/>
      <c r="R3" s="151"/>
      <c r="S3" s="151"/>
      <c r="T3" s="154"/>
      <c r="U3" s="151"/>
      <c r="V3" s="155"/>
      <c r="W3" s="154"/>
      <c r="X3" s="151"/>
      <c r="Y3" s="151"/>
      <c r="Z3" s="154"/>
      <c r="AA3" s="151"/>
      <c r="AB3" s="151"/>
      <c r="AC3" s="154"/>
      <c r="AD3" s="151"/>
      <c r="AE3" s="151"/>
      <c r="AF3" s="154"/>
      <c r="AG3" s="151"/>
      <c r="AH3" s="151"/>
      <c r="AI3" s="156"/>
      <c r="AJ3" s="151"/>
      <c r="AK3" s="157"/>
    </row>
    <row r="4" spans="1:37" s="1" customFormat="1" ht="16" hidden="1" thickBot="1" x14ac:dyDescent="0.35">
      <c r="A4" s="7" t="s">
        <v>3</v>
      </c>
      <c r="B4" s="17" t="s">
        <v>15</v>
      </c>
      <c r="C4" s="11">
        <v>26</v>
      </c>
      <c r="D4" s="147"/>
      <c r="E4" s="140"/>
      <c r="F4" s="138"/>
      <c r="G4" s="131"/>
      <c r="H4" s="135"/>
      <c r="I4" s="134"/>
      <c r="J4" s="365"/>
      <c r="K4" s="162"/>
      <c r="L4" s="158"/>
      <c r="M4" s="158"/>
      <c r="N4" s="152"/>
      <c r="O4" s="151"/>
      <c r="P4" s="151"/>
      <c r="Q4" s="152"/>
      <c r="R4" s="151"/>
      <c r="S4" s="151"/>
      <c r="T4" s="159"/>
      <c r="U4" s="155"/>
      <c r="V4" s="155"/>
      <c r="W4" s="156"/>
      <c r="X4" s="151"/>
      <c r="Y4" s="151"/>
      <c r="Z4" s="156"/>
      <c r="AA4" s="151"/>
      <c r="AB4" s="151"/>
      <c r="AC4" s="156"/>
      <c r="AD4" s="151"/>
      <c r="AE4" s="151"/>
      <c r="AF4" s="156"/>
      <c r="AG4" s="151"/>
      <c r="AH4" s="151"/>
      <c r="AI4" s="156"/>
      <c r="AJ4" s="151"/>
      <c r="AK4" s="157"/>
    </row>
    <row r="5" spans="1:37" s="1" customFormat="1" ht="16" hidden="1" thickBot="1" x14ac:dyDescent="0.35">
      <c r="A5" s="7" t="s">
        <v>4</v>
      </c>
      <c r="B5" s="17" t="s">
        <v>22</v>
      </c>
      <c r="C5" s="11">
        <v>23</v>
      </c>
      <c r="D5" s="147"/>
      <c r="E5" s="140"/>
      <c r="F5" s="138"/>
      <c r="G5" s="131"/>
      <c r="H5" s="135"/>
      <c r="I5" s="134"/>
      <c r="J5" s="365"/>
      <c r="K5" s="161"/>
      <c r="L5" s="158"/>
      <c r="M5" s="158"/>
      <c r="N5" s="150"/>
      <c r="O5" s="151"/>
      <c r="P5" s="151"/>
      <c r="Q5" s="152"/>
      <c r="R5" s="151"/>
      <c r="S5" s="151"/>
      <c r="T5" s="153"/>
      <c r="U5" s="151"/>
      <c r="V5" s="155"/>
      <c r="W5" s="154"/>
      <c r="X5" s="151"/>
      <c r="Y5" s="151"/>
      <c r="Z5" s="154"/>
      <c r="AA5" s="151"/>
      <c r="AB5" s="151"/>
      <c r="AC5" s="154"/>
      <c r="AD5" s="151"/>
      <c r="AE5" s="151"/>
      <c r="AF5" s="154"/>
      <c r="AG5" s="151"/>
      <c r="AH5" s="151"/>
      <c r="AI5" s="154"/>
      <c r="AJ5" s="151"/>
      <c r="AK5" s="157"/>
    </row>
    <row r="6" spans="1:37" s="1" customFormat="1" ht="16" hidden="1" thickBot="1" x14ac:dyDescent="0.35">
      <c r="A6" s="7" t="s">
        <v>5</v>
      </c>
      <c r="B6" s="17" t="s">
        <v>14</v>
      </c>
      <c r="C6" s="11">
        <v>21</v>
      </c>
      <c r="D6" s="147"/>
      <c r="E6" s="140"/>
      <c r="F6" s="138"/>
      <c r="G6" s="131"/>
      <c r="H6" s="135"/>
      <c r="I6" s="132"/>
      <c r="J6" s="364"/>
      <c r="K6" s="161"/>
      <c r="L6" s="158"/>
      <c r="M6" s="158"/>
      <c r="N6" s="152"/>
      <c r="O6" s="151"/>
      <c r="P6" s="151"/>
      <c r="Q6" s="152"/>
      <c r="R6" s="151"/>
      <c r="S6" s="151"/>
      <c r="T6" s="152"/>
      <c r="U6" s="151"/>
      <c r="V6" s="155"/>
      <c r="W6" s="156"/>
      <c r="X6" s="151"/>
      <c r="Y6" s="151"/>
      <c r="Z6" s="156"/>
      <c r="AA6" s="151"/>
      <c r="AB6" s="151"/>
      <c r="AC6" s="156"/>
      <c r="AD6" s="151"/>
      <c r="AE6" s="151"/>
      <c r="AF6" s="156"/>
      <c r="AG6" s="151"/>
      <c r="AH6" s="151"/>
      <c r="AI6" s="156"/>
      <c r="AJ6" s="151"/>
      <c r="AK6" s="157"/>
    </row>
    <row r="7" spans="1:37" s="1" customFormat="1" ht="16" hidden="1" thickBot="1" x14ac:dyDescent="0.35">
      <c r="A7" s="7" t="s">
        <v>6</v>
      </c>
      <c r="B7" s="17" t="s">
        <v>0</v>
      </c>
      <c r="C7" s="11">
        <v>13</v>
      </c>
      <c r="D7" s="147"/>
      <c r="E7" s="140"/>
      <c r="F7" s="138"/>
      <c r="G7" s="131"/>
      <c r="H7" s="135"/>
      <c r="I7" s="132"/>
      <c r="J7" s="364"/>
      <c r="K7" s="161"/>
      <c r="L7" s="158"/>
      <c r="M7" s="158"/>
      <c r="N7" s="150"/>
      <c r="O7" s="151"/>
      <c r="P7" s="151"/>
      <c r="Q7" s="152"/>
      <c r="R7" s="151"/>
      <c r="S7" s="151"/>
      <c r="T7" s="153"/>
      <c r="U7" s="151"/>
      <c r="V7" s="155"/>
      <c r="W7" s="154"/>
      <c r="X7" s="151"/>
      <c r="Y7" s="151"/>
      <c r="Z7" s="154"/>
      <c r="AA7" s="151"/>
      <c r="AB7" s="151"/>
      <c r="AC7" s="154"/>
      <c r="AD7" s="151"/>
      <c r="AE7" s="151"/>
      <c r="AF7" s="154"/>
      <c r="AG7" s="151"/>
      <c r="AH7" s="151"/>
      <c r="AI7" s="154"/>
      <c r="AJ7" s="151"/>
      <c r="AK7" s="157"/>
    </row>
    <row r="8" spans="1:37" s="1" customFormat="1" ht="16" hidden="1" thickBot="1" x14ac:dyDescent="0.35">
      <c r="A8" s="7" t="s">
        <v>7</v>
      </c>
      <c r="B8" s="17" t="s">
        <v>25</v>
      </c>
      <c r="C8" s="11">
        <v>10</v>
      </c>
      <c r="D8" s="147"/>
      <c r="E8" s="140"/>
      <c r="F8" s="138"/>
      <c r="G8" s="131"/>
      <c r="H8" s="135"/>
      <c r="I8" s="132"/>
      <c r="J8" s="364"/>
      <c r="K8" s="162"/>
      <c r="L8" s="158"/>
      <c r="M8" s="158"/>
      <c r="N8" s="152"/>
      <c r="O8" s="151"/>
      <c r="P8" s="151"/>
      <c r="Q8" s="152"/>
      <c r="R8" s="151"/>
      <c r="S8" s="151"/>
      <c r="T8" s="153"/>
      <c r="U8" s="151"/>
      <c r="V8" s="155"/>
      <c r="W8" s="154"/>
      <c r="X8" s="151"/>
      <c r="Y8" s="151"/>
      <c r="Z8" s="154"/>
      <c r="AA8" s="151"/>
      <c r="AB8" s="151"/>
      <c r="AC8" s="154"/>
      <c r="AD8" s="151"/>
      <c r="AE8" s="151"/>
      <c r="AF8" s="154"/>
      <c r="AG8" s="151"/>
      <c r="AH8" s="151"/>
      <c r="AI8" s="154"/>
      <c r="AJ8" s="151"/>
      <c r="AK8" s="157"/>
    </row>
    <row r="9" spans="1:37" s="1" customFormat="1" ht="16" hidden="1" thickBot="1" x14ac:dyDescent="0.35">
      <c r="A9" s="7" t="s">
        <v>8</v>
      </c>
      <c r="B9" s="17" t="s">
        <v>24</v>
      </c>
      <c r="C9" s="11">
        <v>8</v>
      </c>
      <c r="D9" s="147"/>
      <c r="E9" s="140"/>
      <c r="F9" s="138"/>
      <c r="G9" s="131"/>
      <c r="H9" s="135"/>
      <c r="I9" s="132"/>
      <c r="J9" s="364"/>
      <c r="K9" s="161"/>
      <c r="L9" s="158"/>
      <c r="M9" s="158"/>
      <c r="N9" s="152"/>
      <c r="O9" s="151"/>
      <c r="P9" s="151"/>
      <c r="Q9" s="152"/>
      <c r="R9" s="151"/>
      <c r="S9" s="151"/>
      <c r="T9" s="153"/>
      <c r="U9" s="151"/>
      <c r="V9" s="155"/>
      <c r="W9" s="154"/>
      <c r="X9" s="151"/>
      <c r="Y9" s="151"/>
      <c r="Z9" s="154"/>
      <c r="AA9" s="151"/>
      <c r="AB9" s="151"/>
      <c r="AC9" s="154"/>
      <c r="AD9" s="151"/>
      <c r="AE9" s="151"/>
      <c r="AF9" s="154"/>
      <c r="AG9" s="151"/>
      <c r="AH9" s="151"/>
      <c r="AI9" s="154"/>
      <c r="AJ9" s="151"/>
      <c r="AK9" s="157"/>
    </row>
    <row r="10" spans="1:37" s="1" customFormat="1" ht="16" hidden="1" thickBot="1" x14ac:dyDescent="0.35">
      <c r="A10" s="7" t="s">
        <v>9</v>
      </c>
      <c r="B10" s="17" t="s">
        <v>20</v>
      </c>
      <c r="C10" s="11">
        <v>7</v>
      </c>
      <c r="D10" s="147"/>
      <c r="E10" s="140"/>
      <c r="F10" s="138"/>
      <c r="G10" s="131"/>
      <c r="H10" s="135"/>
      <c r="I10" s="164"/>
      <c r="J10" s="364"/>
      <c r="K10" s="161"/>
      <c r="L10" s="158"/>
      <c r="M10" s="158"/>
      <c r="N10" s="152"/>
      <c r="O10" s="151"/>
      <c r="P10" s="151"/>
      <c r="Q10" s="152"/>
      <c r="R10" s="151"/>
      <c r="S10" s="151"/>
      <c r="T10" s="153"/>
      <c r="U10" s="151"/>
      <c r="V10" s="155"/>
      <c r="W10" s="154"/>
      <c r="X10" s="151"/>
      <c r="Y10" s="151"/>
      <c r="Z10" s="154"/>
      <c r="AA10" s="151"/>
      <c r="AB10" s="151"/>
      <c r="AC10" s="154"/>
      <c r="AD10" s="151"/>
      <c r="AE10" s="151"/>
      <c r="AF10" s="154"/>
      <c r="AG10" s="151"/>
      <c r="AH10" s="151"/>
      <c r="AI10" s="154"/>
      <c r="AJ10" s="151"/>
      <c r="AK10" s="157"/>
    </row>
    <row r="11" spans="1:37" s="1" customFormat="1" ht="16" hidden="1" thickBot="1" x14ac:dyDescent="0.35">
      <c r="A11" s="7" t="s">
        <v>10</v>
      </c>
      <c r="B11" s="17" t="s">
        <v>16</v>
      </c>
      <c r="C11" s="11">
        <v>7</v>
      </c>
      <c r="D11" s="147"/>
      <c r="E11" s="140"/>
      <c r="F11" s="138"/>
      <c r="G11" s="131"/>
      <c r="H11" s="163"/>
      <c r="I11" s="132"/>
      <c r="J11" s="366"/>
      <c r="K11" s="6"/>
    </row>
    <row r="12" spans="1:37" s="1" customFormat="1" ht="16" hidden="1" thickBot="1" x14ac:dyDescent="0.35">
      <c r="A12" s="7" t="s">
        <v>11</v>
      </c>
      <c r="B12" s="18" t="s">
        <v>26</v>
      </c>
      <c r="C12" s="13">
        <v>4</v>
      </c>
      <c r="D12" s="146"/>
      <c r="E12" s="139"/>
      <c r="F12" s="138"/>
      <c r="G12" s="131"/>
      <c r="H12" s="163"/>
      <c r="I12" s="164"/>
      <c r="J12" s="366"/>
    </row>
    <row r="13" spans="1:37" s="1" customFormat="1" ht="16" hidden="1" thickBot="1" x14ac:dyDescent="0.4">
      <c r="A13" s="7" t="s">
        <v>12</v>
      </c>
      <c r="B13" s="17" t="s">
        <v>1</v>
      </c>
      <c r="C13" s="11">
        <v>4</v>
      </c>
      <c r="D13" s="147"/>
      <c r="E13" s="140"/>
      <c r="F13" s="141"/>
      <c r="G13" s="131"/>
      <c r="H13" s="2"/>
    </row>
    <row r="14" spans="1:37" ht="16" hidden="1" thickBot="1" x14ac:dyDescent="0.35">
      <c r="A14" s="7" t="s">
        <v>13</v>
      </c>
      <c r="B14" s="18" t="s">
        <v>29</v>
      </c>
      <c r="C14" s="13">
        <v>2</v>
      </c>
      <c r="D14" s="146"/>
      <c r="E14" s="139"/>
      <c r="F14" s="142"/>
      <c r="G14" s="131"/>
    </row>
    <row r="15" spans="1:37" ht="16" hidden="1" thickBot="1" x14ac:dyDescent="0.35">
      <c r="A15" s="7" t="s">
        <v>28</v>
      </c>
      <c r="B15" s="17" t="s">
        <v>21</v>
      </c>
      <c r="C15" s="11">
        <v>2</v>
      </c>
      <c r="D15" s="147"/>
      <c r="E15" s="140"/>
      <c r="F15" s="142"/>
      <c r="G15" s="130"/>
    </row>
    <row r="16" spans="1:37" s="1" customFormat="1" ht="16" hidden="1" thickBot="1" x14ac:dyDescent="0.4">
      <c r="A16" s="7" t="s">
        <v>30</v>
      </c>
      <c r="B16" s="19" t="s">
        <v>142</v>
      </c>
      <c r="C16" s="12">
        <v>1</v>
      </c>
      <c r="D16" s="137"/>
      <c r="E16" s="137"/>
      <c r="F16" s="2"/>
      <c r="G16" s="2"/>
      <c r="H16" s="2"/>
    </row>
    <row r="17" spans="2:11" ht="19.5" hidden="1" customHeight="1" thickTop="1" thickBot="1" x14ac:dyDescent="0.4">
      <c r="B17" s="20" t="s">
        <v>31</v>
      </c>
      <c r="C17" s="10">
        <f>SUM(C3:C16)</f>
        <v>155</v>
      </c>
      <c r="D17" s="143"/>
      <c r="E17" s="143"/>
      <c r="F17" s="145"/>
      <c r="G17" s="144"/>
      <c r="H17" s="2"/>
    </row>
    <row r="18" spans="2:11" ht="13.5" hidden="1" customHeight="1" x14ac:dyDescent="0.35">
      <c r="B18"/>
      <c r="C18"/>
      <c r="D18"/>
      <c r="E18"/>
      <c r="F18" s="2"/>
      <c r="G18" s="2"/>
      <c r="H18" s="2"/>
    </row>
    <row r="19" spans="2:11" ht="4.5" hidden="1" customHeight="1" x14ac:dyDescent="0.25">
      <c r="B19"/>
      <c r="C19"/>
      <c r="D19"/>
      <c r="E19"/>
    </row>
    <row r="20" spans="2:11" ht="18" customHeight="1" x14ac:dyDescent="0.5">
      <c r="B20" s="454" t="s">
        <v>130</v>
      </c>
      <c r="C20" s="454"/>
      <c r="D20" s="454"/>
      <c r="E20" s="454"/>
      <c r="F20" s="454"/>
      <c r="G20" s="454"/>
      <c r="H20" s="454"/>
      <c r="I20" s="454"/>
      <c r="J20" s="343"/>
    </row>
    <row r="21" spans="2:11" ht="2.25" customHeight="1" thickBot="1" x14ac:dyDescent="0.3">
      <c r="B21"/>
      <c r="C21"/>
      <c r="D21"/>
      <c r="E21"/>
    </row>
    <row r="22" spans="2:11" ht="13.5" hidden="1" customHeight="1" thickBot="1" x14ac:dyDescent="0.3">
      <c r="B22"/>
      <c r="C22"/>
      <c r="D22"/>
      <c r="E22"/>
    </row>
    <row r="23" spans="2:11" ht="48.75" customHeight="1" thickBot="1" x14ac:dyDescent="0.3">
      <c r="B23"/>
      <c r="C23"/>
      <c r="D23" s="133" t="s">
        <v>140</v>
      </c>
      <c r="E23" s="133" t="s">
        <v>531</v>
      </c>
      <c r="F23" s="128" t="s">
        <v>432</v>
      </c>
      <c r="G23" s="128" t="s">
        <v>136</v>
      </c>
      <c r="H23" s="129" t="s">
        <v>139</v>
      </c>
      <c r="I23" s="129" t="s">
        <v>137</v>
      </c>
      <c r="J23" s="367" t="s">
        <v>354</v>
      </c>
      <c r="K23" s="357" t="s">
        <v>353</v>
      </c>
    </row>
    <row r="24" spans="2:11" ht="27" customHeight="1" thickBot="1" x14ac:dyDescent="0.3">
      <c r="B24"/>
      <c r="C24"/>
      <c r="D24" s="147" t="s">
        <v>15</v>
      </c>
      <c r="E24" s="140">
        <v>33</v>
      </c>
      <c r="F24" s="138">
        <f>'ceny léčiv'!W5</f>
        <v>248258.68800000002</v>
      </c>
      <c r="G24" s="358">
        <f t="shared" ref="G24:G37" si="0">PRODUCT(E24,F24)</f>
        <v>8192536.7040000008</v>
      </c>
      <c r="H24" s="135">
        <f>'srovnání účinností'!I9</f>
        <v>8.7915245515846383</v>
      </c>
      <c r="I24" s="134" t="str">
        <f>'srovnání účinností'!M9</f>
        <v>2. (non TNFi, non IL-23i) s PsA  (samotná PsA také hrazena!)                                                                                     3. (non TNFi, non IL-23i) bez PsA</v>
      </c>
      <c r="J24" s="369">
        <f>E24/E41</f>
        <v>0.13147410358565736</v>
      </c>
      <c r="K24" s="368">
        <f>G24/G41</f>
        <v>0.18012109681271465</v>
      </c>
    </row>
    <row r="25" spans="2:11" ht="31.5" customHeight="1" thickBot="1" x14ac:dyDescent="0.4">
      <c r="D25" s="146" t="s">
        <v>27</v>
      </c>
      <c r="E25" s="139">
        <v>65</v>
      </c>
      <c r="F25" s="138">
        <f>'ceny léčiv'!W19</f>
        <v>18218.330000000002</v>
      </c>
      <c r="G25" s="358">
        <f t="shared" si="0"/>
        <v>1184191.4500000002</v>
      </c>
      <c r="H25" s="132" t="s">
        <v>422</v>
      </c>
      <c r="I25" s="398" t="str">
        <f>'srovnání účinností'!M3</f>
        <v xml:space="preserve">1.  s PsA i bez PsA                                                                (pokud není TNFi KI)   </v>
      </c>
      <c r="J25" s="369">
        <f>E25/E41</f>
        <v>0.25896414342629481</v>
      </c>
      <c r="K25" s="372">
        <f>G25/G41</f>
        <v>2.6035631028188917E-2</v>
      </c>
    </row>
    <row r="26" spans="2:11" ht="26.25" customHeight="1" thickBot="1" x14ac:dyDescent="0.4">
      <c r="D26" s="147" t="s">
        <v>141</v>
      </c>
      <c r="E26" s="140">
        <v>38</v>
      </c>
      <c r="F26" s="138">
        <f>'ceny léčiv'!W4</f>
        <v>273294.63199999998</v>
      </c>
      <c r="G26" s="358">
        <f t="shared" si="0"/>
        <v>10385196.015999999</v>
      </c>
      <c r="H26" s="135">
        <f>'srovnání účinností'!I6</f>
        <v>8.4683518051289806</v>
      </c>
      <c r="I26" s="134" t="str">
        <f>'srovnání účinností'!M6</f>
        <v>3. (non TNFi, non IL-23i) s PsA  (samotná PsA také hrazena!)                                                                                 4. (non TNFi, non IL-23i) bez PsA</v>
      </c>
      <c r="J26" s="369">
        <f>E26/E41</f>
        <v>0.15139442231075698</v>
      </c>
      <c r="K26" s="368">
        <f>G26/G41</f>
        <v>0.22832890038852541</v>
      </c>
    </row>
    <row r="27" spans="2:11" ht="27.75" customHeight="1" thickBot="1" x14ac:dyDescent="0.4">
      <c r="D27" s="147" t="s">
        <v>14</v>
      </c>
      <c r="E27" s="140">
        <v>15</v>
      </c>
      <c r="F27" s="138">
        <f>'ceny léčiv'!W3</f>
        <v>267809.42769000004</v>
      </c>
      <c r="G27" s="358">
        <f t="shared" si="0"/>
        <v>4017141.4153500004</v>
      </c>
      <c r="H27" s="135">
        <f>'srovnání účinností'!I12</f>
        <v>13.040321445622038</v>
      </c>
      <c r="I27" s="132" t="str">
        <f>'srovnání účinností'!M12</f>
        <v>3. (non TNFi, IL-12/23i) s PsA  (samotná PsA nehrazena)                                                     4. (non TNFi, IL-12/23i) bez PsA</v>
      </c>
      <c r="J27" s="371">
        <f>E27/E41</f>
        <v>5.9760956175298807E-2</v>
      </c>
      <c r="K27" s="368">
        <f>G27/G41</f>
        <v>8.8320863723605841E-2</v>
      </c>
    </row>
    <row r="28" spans="2:11" ht="28.5" customHeight="1" thickBot="1" x14ac:dyDescent="0.4">
      <c r="D28" s="147" t="s">
        <v>0</v>
      </c>
      <c r="E28" s="140">
        <v>8</v>
      </c>
      <c r="F28" s="138">
        <f>'ceny léčiv'!W11</f>
        <v>77168</v>
      </c>
      <c r="G28" s="358">
        <f t="shared" si="0"/>
        <v>617344</v>
      </c>
      <c r="H28" s="163">
        <f>'srovnání účinností'!I11</f>
        <v>6.7179652320976562</v>
      </c>
      <c r="I28" s="132" t="str">
        <f>'srovnání účinností'!M11</f>
        <v>1. vyjímečně jen při určitých form. psoriázy,                                                        jinak 4. (TNFi) s PsA i bez PsA</v>
      </c>
      <c r="J28" s="371">
        <f>E28/E41</f>
        <v>3.1872509960159362E-2</v>
      </c>
      <c r="K28" s="372">
        <f>G28/G41</f>
        <v>1.3572924041519011E-2</v>
      </c>
    </row>
    <row r="29" spans="2:11" ht="29.25" customHeight="1" thickBot="1" x14ac:dyDescent="0.4">
      <c r="D29" s="147" t="s">
        <v>25</v>
      </c>
      <c r="E29" s="140">
        <v>23</v>
      </c>
      <c r="F29" s="138">
        <f>'ceny léčiv'!V7</f>
        <v>309014.78700000001</v>
      </c>
      <c r="G29" s="358">
        <f t="shared" si="0"/>
        <v>7107340.1009999998</v>
      </c>
      <c r="H29" s="163">
        <f>'srovnání účinností'!I8</f>
        <v>8.2072991340182142</v>
      </c>
      <c r="I29" s="132" t="str">
        <f>'srovnání účinností'!M8</f>
        <v xml:space="preserve">2. (non TNFi, IL-23i) s PsA  (samotná PsA nehrazena)                                                     2. (non TNFi, IL-23i) bez PsA                                                           </v>
      </c>
      <c r="J29" s="369">
        <f>E29/E41</f>
        <v>9.1633466135458169E-2</v>
      </c>
      <c r="K29" s="368">
        <f>G29/G41</f>
        <v>0.15626196630746397</v>
      </c>
    </row>
    <row r="30" spans="2:11" ht="24.75" customHeight="1" thickBot="1" x14ac:dyDescent="0.4">
      <c r="D30" s="147" t="s">
        <v>24</v>
      </c>
      <c r="E30" s="140">
        <v>17</v>
      </c>
      <c r="F30" s="138">
        <f>'ceny léčiv'!W6</f>
        <v>237231.64607999998</v>
      </c>
      <c r="G30" s="358">
        <f t="shared" si="0"/>
        <v>4032937.9833599995</v>
      </c>
      <c r="H30" s="163">
        <f>'srovnání účinností'!I5</f>
        <v>6.3007699480546187</v>
      </c>
      <c r="I30" s="132" t="str">
        <f>'srovnání účinností'!M5</f>
        <v xml:space="preserve">1. (non TNFi, non IL-23i) bez PsA                                                           </v>
      </c>
      <c r="J30" s="371">
        <f>E30/E41</f>
        <v>6.7729083665338641E-2</v>
      </c>
      <c r="K30" s="368">
        <f>G30/G41</f>
        <v>8.8668167038639931E-2</v>
      </c>
    </row>
    <row r="31" spans="2:11" ht="29.25" customHeight="1" thickBot="1" x14ac:dyDescent="0.4">
      <c r="D31" s="356" t="s">
        <v>440</v>
      </c>
      <c r="E31" s="140">
        <v>3</v>
      </c>
      <c r="F31" s="138">
        <f>'ceny léčiv'!W10</f>
        <v>80339.421569999991</v>
      </c>
      <c r="G31" s="358">
        <f t="shared" si="0"/>
        <v>241018.26470999996</v>
      </c>
      <c r="H31" s="163">
        <f>'srovnání účinností'!I4</f>
        <v>3.9119305510067361</v>
      </c>
      <c r="I31" s="132" t="str">
        <f>'srovnání účinností'!M4</f>
        <v>přejít na levnější  biosimilar Zessly !</v>
      </c>
      <c r="J31" s="371">
        <f>E31/E41</f>
        <v>1.1952191235059761E-2</v>
      </c>
      <c r="K31" s="372">
        <f>G31/G41</f>
        <v>5.299027121876217E-3</v>
      </c>
    </row>
    <row r="32" spans="2:11" ht="27.5" thickBot="1" x14ac:dyDescent="0.4">
      <c r="D32" s="356" t="s">
        <v>352</v>
      </c>
      <c r="E32" s="140">
        <v>12</v>
      </c>
      <c r="F32" s="138">
        <f>'ceny léčiv'!W15</f>
        <v>113567.66420999999</v>
      </c>
      <c r="G32" s="358">
        <f t="shared" si="0"/>
        <v>1362811.97052</v>
      </c>
      <c r="H32" s="163">
        <f>'srovnání účinností'!I13</f>
        <v>5.8650434464505894</v>
      </c>
      <c r="I32" s="132" t="str">
        <f>'srovnání účinností'!M13</f>
        <v>2.-3. (TNFi) s PsA i bez PsA</v>
      </c>
      <c r="J32" s="371">
        <f>E32/E41</f>
        <v>4.7808764940239043E-2</v>
      </c>
      <c r="K32" s="372">
        <f>G32/G41</f>
        <v>2.9962781461779501E-2</v>
      </c>
    </row>
    <row r="33" spans="4:11" ht="24" customHeight="1" thickBot="1" x14ac:dyDescent="0.4">
      <c r="D33" s="146" t="s">
        <v>1</v>
      </c>
      <c r="E33" s="139">
        <v>0</v>
      </c>
      <c r="F33" s="138">
        <f>'ceny léčiv'!W18</f>
        <v>139551.75</v>
      </c>
      <c r="G33" s="358">
        <f t="shared" si="0"/>
        <v>0</v>
      </c>
      <c r="H33" s="163">
        <f>'srovnání účinností'!I10</f>
        <v>7.6599638935072525</v>
      </c>
      <c r="I33" s="132" t="str">
        <f>'srovnání účinností'!M10</f>
        <v>přejít na levnější  biosimilar Hyrimoz !</v>
      </c>
      <c r="J33" s="371">
        <f>E33/E41</f>
        <v>0</v>
      </c>
      <c r="K33" s="372">
        <f>G33/G41</f>
        <v>0</v>
      </c>
    </row>
    <row r="34" spans="4:11" ht="24" customHeight="1" thickBot="1" x14ac:dyDescent="0.4">
      <c r="D34" s="147" t="s">
        <v>29</v>
      </c>
      <c r="E34" s="140">
        <v>17</v>
      </c>
      <c r="F34" s="138">
        <f>'ceny léčiv'!W21</f>
        <v>258704.13762000002</v>
      </c>
      <c r="G34" s="358">
        <f t="shared" si="0"/>
        <v>4397970.3395400001</v>
      </c>
      <c r="H34" s="135">
        <f>'srovnání účinností'!I16</f>
        <v>5.7258916994144657</v>
      </c>
      <c r="I34" s="132" t="str">
        <f>'srovnání účinností'!M16</f>
        <v>1. (non TNFi, IL-23i) s PsA  (samotná PsA nehrazena)                                                     1. (non TNFi, IL-23i) bez PsA</v>
      </c>
      <c r="J34" s="371">
        <f>E34/E41</f>
        <v>6.7729083665338641E-2</v>
      </c>
      <c r="K34" s="372">
        <f>G34/G41</f>
        <v>9.6693767746070247E-2</v>
      </c>
    </row>
    <row r="35" spans="4:11" ht="28.5" customHeight="1" thickBot="1" x14ac:dyDescent="0.4">
      <c r="D35" s="278" t="s">
        <v>421</v>
      </c>
      <c r="E35" s="139">
        <v>4</v>
      </c>
      <c r="F35" s="138">
        <f>'ceny léčiv'!W8</f>
        <v>128018.3744</v>
      </c>
      <c r="G35" s="358">
        <f t="shared" si="0"/>
        <v>512073.4976</v>
      </c>
      <c r="H35" s="135">
        <f>'srovnání účinností'!I15</f>
        <v>73.940489452030775</v>
      </c>
      <c r="I35" s="132" t="str">
        <f>'srovnání účinností'!M15</f>
        <v>jen pokud je KI na biologika či neochota parent. aplikace</v>
      </c>
      <c r="J35" s="371">
        <f>E35/E41</f>
        <v>1.5936254980079681E-2</v>
      </c>
      <c r="K35" s="372">
        <f>G35/G41</f>
        <v>1.1258446970570326E-2</v>
      </c>
    </row>
    <row r="36" spans="4:11" ht="30.75" customHeight="1" thickBot="1" x14ac:dyDescent="0.4">
      <c r="D36" s="356" t="s">
        <v>441</v>
      </c>
      <c r="E36" s="140">
        <v>0</v>
      </c>
      <c r="F36" s="138">
        <f>'ceny léčiv'!W13</f>
        <v>51504.299999999996</v>
      </c>
      <c r="G36" s="359">
        <f t="shared" si="0"/>
        <v>0</v>
      </c>
      <c r="H36" s="135">
        <f>'srovnání účinností'!I7</f>
        <v>2.5078752216639373</v>
      </c>
      <c r="I36" s="167" t="str">
        <f>'srovnání účinností'!M7</f>
        <v>1. vyjímečně jen při určitých form. psoriázy,                                  jinak 1. s PsA i bez PsA  při preferenci inf. aplik. ve ZZ</v>
      </c>
      <c r="J36" s="371">
        <f>E36/E41</f>
        <v>0</v>
      </c>
      <c r="K36" s="372">
        <f>G36/G41</f>
        <v>0</v>
      </c>
    </row>
    <row r="37" spans="4:11" ht="33" customHeight="1" thickBot="1" x14ac:dyDescent="0.4">
      <c r="D37" s="356" t="s">
        <v>442</v>
      </c>
      <c r="E37" s="140">
        <v>1</v>
      </c>
      <c r="F37" s="276">
        <f>'ceny léčiv'!W22</f>
        <v>116613.32334</v>
      </c>
      <c r="G37" s="360">
        <f t="shared" si="0"/>
        <v>116613.32334</v>
      </c>
      <c r="H37" s="135">
        <f>'srovnání účinností'!I17</f>
        <v>5.6781989876626016</v>
      </c>
      <c r="I37" s="132" t="str">
        <f>'srovnání účinností'!M4</f>
        <v>přejít na levnější  biosimilar Zessly !</v>
      </c>
      <c r="J37" s="371">
        <f>E37/E41</f>
        <v>3.9840637450199202E-3</v>
      </c>
      <c r="K37" s="372">
        <f>G37/G41</f>
        <v>2.5638603111440557E-3</v>
      </c>
    </row>
    <row r="38" spans="4:11" ht="24.75" customHeight="1" thickBot="1" x14ac:dyDescent="0.4">
      <c r="D38" s="147" t="s">
        <v>420</v>
      </c>
      <c r="E38" s="140">
        <v>3</v>
      </c>
      <c r="F38" s="138">
        <f>'ceny léčiv'!W14</f>
        <v>135044</v>
      </c>
      <c r="G38" s="359">
        <f t="shared" ref="G38:G40" si="1">PRODUCT(E38,F38)</f>
        <v>405132</v>
      </c>
      <c r="H38" s="135">
        <f>'srovnání účinností'!I18</f>
        <v>6.5756354602311804</v>
      </c>
      <c r="I38" s="167" t="str">
        <f>'srovnání účinností'!M18</f>
        <v>2.-3. (TNFi) s PsA i bez PsA</v>
      </c>
      <c r="J38" s="371">
        <f>E38/E41</f>
        <v>1.1952191235059761E-2</v>
      </c>
      <c r="K38" s="372">
        <f>G38/G41</f>
        <v>8.9072314022468502E-3</v>
      </c>
    </row>
    <row r="39" spans="4:11" ht="24" customHeight="1" thickBot="1" x14ac:dyDescent="0.4">
      <c r="D39" s="356" t="s">
        <v>426</v>
      </c>
      <c r="E39" s="140">
        <v>3</v>
      </c>
      <c r="F39" s="399">
        <f>'ceny léčiv'!W23</f>
        <v>223725.28914000001</v>
      </c>
      <c r="G39" s="360">
        <f t="shared" si="1"/>
        <v>671175.86742000002</v>
      </c>
      <c r="H39" s="400">
        <f>'srovnání účinností'!I19</f>
        <v>11.55398017563771</v>
      </c>
      <c r="I39" s="401" t="str">
        <f>'srovnání účinností'!M19</f>
        <v xml:space="preserve">1. pac. s KI na TNFi, IL-17i jimž stačí méně účinný LP,                   jinak 3. (non TNFi, IL-23i) bez PsA                                                           </v>
      </c>
      <c r="J39" s="402">
        <f>E39/E41</f>
        <v>1.1952191235059761E-2</v>
      </c>
      <c r="K39" s="403">
        <f>G39/G41</f>
        <v>1.4756471378991769E-2</v>
      </c>
    </row>
    <row r="40" spans="4:11" ht="27.75" customHeight="1" thickBot="1" x14ac:dyDescent="0.4">
      <c r="D40" s="356" t="s">
        <v>425</v>
      </c>
      <c r="E40" s="140">
        <v>9</v>
      </c>
      <c r="F40" s="399">
        <f>'ceny léčiv'!W24</f>
        <v>248890.04321999999</v>
      </c>
      <c r="G40" s="360">
        <f t="shared" si="1"/>
        <v>2240010.3889799998</v>
      </c>
      <c r="H40" s="400">
        <f>'srovnání účinností'!I20</f>
        <v>6.4267893815928696</v>
      </c>
      <c r="I40" s="401" t="str">
        <f>'srovnání účinností'!M20</f>
        <v xml:space="preserve">1. (non TNFi, non IL-23i) s PsA  (samotná PsA nehrazena)             2. (non TNFi, non-IL-23i) bez PsA                                                           </v>
      </c>
      <c r="J40" s="402">
        <f>E40/E41</f>
        <v>3.5856573705179286E-2</v>
      </c>
      <c r="K40" s="403">
        <f>G40/G41</f>
        <v>4.9248864266663299E-2</v>
      </c>
    </row>
    <row r="41" spans="4:11" ht="19.5" customHeight="1" x14ac:dyDescent="0.35">
      <c r="D41" s="275" t="s">
        <v>220</v>
      </c>
      <c r="E41" s="277">
        <f>SUM(E24:E40)</f>
        <v>251</v>
      </c>
      <c r="F41" s="126"/>
      <c r="G41" s="361">
        <f>SUM(G24:G40)</f>
        <v>45483493.321819998</v>
      </c>
      <c r="J41" s="370">
        <f>SUM(J24:J40)</f>
        <v>0.99999999999999978</v>
      </c>
      <c r="K41" s="362">
        <f>SUM(K24:K40)</f>
        <v>1</v>
      </c>
    </row>
  </sheetData>
  <autoFilter ref="D23:I23" xr:uid="{00000000-0009-0000-0000-000000000000}">
    <sortState ref="D24:I37">
      <sortCondition descending="1" ref="E23"/>
    </sortState>
  </autoFilter>
  <sortState ref="D24:I36">
    <sortCondition ref="F24"/>
  </sortState>
  <mergeCells count="1">
    <mergeCell ref="B20:I20"/>
  </mergeCells>
  <conditionalFormatting sqref="L3:M10 O3:P10 R3:S10 U3:V10 X3:Y10 AA3:AB10 AD3:AE10 AG3:AH10 AJ3:AJ10">
    <cfRule type="cellIs" dxfId="123" priority="122" operator="greaterThan">
      <formula>0</formula>
    </cfRule>
  </conditionalFormatting>
  <conditionalFormatting sqref="L3:M10 O3:P10 R3:S10 U3:V10 X3:Y10 AA3:AB10 AD3:AE10 AG3:AH10 AJ3:AJ10">
    <cfRule type="cellIs" dxfId="122" priority="121" operator="lessThan">
      <formula>0</formula>
    </cfRule>
  </conditionalFormatting>
  <conditionalFormatting sqref="AK3:AK10">
    <cfRule type="cellIs" dxfId="121" priority="99" operator="lessThan">
      <formula>0</formula>
    </cfRule>
    <cfRule type="cellIs" dxfId="120" priority="100" operator="greaterThan">
      <formula>0</formula>
    </cfRule>
  </conditionalFormatting>
  <pageMargins left="0.7" right="0.7" top="0.78740157499999996" bottom="0.78740157499999996"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614"/>
  <sheetViews>
    <sheetView zoomScale="70" zoomScaleNormal="70" workbookViewId="0">
      <pane xSplit="3" ySplit="2" topLeftCell="H13" activePane="bottomRight" state="frozen"/>
      <selection pane="topRight" activeCell="C1" sqref="C1"/>
      <selection pane="bottomLeft" activeCell="A4" sqref="A4"/>
      <selection pane="bottomRight" activeCell="M27" sqref="M27"/>
    </sheetView>
  </sheetViews>
  <sheetFormatPr defaultRowHeight="12.5" x14ac:dyDescent="0.25"/>
  <cols>
    <col min="1" max="1" width="34.54296875" style="22" customWidth="1"/>
    <col min="2" max="2" width="9" style="22" hidden="1" customWidth="1"/>
    <col min="3" max="3" width="12.1796875" customWidth="1"/>
    <col min="4" max="4" width="14.81640625" customWidth="1"/>
    <col min="5" max="5" width="12" customWidth="1"/>
    <col min="6" max="6" width="11.54296875" customWidth="1"/>
    <col min="7" max="7" width="12.81640625" customWidth="1"/>
    <col min="8" max="8" width="14" customWidth="1"/>
    <col min="9" max="9" width="18.81640625" customWidth="1"/>
    <col min="10" max="10" width="22.453125" customWidth="1"/>
    <col min="11" max="11" width="20.81640625" customWidth="1"/>
    <col min="12" max="12" width="21.453125" customWidth="1"/>
    <col min="13" max="13" width="54.1796875" customWidth="1"/>
    <col min="14" max="14" width="16" customWidth="1"/>
    <col min="15" max="15" width="22.81640625" customWidth="1"/>
    <col min="16" max="16" width="19.81640625" customWidth="1"/>
  </cols>
  <sheetData>
    <row r="1" spans="1:16" ht="18" customHeight="1" x14ac:dyDescent="0.5">
      <c r="A1" s="455"/>
      <c r="B1" s="455"/>
      <c r="C1" s="455"/>
      <c r="D1" s="455"/>
      <c r="E1" s="455"/>
      <c r="F1" s="455"/>
      <c r="G1" s="455"/>
      <c r="H1" s="125" t="s">
        <v>419</v>
      </c>
      <c r="I1" s="126"/>
      <c r="J1" s="127"/>
      <c r="K1" s="126"/>
      <c r="L1" s="126"/>
      <c r="M1" s="395"/>
    </row>
    <row r="2" spans="1:16" ht="97" customHeight="1" x14ac:dyDescent="0.25">
      <c r="A2" s="259" t="s">
        <v>129</v>
      </c>
      <c r="B2" s="116" t="s">
        <v>128</v>
      </c>
      <c r="C2" s="181" t="s">
        <v>127</v>
      </c>
      <c r="D2" s="124" t="s">
        <v>126</v>
      </c>
      <c r="E2" s="106" t="s">
        <v>356</v>
      </c>
      <c r="F2" s="106" t="s">
        <v>370</v>
      </c>
      <c r="G2" s="123" t="s">
        <v>433</v>
      </c>
      <c r="H2" s="114" t="s">
        <v>434</v>
      </c>
      <c r="I2" s="122" t="s">
        <v>250</v>
      </c>
      <c r="J2" s="122" t="s">
        <v>418</v>
      </c>
      <c r="K2" s="111" t="s">
        <v>135</v>
      </c>
      <c r="L2" s="111" t="s">
        <v>417</v>
      </c>
      <c r="M2" s="121" t="s">
        <v>134</v>
      </c>
      <c r="N2" s="406" t="s">
        <v>455</v>
      </c>
      <c r="O2" s="414" t="s">
        <v>463</v>
      </c>
      <c r="P2" s="414" t="s">
        <v>462</v>
      </c>
    </row>
    <row r="3" spans="1:16" ht="31" customHeight="1" x14ac:dyDescent="0.25">
      <c r="A3" s="169" t="s">
        <v>133</v>
      </c>
      <c r="B3" s="170" t="s">
        <v>39</v>
      </c>
      <c r="C3" s="349" t="s">
        <v>361</v>
      </c>
      <c r="D3" s="171" t="s">
        <v>38</v>
      </c>
      <c r="E3" s="256">
        <v>5.78</v>
      </c>
      <c r="F3" s="166">
        <v>3.72</v>
      </c>
      <c r="G3" s="350">
        <f>'ceny léčiv'!W19</f>
        <v>18218.330000000002</v>
      </c>
      <c r="H3" s="350">
        <f>'ceny léčiv'!U19</f>
        <v>7007.05</v>
      </c>
      <c r="I3" s="255" t="s">
        <v>461</v>
      </c>
      <c r="J3" s="255" t="s">
        <v>375</v>
      </c>
      <c r="K3" s="351">
        <f>PRODUCT(F3,G3)</f>
        <v>67772.187600000005</v>
      </c>
      <c r="L3" s="351">
        <f>PRODUCT(E3,H3)</f>
        <v>40500.749000000003</v>
      </c>
      <c r="M3" s="396" t="s">
        <v>522</v>
      </c>
      <c r="N3" s="407">
        <f>G3+H3</f>
        <v>25225.38</v>
      </c>
    </row>
    <row r="4" spans="1:16" ht="30" customHeight="1" x14ac:dyDescent="0.25">
      <c r="A4" s="102" t="s">
        <v>438</v>
      </c>
      <c r="B4" s="119"/>
      <c r="C4" s="92" t="s">
        <v>17</v>
      </c>
      <c r="D4" s="92" t="s">
        <v>38</v>
      </c>
      <c r="E4" s="166">
        <f>'CEA (po indukci)'!E5</f>
        <v>4.2699999999999996</v>
      </c>
      <c r="F4" s="166">
        <f>'CEA (udrž.terap.)'!E5</f>
        <v>3.3</v>
      </c>
      <c r="G4" s="87">
        <f>'ceny léčiv'!W10</f>
        <v>80339.421569999991</v>
      </c>
      <c r="H4" s="87">
        <f>'ceny léčiv'!U10</f>
        <v>48143.473599999998</v>
      </c>
      <c r="I4" s="117">
        <f>PRODUCT(G4/G3,F4/F3)</f>
        <v>3.9119305510067361</v>
      </c>
      <c r="J4" s="136">
        <f>PRODUCT(H4/H3,E4/E3)</f>
        <v>5.0757735930266366</v>
      </c>
      <c r="K4" s="260">
        <f>PRODUCT((G4-G3),(1/((1/F4)-(1/F3))))</f>
        <v>1815710.7621745698</v>
      </c>
      <c r="L4" s="260">
        <f>PRODUCT((H4-H3),(1/((1/E4)-(1/E3))))</f>
        <v>672365.30880937714</v>
      </c>
      <c r="M4" s="91" t="s">
        <v>241</v>
      </c>
      <c r="N4" s="407">
        <f t="shared" ref="N4:N20" si="0">G4+H4</f>
        <v>128482.89516999999</v>
      </c>
    </row>
    <row r="5" spans="1:16" ht="25.5" customHeight="1" x14ac:dyDescent="0.25">
      <c r="A5" s="102" t="s">
        <v>82</v>
      </c>
      <c r="B5" s="102"/>
      <c r="C5" s="92" t="s">
        <v>81</v>
      </c>
      <c r="D5" s="218" t="s">
        <v>80</v>
      </c>
      <c r="E5" s="120">
        <f>'CEA (po indukci)'!E11</f>
        <v>2.2999999999999998</v>
      </c>
      <c r="F5" s="120">
        <f>'CEA (udrž.terap.)'!E11</f>
        <v>1.8</v>
      </c>
      <c r="G5" s="87">
        <f>'ceny léčiv'!W6</f>
        <v>237231.64607999998</v>
      </c>
      <c r="H5" s="87">
        <f>'ceny léčiv'!U6</f>
        <v>91242.940799999997</v>
      </c>
      <c r="I5" s="117">
        <f>PRODUCT(G5/G3,F5/F3)</f>
        <v>6.3007699480546187</v>
      </c>
      <c r="J5" s="136">
        <f>PRODUCT(H5/H3,E5/E3)</f>
        <v>5.1816020449399582</v>
      </c>
      <c r="K5" s="260">
        <f>PRODUCT((G5-G3),(1/((1/F5)-(1/F3))))</f>
        <v>763808.93982899969</v>
      </c>
      <c r="L5" s="260">
        <f>PRODUCT((H5-H3),(1/((1/E5)-(1/E3))))</f>
        <v>321790.78514229879</v>
      </c>
      <c r="M5" s="107" t="s">
        <v>456</v>
      </c>
      <c r="N5" s="410">
        <f t="shared" si="0"/>
        <v>328474.58687999996</v>
      </c>
      <c r="O5" s="413" t="s">
        <v>465</v>
      </c>
      <c r="P5" s="416">
        <f>H5+H16+G16</f>
        <v>529187.82042</v>
      </c>
    </row>
    <row r="6" spans="1:16" ht="30" customHeight="1" x14ac:dyDescent="0.25">
      <c r="A6" s="102" t="s">
        <v>97</v>
      </c>
      <c r="B6" s="102"/>
      <c r="C6" s="92" t="s">
        <v>96</v>
      </c>
      <c r="D6" s="218" t="s">
        <v>89</v>
      </c>
      <c r="E6" s="120">
        <f>'CEA (po indukci)'!E17</f>
        <v>2.65</v>
      </c>
      <c r="F6" s="120">
        <f>'CEA (udrž.terap.)'!E17</f>
        <v>2.1</v>
      </c>
      <c r="G6" s="87">
        <f>'ceny léčiv'!W4</f>
        <v>273294.63199999998</v>
      </c>
      <c r="H6" s="87">
        <f>'ceny léčiv'!U4</f>
        <v>189203.97600000002</v>
      </c>
      <c r="I6" s="117">
        <f>PRODUCT(G6/G3,F6/F3)</f>
        <v>8.4683518051289806</v>
      </c>
      <c r="J6" s="136">
        <f>PRODUCT(H6/H3,E6/E3)</f>
        <v>12.379784294853412</v>
      </c>
      <c r="K6" s="260">
        <f>PRODUCT((G6-G3),(1/((1/F6)-(1/F3))))</f>
        <v>1230034.6118666667</v>
      </c>
      <c r="L6" s="260">
        <f>PRODUCT((H6-H3),(1/((1/E6)-(1/E3))))</f>
        <v>891600.73978977627</v>
      </c>
      <c r="M6" s="218" t="s">
        <v>530</v>
      </c>
      <c r="N6" s="410">
        <f t="shared" si="0"/>
        <v>462498.60800000001</v>
      </c>
      <c r="O6" s="413" t="s">
        <v>464</v>
      </c>
      <c r="P6" s="416">
        <f>H5+H8+G8</f>
        <v>538622.55780000007</v>
      </c>
    </row>
    <row r="7" spans="1:16" ht="30.75" customHeight="1" x14ac:dyDescent="0.25">
      <c r="A7" s="102" t="s">
        <v>437</v>
      </c>
      <c r="B7" s="119"/>
      <c r="C7" s="92" t="s">
        <v>17</v>
      </c>
      <c r="D7" s="92" t="s">
        <v>38</v>
      </c>
      <c r="E7" s="166">
        <f>'CEA (po indukci)'!E8</f>
        <v>4.2699999999999996</v>
      </c>
      <c r="F7" s="166">
        <f>'CEA (udrž.terap.)'!E8</f>
        <v>3.3</v>
      </c>
      <c r="G7" s="87">
        <f>'ceny léčiv'!W13</f>
        <v>51504.299999999996</v>
      </c>
      <c r="H7" s="87">
        <f>'ceny léčiv'!U13</f>
        <v>30864</v>
      </c>
      <c r="I7" s="244">
        <f>PRODUCT(G7/G3,F7/F3)</f>
        <v>2.5078752216639373</v>
      </c>
      <c r="J7" s="245">
        <f>PRODUCT(H7/H3,E7/E3)</f>
        <v>3.2539961174545184</v>
      </c>
      <c r="K7" s="260">
        <f>PRODUCT((G7-G3),(1/((1/F7)-(1/F3))))</f>
        <v>972901.35171428474</v>
      </c>
      <c r="L7" s="260">
        <f>PRODUCT((H7-H3),(1/((1/E7)-(1/E3))))</f>
        <v>389936.31799337734</v>
      </c>
      <c r="M7" s="405" t="s">
        <v>460</v>
      </c>
      <c r="N7" s="407">
        <f t="shared" si="0"/>
        <v>82368.299999999988</v>
      </c>
      <c r="O7" s="413" t="s">
        <v>466</v>
      </c>
      <c r="P7" s="416">
        <f>H20+H16+G16</f>
        <v>629398.75902000011</v>
      </c>
    </row>
    <row r="8" spans="1:16" ht="30.75" customHeight="1" x14ac:dyDescent="0.25">
      <c r="A8" s="102" t="s">
        <v>75</v>
      </c>
      <c r="B8" s="102"/>
      <c r="C8" s="92" t="s">
        <v>74</v>
      </c>
      <c r="D8" s="404" t="s">
        <v>73</v>
      </c>
      <c r="E8" s="166">
        <f>'CEA (po indukci)'!E20</f>
        <v>3.08</v>
      </c>
      <c r="F8" s="120">
        <f>'CEA (udrž.terap.)'!E20</f>
        <v>1.8</v>
      </c>
      <c r="G8" s="87">
        <f>'ceny léčiv'!V7</f>
        <v>309014.78700000001</v>
      </c>
      <c r="H8" s="87">
        <f>'ceny léčiv'!U7</f>
        <v>138364.83000000002</v>
      </c>
      <c r="I8" s="117">
        <f>PRODUCT(G8/G3,F8/F3)</f>
        <v>8.2072991340182142</v>
      </c>
      <c r="J8" s="136">
        <f>PRODUCT(H8/H3,E8/E3)</f>
        <v>10.522365312305705</v>
      </c>
      <c r="K8" s="260">
        <f>PRODUCT((G8-G3),(1/((1/F8)-(1/F3))))</f>
        <v>1014152.6437874998</v>
      </c>
      <c r="L8" s="260">
        <f>PRODUCT((H8-H3),(1/((1/E8)-(1/E3))))</f>
        <v>866105.0898785186</v>
      </c>
      <c r="M8" s="404" t="s">
        <v>458</v>
      </c>
      <c r="N8" s="409">
        <f t="shared" si="0"/>
        <v>447379.61700000003</v>
      </c>
      <c r="O8" s="413" t="s">
        <v>467</v>
      </c>
      <c r="P8" s="416">
        <f>H20+H8+G8</f>
        <v>638833.49640000006</v>
      </c>
    </row>
    <row r="9" spans="1:16" ht="30" customHeight="1" x14ac:dyDescent="0.25">
      <c r="A9" s="102" t="s">
        <v>91</v>
      </c>
      <c r="B9" s="102"/>
      <c r="C9" s="92" t="s">
        <v>90</v>
      </c>
      <c r="D9" s="218" t="s">
        <v>89</v>
      </c>
      <c r="E9" s="166">
        <f>'CEA (po indukci)'!E29</f>
        <v>3.11</v>
      </c>
      <c r="F9" s="120">
        <f>'CEA (udrž.terap.)'!E29</f>
        <v>2.4</v>
      </c>
      <c r="G9" s="87">
        <f>'ceny léčiv'!W5</f>
        <v>248258.68800000002</v>
      </c>
      <c r="H9" s="87">
        <f>'ceny léčiv'!U5</f>
        <v>144817.56800000003</v>
      </c>
      <c r="I9" s="117">
        <f>PRODUCT(G9/G3,F9/F3)</f>
        <v>8.7915245515846383</v>
      </c>
      <c r="J9" s="136">
        <f>PRODUCT(H9/H3,E9/E3)</f>
        <v>11.120353267540805</v>
      </c>
      <c r="K9" s="260">
        <f>PRODUCT((G9-G3),(1/((1/F9)-(1/F3))))</f>
        <v>1555909.3304727268</v>
      </c>
      <c r="L9" s="260">
        <f>PRODUCT((H9-H3),(1/((1/E9)-(1/E3))))</f>
        <v>927810.60279565549</v>
      </c>
      <c r="M9" s="218" t="s">
        <v>529</v>
      </c>
      <c r="N9" s="410">
        <f t="shared" si="0"/>
        <v>393076.25600000005</v>
      </c>
      <c r="O9" s="251" t="s">
        <v>468</v>
      </c>
      <c r="P9" s="416">
        <f>H6+H16+G16</f>
        <v>627148.85562000005</v>
      </c>
    </row>
    <row r="10" spans="1:16" ht="32.5" customHeight="1" x14ac:dyDescent="0.25">
      <c r="A10" s="102" t="s">
        <v>172</v>
      </c>
      <c r="B10" s="102"/>
      <c r="C10" s="349" t="s">
        <v>360</v>
      </c>
      <c r="D10" s="92" t="s">
        <v>38</v>
      </c>
      <c r="E10" s="256">
        <v>5.78</v>
      </c>
      <c r="F10" s="166">
        <v>3.72</v>
      </c>
      <c r="G10" s="87">
        <f>'ceny léčiv'!W18</f>
        <v>139551.75</v>
      </c>
      <c r="H10" s="87">
        <f>'ceny léčiv'!U18</f>
        <v>53673.75</v>
      </c>
      <c r="I10" s="117">
        <f>PRODUCT(G10/G3,F10/F3)</f>
        <v>7.6599638935072525</v>
      </c>
      <c r="J10" s="136">
        <f>PRODUCT(H10/H3,E10/E3)</f>
        <v>7.6599638935072534</v>
      </c>
      <c r="K10" s="411" t="s">
        <v>144</v>
      </c>
      <c r="L10" s="411" t="s">
        <v>144</v>
      </c>
      <c r="M10" s="91" t="s">
        <v>143</v>
      </c>
      <c r="N10" s="407">
        <f t="shared" si="0"/>
        <v>193225.5</v>
      </c>
      <c r="O10" s="251" t="s">
        <v>469</v>
      </c>
      <c r="P10" s="416">
        <f>H6+H8+G8</f>
        <v>636583.59300000011</v>
      </c>
    </row>
    <row r="11" spans="1:16" ht="32.25" customHeight="1" x14ac:dyDescent="0.25">
      <c r="A11" s="102" t="s">
        <v>252</v>
      </c>
      <c r="B11" s="119" t="s">
        <v>45</v>
      </c>
      <c r="C11" s="92" t="s">
        <v>19</v>
      </c>
      <c r="D11" s="92" t="s">
        <v>38</v>
      </c>
      <c r="E11" s="376">
        <f>'CEA (po indukci)'!E32</f>
        <v>16.77</v>
      </c>
      <c r="F11" s="118">
        <f>'CEA (udrž.terap.)'!E32</f>
        <v>5.9</v>
      </c>
      <c r="G11" s="87">
        <f>'ceny léčiv'!W11</f>
        <v>77168</v>
      </c>
      <c r="H11" s="87">
        <f>'ceny léčiv'!U11</f>
        <v>35616</v>
      </c>
      <c r="I11" s="117">
        <f>PRODUCT(G11/G3,F11/F3)</f>
        <v>6.7179652320976562</v>
      </c>
      <c r="J11" s="136">
        <f>PRODUCT(H11/H3,E11/E3)</f>
        <v>14.74738948654999</v>
      </c>
      <c r="K11" s="412" t="s">
        <v>131</v>
      </c>
      <c r="L11" s="412" t="s">
        <v>131</v>
      </c>
      <c r="M11" s="92" t="s">
        <v>523</v>
      </c>
      <c r="N11" s="407">
        <f t="shared" si="0"/>
        <v>112784</v>
      </c>
      <c r="O11" s="415" t="s">
        <v>525</v>
      </c>
      <c r="P11" s="416">
        <f>H9+H16+G16</f>
        <v>582762.44762000011</v>
      </c>
    </row>
    <row r="12" spans="1:16" ht="27.75" customHeight="1" x14ac:dyDescent="0.25">
      <c r="A12" s="102" t="s">
        <v>106</v>
      </c>
      <c r="B12" s="102"/>
      <c r="C12" s="92" t="s">
        <v>105</v>
      </c>
      <c r="D12" s="404" t="s">
        <v>104</v>
      </c>
      <c r="E12" s="118">
        <f>'CEA (po indukci)'!E35</f>
        <v>5.72</v>
      </c>
      <c r="F12" s="166">
        <f>'CEA (udrž.terap.)'!E35</f>
        <v>3.3</v>
      </c>
      <c r="G12" s="87">
        <f>'ceny léčiv'!W3</f>
        <v>267809.42769000004</v>
      </c>
      <c r="H12" s="87">
        <f>'ceny léčiv'!U3</f>
        <v>185420.79</v>
      </c>
      <c r="I12" s="117">
        <f>PRODUCT(G12/G3,F12/F3)</f>
        <v>13.040321445622038</v>
      </c>
      <c r="J12" s="136">
        <f>PRODUCT(H12/H3,E12/E3)</f>
        <v>26.187340851400055</v>
      </c>
      <c r="K12" s="411">
        <f>PRODUCT((G12-G3),(1/((1/F12)-(1/F3))))</f>
        <v>7295191.2267677095</v>
      </c>
      <c r="L12" s="411">
        <f>PRODUCT((H12-H3),(1/((1/E12)-(1/E3))))</f>
        <v>98310728.439731508</v>
      </c>
      <c r="M12" s="404" t="s">
        <v>459</v>
      </c>
      <c r="N12" s="409">
        <f t="shared" si="0"/>
        <v>453230.21769000008</v>
      </c>
      <c r="O12" s="415" t="s">
        <v>526</v>
      </c>
      <c r="P12" s="416">
        <f>H9+H8+G8</f>
        <v>592197.18500000006</v>
      </c>
    </row>
    <row r="13" spans="1:16" ht="30.75" customHeight="1" x14ac:dyDescent="0.25">
      <c r="A13" s="102" t="s">
        <v>173</v>
      </c>
      <c r="B13" s="119"/>
      <c r="C13" s="92" t="s">
        <v>51</v>
      </c>
      <c r="D13" s="92" t="s">
        <v>38</v>
      </c>
      <c r="E13" s="118">
        <f>'CEA (po indukci)'!E26</f>
        <v>7.19</v>
      </c>
      <c r="F13" s="166">
        <f>'CEA (udrž.terap.)'!E26</f>
        <v>3.5</v>
      </c>
      <c r="G13" s="87">
        <f>'ceny léčiv'!W15</f>
        <v>113567.66420999999</v>
      </c>
      <c r="H13" s="87">
        <f>'ceny léčiv'!U15</f>
        <v>52415.845019999993</v>
      </c>
      <c r="I13" s="117">
        <f>PRODUCT(G13/G3,F13/F3)</f>
        <v>5.8650434464505894</v>
      </c>
      <c r="J13" s="136">
        <f>PRODUCT(H13/H3,E13/E3)</f>
        <v>9.3052581742080847</v>
      </c>
      <c r="K13" s="411">
        <f>PRODUCT((G13-G3),(1/((1/F13)-(1/F3))))</f>
        <v>5642946.9609736353</v>
      </c>
      <c r="L13" s="412" t="s">
        <v>131</v>
      </c>
      <c r="M13" s="397" t="s">
        <v>524</v>
      </c>
      <c r="N13" s="407">
        <f t="shared" si="0"/>
        <v>165983.50922999997</v>
      </c>
      <c r="O13" s="415"/>
      <c r="P13" s="415"/>
    </row>
    <row r="14" spans="1:16" ht="28.5" customHeight="1" x14ac:dyDescent="0.25">
      <c r="A14" s="102" t="s">
        <v>174</v>
      </c>
      <c r="B14" s="119"/>
      <c r="C14" s="92" t="s">
        <v>51</v>
      </c>
      <c r="D14" s="92" t="s">
        <v>38</v>
      </c>
      <c r="E14" s="256">
        <f>'CEA (po indukci)'!E38</f>
        <v>5.98</v>
      </c>
      <c r="F14" s="120">
        <f>'CEA (udrž.terap.)'!E38</f>
        <v>2.9</v>
      </c>
      <c r="G14" s="87">
        <f>'ceny léčiv'!W16</f>
        <v>251534.13999999998</v>
      </c>
      <c r="H14" s="87">
        <f>'ceny léčiv'!U16</f>
        <v>87069.51</v>
      </c>
      <c r="I14" s="117">
        <f>PRODUCT(G14/G3,F14/F3)</f>
        <v>10.763250115302458</v>
      </c>
      <c r="J14" s="136">
        <f>PRODUCT(H14/H3,E14/E3)</f>
        <v>12.855951622030496</v>
      </c>
      <c r="K14" s="411">
        <f>PRODUCT((G14-G3),(1/((1/F14)-(1/F3))))</f>
        <v>3069525.5588780469</v>
      </c>
      <c r="L14" s="412" t="s">
        <v>131</v>
      </c>
      <c r="M14" s="397" t="s">
        <v>423</v>
      </c>
      <c r="N14" s="407">
        <f t="shared" si="0"/>
        <v>338603.64999999997</v>
      </c>
      <c r="O14" s="415"/>
      <c r="P14" s="415"/>
    </row>
    <row r="15" spans="1:16" ht="33.75" customHeight="1" x14ac:dyDescent="0.25">
      <c r="A15" s="102" t="s">
        <v>132</v>
      </c>
      <c r="B15" s="102"/>
      <c r="C15" s="373" t="s">
        <v>359</v>
      </c>
      <c r="D15" s="92" t="s">
        <v>66</v>
      </c>
      <c r="E15" s="376">
        <v>60.82</v>
      </c>
      <c r="F15" s="376">
        <v>19.600000000000001</v>
      </c>
      <c r="G15" s="87">
        <f>'ceny léčiv'!W8</f>
        <v>128018.3744</v>
      </c>
      <c r="H15" s="87">
        <f>'ceny léčiv'!U8</f>
        <v>40625.01</v>
      </c>
      <c r="I15" s="117">
        <f>PRODUCT(G15/G3,E15/E3)</f>
        <v>73.940489452030775</v>
      </c>
      <c r="J15" s="136">
        <f>PRODUCT(H15/H3,E15/E3)</f>
        <v>61.006602821098447</v>
      </c>
      <c r="K15" s="412" t="s">
        <v>131</v>
      </c>
      <c r="L15" s="412" t="s">
        <v>131</v>
      </c>
      <c r="M15" s="405" t="s">
        <v>424</v>
      </c>
      <c r="N15" s="407">
        <f t="shared" si="0"/>
        <v>168643.38440000001</v>
      </c>
      <c r="O15" s="415"/>
      <c r="P15" s="415"/>
    </row>
    <row r="16" spans="1:16" ht="30.75" customHeight="1" x14ac:dyDescent="0.25">
      <c r="A16" s="102" t="s">
        <v>145</v>
      </c>
      <c r="B16" s="102"/>
      <c r="C16" s="92" t="s">
        <v>146</v>
      </c>
      <c r="D16" s="404" t="s">
        <v>73</v>
      </c>
      <c r="E16" s="120">
        <f>'CEA (po indukci)'!E14</f>
        <v>2.2599999999999998</v>
      </c>
      <c r="F16" s="353">
        <f>'CEA (udrž.terap.)'!E14</f>
        <v>1.5</v>
      </c>
      <c r="G16" s="87">
        <f>'ceny léčiv'!W21</f>
        <v>258704.13762000002</v>
      </c>
      <c r="H16" s="87">
        <f>'ceny léčiv'!U21</f>
        <v>179240.74200000003</v>
      </c>
      <c r="I16" s="117">
        <f>PRODUCT(G16/G3,F16/F3)</f>
        <v>5.7258916994144657</v>
      </c>
      <c r="J16" s="136">
        <f>PRODUCT(H16/H3,E16/E3)</f>
        <v>10.0018910000899</v>
      </c>
      <c r="K16" s="260">
        <f>PRODUCT((G16-G3),(1/((1/F16)-(1/F3))))</f>
        <v>604464.3272610812</v>
      </c>
      <c r="L16" s="260">
        <f>PRODUCT((H16-H3),(1/((1/E16)-(1/E3))))</f>
        <v>639163.14541409095</v>
      </c>
      <c r="M16" s="404" t="s">
        <v>457</v>
      </c>
      <c r="N16" s="409">
        <f t="shared" si="0"/>
        <v>437944.87962000002</v>
      </c>
      <c r="O16" s="415"/>
      <c r="P16" s="415"/>
    </row>
    <row r="17" spans="1:16" ht="28.5" customHeight="1" x14ac:dyDescent="0.25">
      <c r="A17" s="250" t="s">
        <v>439</v>
      </c>
      <c r="B17" s="119"/>
      <c r="C17" s="92" t="s">
        <v>17</v>
      </c>
      <c r="D17" s="92" t="s">
        <v>38</v>
      </c>
      <c r="E17" s="166">
        <f>'CEA (po indukci)'!E5</f>
        <v>4.2699999999999996</v>
      </c>
      <c r="F17" s="354">
        <f>'CEA (udrž.terap.)'!E8</f>
        <v>3.3</v>
      </c>
      <c r="G17" s="87">
        <f>'ceny léčiv'!W22</f>
        <v>116613.32334</v>
      </c>
      <c r="H17" s="87">
        <f>'ceny léčiv'!U22</f>
        <v>69880.643200000006</v>
      </c>
      <c r="I17" s="117">
        <f>PRODUCT(G17/G3,F17/F3)</f>
        <v>5.6781989876626016</v>
      </c>
      <c r="J17" s="136">
        <f>PRODUCT(H17/H3,E17/E3)</f>
        <v>7.3675266218903745</v>
      </c>
      <c r="K17" s="260">
        <f>PRODUCT((G17-G3),(1/((1/F17)-(1/F3))))</f>
        <v>2875945.0910519976</v>
      </c>
      <c r="L17" s="355">
        <f>PRODUCT((H17-H3),(1/((1/E17)-(1/E3))))</f>
        <v>1027654.3075045825</v>
      </c>
      <c r="M17" s="91" t="s">
        <v>241</v>
      </c>
      <c r="N17" s="407">
        <f t="shared" si="0"/>
        <v>186493.96653999999</v>
      </c>
      <c r="O17" s="415"/>
      <c r="P17" s="415"/>
    </row>
    <row r="18" spans="1:16" ht="34.5" customHeight="1" x14ac:dyDescent="0.25">
      <c r="A18" s="93" t="s">
        <v>345</v>
      </c>
      <c r="B18" s="119"/>
      <c r="C18" s="92" t="s">
        <v>335</v>
      </c>
      <c r="D18" s="92" t="s">
        <v>38</v>
      </c>
      <c r="E18" s="166">
        <f>'CEA (po indukci)'!E5</f>
        <v>4.2699999999999996</v>
      </c>
      <c r="F18" s="354">
        <f>'CEA (udrž.terap.)'!E8</f>
        <v>3.3</v>
      </c>
      <c r="G18" s="87">
        <f>'ceny léčiv'!W14</f>
        <v>135044</v>
      </c>
      <c r="H18" s="87">
        <f>'ceny léčiv'!U14</f>
        <v>41402</v>
      </c>
      <c r="I18" s="117">
        <f>PRODUCT(G18/G3,F18/F3)</f>
        <v>6.5756354602311804</v>
      </c>
      <c r="J18" s="136">
        <f>PRODUCT(H18/H3,E18/E3)</f>
        <v>4.3650190271789784</v>
      </c>
      <c r="K18" s="260">
        <f>PRODUCT((G18-G3),(1/((1/F18)-(1/F3))))</f>
        <v>3414647.4402857115</v>
      </c>
      <c r="L18" s="355">
        <f>PRODUCT((H18-H3),(1/((1/E18)-(1/E3))))</f>
        <v>562177.48541059578</v>
      </c>
      <c r="M18" s="397" t="s">
        <v>524</v>
      </c>
      <c r="N18" s="407">
        <f t="shared" si="0"/>
        <v>176446</v>
      </c>
      <c r="O18" s="415"/>
      <c r="P18" s="415"/>
    </row>
    <row r="19" spans="1:16" ht="28.5" customHeight="1" x14ac:dyDescent="0.25">
      <c r="A19" s="93" t="s">
        <v>313</v>
      </c>
      <c r="B19" s="119"/>
      <c r="C19" s="374" t="s">
        <v>317</v>
      </c>
      <c r="D19" s="404" t="s">
        <v>73</v>
      </c>
      <c r="E19" s="256">
        <f>'CEA (po indukci)'!E2</f>
        <v>7.61</v>
      </c>
      <c r="F19" s="166">
        <f>'CEA (udrž.terap.)'!E2</f>
        <v>3.5</v>
      </c>
      <c r="G19" s="87">
        <f>'ceny léčiv'!W23</f>
        <v>223725.28914000001</v>
      </c>
      <c r="H19" s="87">
        <f>'ceny léčiv'!U23</f>
        <v>155005.97400000002</v>
      </c>
      <c r="I19" s="117">
        <f>PRODUCT(G19/G3,F19/F3)</f>
        <v>11.55398017563771</v>
      </c>
      <c r="J19" s="136">
        <f>PRODUCT(H19/H3,E19/E3)</f>
        <v>29.125275242193673</v>
      </c>
      <c r="K19" s="260">
        <f>PRODUCT((G19-G3),(1/((1/F19)-(1/F3))))</f>
        <v>12162275.490921818</v>
      </c>
      <c r="L19" s="352" t="s">
        <v>131</v>
      </c>
      <c r="M19" s="408" t="s">
        <v>470</v>
      </c>
      <c r="N19" s="409">
        <f t="shared" si="0"/>
        <v>378731.26314000005</v>
      </c>
      <c r="O19" s="415"/>
      <c r="P19" s="415"/>
    </row>
    <row r="20" spans="1:16" ht="30" customHeight="1" x14ac:dyDescent="0.25">
      <c r="A20" s="93" t="s">
        <v>314</v>
      </c>
      <c r="B20" s="119"/>
      <c r="C20" s="92" t="s">
        <v>315</v>
      </c>
      <c r="D20" s="218" t="s">
        <v>346</v>
      </c>
      <c r="E20" s="120">
        <f>'CEA (po indukci)'!E23</f>
        <v>1.74</v>
      </c>
      <c r="F20" s="353">
        <f>'CEA (udrž.terap.)'!E23</f>
        <v>1.75</v>
      </c>
      <c r="G20" s="87">
        <f>'ceny léčiv'!W24</f>
        <v>248890.04321999999</v>
      </c>
      <c r="H20" s="87">
        <f>'ceny léčiv'!U24</f>
        <v>191453.87940000001</v>
      </c>
      <c r="I20" s="117">
        <f>PRODUCT(G20/G3,F20/F3)</f>
        <v>6.4267893815928696</v>
      </c>
      <c r="J20" s="136">
        <f>PRODUCT(H20/H3,E20/E3)</f>
        <v>8.2252738129855327</v>
      </c>
      <c r="K20" s="260">
        <f>PRODUCT((G20-G3),(1/((1/F20)-(1/F3))))</f>
        <v>762270.4837879187</v>
      </c>
      <c r="L20" s="355">
        <f>PRODUCT((H20-H3),(1/((1/E20)-(1/E3))))</f>
        <v>459163.03283209907</v>
      </c>
      <c r="M20" s="107" t="s">
        <v>528</v>
      </c>
      <c r="N20" s="410">
        <f t="shared" si="0"/>
        <v>440343.92261999997</v>
      </c>
      <c r="O20" s="415"/>
      <c r="P20" s="415"/>
    </row>
    <row r="21" spans="1:16" ht="9" customHeight="1" x14ac:dyDescent="0.25">
      <c r="A21" s="456"/>
      <c r="B21" s="457"/>
      <c r="C21" s="457"/>
      <c r="D21" s="457"/>
      <c r="E21" s="457"/>
      <c r="F21" s="457"/>
      <c r="G21" s="457"/>
      <c r="H21" s="457"/>
      <c r="I21" s="457"/>
      <c r="J21" s="457"/>
      <c r="K21" s="457"/>
      <c r="L21" s="457"/>
      <c r="M21" s="458"/>
    </row>
    <row r="22" spans="1:16" ht="27" customHeight="1" x14ac:dyDescent="0.25">
      <c r="A22" s="456"/>
      <c r="B22" s="457"/>
      <c r="C22" s="457"/>
      <c r="D22" s="457"/>
      <c r="E22" s="457"/>
      <c r="F22" s="457"/>
      <c r="G22" s="457"/>
      <c r="H22" s="457"/>
      <c r="I22" s="457"/>
      <c r="J22" s="457"/>
      <c r="K22" s="457"/>
      <c r="L22" s="457"/>
      <c r="M22" s="458"/>
    </row>
    <row r="23" spans="1:16" ht="28.5" customHeight="1" x14ac:dyDescent="0.25">
      <c r="A23" s="459"/>
      <c r="B23" s="460"/>
      <c r="C23" s="460"/>
      <c r="D23" s="460"/>
      <c r="E23" s="460"/>
      <c r="F23" s="460"/>
      <c r="G23" s="460"/>
      <c r="H23" s="460"/>
      <c r="I23" s="460"/>
      <c r="J23" s="460"/>
      <c r="K23" s="460"/>
      <c r="L23" s="460"/>
      <c r="M23" s="461"/>
    </row>
    <row r="24" spans="1:16" ht="13.5" customHeight="1" x14ac:dyDescent="0.25">
      <c r="A24" s="257"/>
      <c r="B24" s="26"/>
      <c r="C24" s="37"/>
      <c r="D24" s="39"/>
      <c r="E24" s="39"/>
      <c r="F24" s="39"/>
      <c r="G24" s="26"/>
      <c r="H24" s="26"/>
      <c r="I24" s="26"/>
      <c r="J24" s="26"/>
      <c r="K24" s="26"/>
      <c r="L24" s="26"/>
      <c r="M24" s="26"/>
    </row>
    <row r="25" spans="1:16" ht="14.25" customHeight="1" x14ac:dyDescent="0.25">
      <c r="A25" s="257"/>
      <c r="B25" s="26"/>
      <c r="C25" s="37"/>
      <c r="D25" s="39"/>
      <c r="E25" s="39"/>
      <c r="F25" s="39"/>
      <c r="G25" s="26"/>
      <c r="H25" s="26"/>
      <c r="I25" s="26"/>
      <c r="J25" s="26"/>
      <c r="K25" s="26"/>
      <c r="L25" s="26"/>
      <c r="M25" s="26"/>
    </row>
    <row r="26" spans="1:16" ht="12.75" customHeight="1" x14ac:dyDescent="0.25">
      <c r="A26" s="258"/>
      <c r="B26" s="55"/>
      <c r="C26" s="37"/>
      <c r="D26" s="41"/>
      <c r="E26" s="41"/>
      <c r="F26" s="39"/>
      <c r="G26" s="60"/>
      <c r="H26" s="60"/>
      <c r="I26" s="60"/>
      <c r="J26" s="60"/>
      <c r="K26" s="60"/>
      <c r="L26" s="60"/>
      <c r="M26" s="60"/>
    </row>
    <row r="27" spans="1:16" ht="24" customHeight="1" x14ac:dyDescent="0.25">
      <c r="A27" s="26"/>
      <c r="B27" s="26"/>
      <c r="C27" s="37"/>
      <c r="D27" s="39"/>
      <c r="E27" s="39"/>
      <c r="F27" s="39"/>
      <c r="G27" s="44"/>
      <c r="H27" s="44"/>
      <c r="I27" s="44"/>
      <c r="J27" s="44"/>
      <c r="K27" s="44"/>
      <c r="L27" s="44"/>
      <c r="M27" s="44"/>
    </row>
    <row r="28" spans="1:16" ht="31.5" customHeight="1" x14ac:dyDescent="0.25">
      <c r="A28" s="26"/>
      <c r="B28" s="26"/>
      <c r="C28" s="37"/>
      <c r="D28" s="39"/>
      <c r="E28" s="39"/>
      <c r="F28" s="39"/>
      <c r="G28" s="26"/>
      <c r="H28" s="26"/>
      <c r="I28" s="26"/>
      <c r="J28" s="26"/>
      <c r="K28" s="26"/>
      <c r="L28" s="26"/>
      <c r="M28" s="26"/>
    </row>
    <row r="29" spans="1:16" x14ac:dyDescent="0.25">
      <c r="A29" s="26"/>
      <c r="B29" s="26"/>
      <c r="C29" s="37"/>
      <c r="D29" s="39"/>
      <c r="E29" s="39"/>
      <c r="F29" s="39"/>
      <c r="G29" s="44"/>
      <c r="H29" s="44"/>
      <c r="I29" s="44"/>
      <c r="J29" s="44"/>
      <c r="K29" s="44"/>
      <c r="L29" s="44"/>
      <c r="M29" s="44"/>
    </row>
    <row r="30" spans="1:16" x14ac:dyDescent="0.25">
      <c r="A30" s="26"/>
      <c r="B30" s="26"/>
      <c r="C30" s="37"/>
      <c r="D30" s="41"/>
      <c r="E30" s="39"/>
      <c r="F30" s="39"/>
      <c r="G30" s="44"/>
      <c r="H30" s="44"/>
      <c r="I30" s="44"/>
      <c r="J30" s="44"/>
      <c r="K30" s="44"/>
      <c r="L30" s="44"/>
      <c r="M30" s="44"/>
    </row>
    <row r="31" spans="1:16" x14ac:dyDescent="0.25">
      <c r="A31" s="26"/>
      <c r="B31" s="26"/>
      <c r="C31" s="34"/>
      <c r="D31" s="41"/>
      <c r="E31" s="39"/>
      <c r="F31" s="39"/>
      <c r="G31" s="44"/>
      <c r="H31" s="44"/>
      <c r="I31" s="44"/>
      <c r="J31" s="44"/>
      <c r="K31" s="44"/>
      <c r="L31" s="44"/>
      <c r="M31" s="44"/>
    </row>
    <row r="32" spans="1:16" s="21" customFormat="1" ht="45.75" customHeight="1" x14ac:dyDescent="0.25">
      <c r="A32" s="27"/>
      <c r="B32" s="27"/>
      <c r="C32" s="37"/>
      <c r="D32" s="41"/>
      <c r="E32" s="41"/>
      <c r="F32" s="41"/>
      <c r="G32" s="26"/>
      <c r="H32" s="26"/>
      <c r="I32" s="26"/>
      <c r="J32" s="26"/>
      <c r="K32" s="26"/>
      <c r="L32" s="26"/>
      <c r="M32" s="26"/>
      <c r="N32"/>
    </row>
    <row r="33" spans="1:14" s="21" customFormat="1" ht="45.75" customHeight="1" x14ac:dyDescent="0.25">
      <c r="A33" s="27"/>
      <c r="B33" s="27"/>
      <c r="C33" s="37"/>
      <c r="D33" s="41"/>
      <c r="E33" s="55"/>
      <c r="F33" s="41"/>
      <c r="G33" s="26"/>
      <c r="H33" s="26"/>
      <c r="I33" s="26"/>
      <c r="J33" s="26"/>
      <c r="K33" s="26"/>
      <c r="L33" s="26"/>
      <c r="M33" s="26"/>
      <c r="N33"/>
    </row>
    <row r="34" spans="1:14" s="21" customFormat="1" ht="41.25" customHeight="1" x14ac:dyDescent="0.25">
      <c r="A34" s="26"/>
      <c r="B34" s="26"/>
      <c r="C34" s="37"/>
      <c r="D34" s="39"/>
      <c r="E34" s="39"/>
      <c r="F34" s="39"/>
      <c r="G34" s="44"/>
      <c r="H34" s="44"/>
      <c r="I34" s="44"/>
      <c r="J34" s="44"/>
      <c r="K34" s="44"/>
      <c r="L34" s="44"/>
      <c r="M34" s="44"/>
      <c r="N34"/>
    </row>
    <row r="35" spans="1:14" s="21" customFormat="1" ht="33.75" customHeight="1" x14ac:dyDescent="0.25">
      <c r="A35" s="26"/>
      <c r="B35" s="26"/>
      <c r="C35" s="37"/>
      <c r="D35" s="39"/>
      <c r="E35" s="39"/>
      <c r="F35" s="39"/>
      <c r="G35" s="44"/>
      <c r="H35" s="44"/>
      <c r="I35" s="44"/>
      <c r="J35" s="44"/>
      <c r="K35" s="44"/>
      <c r="L35" s="44"/>
      <c r="M35" s="44"/>
      <c r="N35"/>
    </row>
    <row r="36" spans="1:14" s="21" customFormat="1" ht="46.5" customHeight="1" x14ac:dyDescent="0.25">
      <c r="A36" s="26"/>
      <c r="B36" s="26"/>
      <c r="C36" s="34"/>
      <c r="D36" s="41"/>
      <c r="E36" s="39"/>
      <c r="F36" s="39"/>
      <c r="G36" s="44"/>
      <c r="H36" s="44"/>
      <c r="I36" s="44"/>
      <c r="J36" s="44"/>
      <c r="K36" s="44"/>
      <c r="L36" s="44"/>
      <c r="M36" s="44"/>
      <c r="N36"/>
    </row>
    <row r="37" spans="1:14" s="21" customFormat="1" ht="36" customHeight="1" x14ac:dyDescent="0.25">
      <c r="A37" s="43"/>
      <c r="B37" s="43"/>
      <c r="C37" s="34"/>
      <c r="D37" s="41"/>
      <c r="E37" s="39"/>
      <c r="F37" s="39"/>
      <c r="G37" s="44"/>
      <c r="H37" s="44"/>
      <c r="I37" s="44"/>
      <c r="J37" s="44"/>
      <c r="K37" s="44"/>
      <c r="L37" s="44"/>
      <c r="M37" s="44"/>
      <c r="N37"/>
    </row>
    <row r="38" spans="1:14" s="21" customFormat="1" ht="52.5" customHeight="1" x14ac:dyDescent="0.45">
      <c r="A38" s="46"/>
      <c r="B38" s="46"/>
      <c r="C38" s="37"/>
      <c r="D38" s="56"/>
      <c r="E38" s="28"/>
      <c r="F38" s="39"/>
      <c r="G38" s="44"/>
      <c r="H38" s="44"/>
      <c r="I38" s="44"/>
      <c r="J38" s="44"/>
      <c r="K38" s="44"/>
      <c r="L38" s="44"/>
      <c r="M38" s="44"/>
      <c r="N38"/>
    </row>
    <row r="39" spans="1:14" s="21" customFormat="1" ht="44.25" customHeight="1" x14ac:dyDescent="0.45">
      <c r="A39" s="46"/>
      <c r="B39" s="46"/>
      <c r="C39" s="37"/>
      <c r="D39" s="56"/>
      <c r="E39" s="39"/>
      <c r="F39" s="39"/>
      <c r="G39" s="44"/>
      <c r="H39" s="44"/>
      <c r="I39" s="44"/>
      <c r="J39" s="44"/>
      <c r="K39" s="44"/>
      <c r="L39" s="44"/>
      <c r="M39" s="44"/>
      <c r="N39"/>
    </row>
    <row r="40" spans="1:14" s="21" customFormat="1" ht="42.75" customHeight="1" x14ac:dyDescent="0.45">
      <c r="A40" s="57"/>
      <c r="B40" s="57"/>
      <c r="C40" s="37"/>
      <c r="D40" s="56"/>
      <c r="E40" s="39"/>
      <c r="F40" s="39"/>
      <c r="G40" s="44"/>
      <c r="H40" s="44"/>
      <c r="I40" s="44"/>
      <c r="J40" s="44"/>
      <c r="K40" s="44"/>
      <c r="L40" s="44"/>
      <c r="M40" s="44"/>
      <c r="N40"/>
    </row>
    <row r="41" spans="1:14" s="21" customFormat="1" ht="40.5" customHeight="1" x14ac:dyDescent="0.45">
      <c r="A41" s="57"/>
      <c r="B41" s="57"/>
      <c r="C41" s="37"/>
      <c r="D41" s="56"/>
      <c r="E41" s="39"/>
      <c r="F41" s="39"/>
      <c r="G41" s="44"/>
      <c r="H41" s="44"/>
      <c r="I41" s="44"/>
      <c r="J41" s="44"/>
      <c r="K41" s="44"/>
      <c r="L41" s="44"/>
      <c r="M41" s="44"/>
      <c r="N41"/>
    </row>
    <row r="42" spans="1:14" s="21" customFormat="1" x14ac:dyDescent="0.25">
      <c r="A42" s="26"/>
      <c r="B42" s="26"/>
      <c r="C42" s="37"/>
      <c r="D42" s="41"/>
      <c r="E42" s="39"/>
      <c r="F42" s="39"/>
      <c r="G42" s="44"/>
      <c r="H42" s="44"/>
      <c r="I42" s="44"/>
      <c r="J42" s="44"/>
      <c r="K42" s="44"/>
      <c r="L42" s="44"/>
      <c r="M42" s="44"/>
      <c r="N42"/>
    </row>
    <row r="43" spans="1:14" s="21" customFormat="1" ht="28.5" customHeight="1" x14ac:dyDescent="0.25">
      <c r="A43" s="26"/>
      <c r="B43" s="26"/>
      <c r="C43" s="37"/>
      <c r="D43" s="41"/>
      <c r="E43" s="39"/>
      <c r="F43" s="39"/>
      <c r="G43" s="44"/>
      <c r="H43" s="44"/>
      <c r="I43" s="44"/>
      <c r="J43" s="44"/>
      <c r="K43" s="44"/>
      <c r="L43" s="44"/>
      <c r="M43" s="44"/>
      <c r="N43"/>
    </row>
    <row r="44" spans="1:14" s="21" customFormat="1" ht="40.5" customHeight="1" x14ac:dyDescent="0.25">
      <c r="A44" s="26"/>
      <c r="B44" s="26"/>
      <c r="C44" s="37"/>
      <c r="D44" s="39"/>
      <c r="E44" s="39"/>
      <c r="F44" s="39"/>
      <c r="G44" s="26"/>
      <c r="H44" s="26"/>
      <c r="I44" s="26"/>
      <c r="J44" s="26"/>
      <c r="K44" s="26"/>
      <c r="L44" s="26"/>
      <c r="M44" s="26"/>
      <c r="N44"/>
    </row>
    <row r="45" spans="1:14" s="21" customFormat="1" ht="29.25" customHeight="1" x14ac:dyDescent="0.25">
      <c r="A45" s="26"/>
      <c r="B45" s="26"/>
      <c r="C45" s="37"/>
      <c r="D45" s="41"/>
      <c r="E45" s="39"/>
      <c r="F45" s="39"/>
      <c r="G45" s="26"/>
      <c r="H45" s="26"/>
      <c r="I45" s="26"/>
      <c r="J45" s="26"/>
      <c r="K45" s="26"/>
      <c r="L45" s="26"/>
      <c r="M45" s="26"/>
      <c r="N45"/>
    </row>
    <row r="46" spans="1:14" s="21" customFormat="1" x14ac:dyDescent="0.25">
      <c r="A46" s="26"/>
      <c r="B46" s="26"/>
      <c r="C46" s="37"/>
      <c r="D46" s="39"/>
      <c r="E46" s="39"/>
      <c r="F46" s="39"/>
      <c r="G46" s="26"/>
      <c r="H46" s="26"/>
      <c r="I46" s="26"/>
      <c r="J46" s="26"/>
      <c r="K46" s="26"/>
      <c r="L46" s="26"/>
      <c r="M46" s="26"/>
      <c r="N46"/>
    </row>
    <row r="47" spans="1:14" s="21" customFormat="1" x14ac:dyDescent="0.25">
      <c r="A47" s="26"/>
      <c r="B47" s="26"/>
      <c r="C47" s="34"/>
      <c r="D47" s="41"/>
      <c r="E47" s="39"/>
      <c r="F47" s="39"/>
      <c r="G47" s="44"/>
      <c r="H47" s="44"/>
      <c r="I47" s="44"/>
      <c r="J47" s="44"/>
      <c r="K47" s="44"/>
      <c r="L47" s="44"/>
      <c r="M47" s="44"/>
      <c r="N47"/>
    </row>
    <row r="48" spans="1:14" s="21" customFormat="1" ht="30" customHeight="1" x14ac:dyDescent="0.25">
      <c r="A48" s="26"/>
      <c r="B48" s="26"/>
      <c r="C48" s="37"/>
      <c r="D48" s="41"/>
      <c r="E48" s="39"/>
      <c r="F48" s="39"/>
      <c r="G48" s="44"/>
      <c r="H48" s="44"/>
      <c r="I48" s="44"/>
      <c r="J48" s="44"/>
      <c r="K48" s="44"/>
      <c r="L48" s="44"/>
      <c r="M48" s="44"/>
      <c r="N48"/>
    </row>
    <row r="49" spans="1:14" s="21" customFormat="1" ht="20.25" customHeight="1" x14ac:dyDescent="0.25">
      <c r="A49" s="26"/>
      <c r="B49" s="26"/>
      <c r="C49" s="37"/>
      <c r="D49" s="39"/>
      <c r="E49" s="39"/>
      <c r="F49" s="39"/>
      <c r="G49" s="44"/>
      <c r="H49" s="44"/>
      <c r="I49" s="44"/>
      <c r="J49" s="44"/>
      <c r="K49" s="44"/>
      <c r="L49" s="44"/>
      <c r="M49" s="44"/>
      <c r="N49"/>
    </row>
    <row r="50" spans="1:14" s="21" customFormat="1" x14ac:dyDescent="0.25">
      <c r="A50" s="26"/>
      <c r="B50" s="26"/>
      <c r="C50" s="37"/>
      <c r="D50" s="41"/>
      <c r="E50" s="39"/>
      <c r="F50" s="39"/>
      <c r="G50" s="44"/>
      <c r="H50" s="44"/>
      <c r="I50" s="44"/>
      <c r="J50" s="44"/>
      <c r="K50" s="44"/>
      <c r="L50" s="44"/>
      <c r="M50" s="44"/>
      <c r="N50"/>
    </row>
    <row r="51" spans="1:14" s="21" customFormat="1" x14ac:dyDescent="0.25">
      <c r="A51" s="23"/>
      <c r="B51" s="23"/>
      <c r="C51" s="37"/>
      <c r="D51" s="73"/>
      <c r="E51" s="28"/>
      <c r="F51" s="39"/>
      <c r="G51" s="44"/>
      <c r="H51" s="44"/>
      <c r="I51" s="44"/>
      <c r="J51" s="44"/>
      <c r="K51" s="44"/>
      <c r="L51" s="44"/>
      <c r="M51" s="44"/>
      <c r="N51"/>
    </row>
    <row r="52" spans="1:14" s="21" customFormat="1" ht="45" customHeight="1" x14ac:dyDescent="0.25">
      <c r="A52" s="26"/>
      <c r="B52" s="26"/>
      <c r="C52" s="37"/>
      <c r="D52" s="41"/>
      <c r="E52" s="55"/>
      <c r="F52" s="74"/>
      <c r="G52" s="40"/>
      <c r="H52" s="40"/>
      <c r="I52" s="40"/>
      <c r="J52" s="40"/>
      <c r="K52" s="40"/>
      <c r="L52" s="40"/>
      <c r="M52" s="40"/>
      <c r="N52"/>
    </row>
    <row r="53" spans="1:14" s="21" customFormat="1" x14ac:dyDescent="0.25">
      <c r="A53" s="23"/>
      <c r="B53" s="23"/>
      <c r="C53" s="37"/>
      <c r="D53" s="73"/>
      <c r="E53" s="28"/>
      <c r="F53" s="39"/>
      <c r="G53" s="44"/>
      <c r="H53" s="44"/>
      <c r="I53" s="44"/>
      <c r="J53" s="44"/>
      <c r="K53" s="44"/>
      <c r="L53" s="44"/>
      <c r="M53" s="44"/>
      <c r="N53"/>
    </row>
    <row r="54" spans="1:14" s="21" customFormat="1" x14ac:dyDescent="0.25">
      <c r="A54" s="26"/>
      <c r="B54" s="26"/>
      <c r="C54" s="37"/>
      <c r="D54" s="41"/>
      <c r="E54" s="39"/>
      <c r="F54" s="39"/>
      <c r="G54" s="44"/>
      <c r="H54" s="44"/>
      <c r="I54" s="44"/>
      <c r="J54" s="44"/>
      <c r="K54" s="44"/>
      <c r="L54" s="44"/>
      <c r="M54" s="44"/>
      <c r="N54"/>
    </row>
    <row r="55" spans="1:14" s="21" customFormat="1" x14ac:dyDescent="0.25">
      <c r="A55" s="26"/>
      <c r="B55" s="26"/>
      <c r="C55" s="37"/>
      <c r="D55" s="41"/>
      <c r="E55" s="39"/>
      <c r="F55" s="39"/>
      <c r="G55" s="44"/>
      <c r="H55" s="44"/>
      <c r="I55" s="44"/>
      <c r="J55" s="44"/>
      <c r="K55" s="44"/>
      <c r="L55" s="44"/>
      <c r="M55" s="44"/>
      <c r="N55"/>
    </row>
    <row r="56" spans="1:14" s="21" customFormat="1" ht="28.5" customHeight="1" x14ac:dyDescent="0.25">
      <c r="A56" s="26"/>
      <c r="B56" s="26"/>
      <c r="C56" s="37"/>
      <c r="D56" s="39"/>
      <c r="E56" s="39"/>
      <c r="F56" s="39"/>
      <c r="G56" s="44"/>
      <c r="H56" s="44"/>
      <c r="I56" s="44"/>
      <c r="J56" s="44"/>
      <c r="K56" s="44"/>
      <c r="L56" s="44"/>
      <c r="M56" s="44"/>
      <c r="N56"/>
    </row>
    <row r="57" spans="1:14" s="21" customFormat="1" ht="32.25" customHeight="1" x14ac:dyDescent="0.25">
      <c r="A57" s="43"/>
      <c r="B57" s="43"/>
      <c r="C57" s="37"/>
      <c r="D57" s="41"/>
      <c r="E57" s="39"/>
      <c r="F57" s="39"/>
      <c r="G57" s="44"/>
      <c r="H57" s="44"/>
      <c r="I57" s="44"/>
      <c r="J57" s="44"/>
      <c r="K57" s="44"/>
      <c r="L57" s="44"/>
      <c r="M57" s="44"/>
      <c r="N57"/>
    </row>
    <row r="58" spans="1:14" s="21" customFormat="1" ht="24.75" customHeight="1" x14ac:dyDescent="0.25">
      <c r="A58" s="26"/>
      <c r="B58" s="26"/>
      <c r="C58" s="37"/>
      <c r="D58" s="39"/>
      <c r="E58" s="39"/>
      <c r="F58" s="39"/>
      <c r="G58" s="44"/>
      <c r="H58" s="44"/>
      <c r="I58" s="44"/>
      <c r="J58" s="44"/>
      <c r="K58" s="44"/>
      <c r="L58" s="44"/>
      <c r="M58" s="44"/>
      <c r="N58"/>
    </row>
    <row r="59" spans="1:14" s="21" customFormat="1" ht="29.25" customHeight="1" x14ac:dyDescent="0.25">
      <c r="A59" s="43"/>
      <c r="B59" s="43"/>
      <c r="C59" s="37"/>
      <c r="D59" s="41"/>
      <c r="E59" s="39"/>
      <c r="F59" s="39"/>
      <c r="G59" s="44"/>
      <c r="H59" s="44"/>
      <c r="I59" s="44"/>
      <c r="J59" s="44"/>
      <c r="K59" s="44"/>
      <c r="L59" s="44"/>
      <c r="M59" s="44"/>
      <c r="N59"/>
    </row>
    <row r="60" spans="1:14" s="21" customFormat="1" ht="29.25" customHeight="1" x14ac:dyDescent="0.25">
      <c r="A60" s="26"/>
      <c r="B60" s="26"/>
      <c r="C60" s="37"/>
      <c r="D60" s="41"/>
      <c r="E60" s="39"/>
      <c r="F60" s="39"/>
      <c r="G60" s="44"/>
      <c r="H60" s="44"/>
      <c r="I60" s="44"/>
      <c r="J60" s="44"/>
      <c r="K60" s="44"/>
      <c r="L60" s="44"/>
      <c r="M60" s="44"/>
      <c r="N60"/>
    </row>
    <row r="61" spans="1:14" s="21" customFormat="1" ht="36" customHeight="1" x14ac:dyDescent="0.25">
      <c r="A61" s="26"/>
      <c r="B61" s="26"/>
      <c r="C61" s="37"/>
      <c r="D61" s="41"/>
      <c r="E61" s="39"/>
      <c r="F61" s="39"/>
      <c r="G61" s="44"/>
      <c r="H61" s="44"/>
      <c r="I61" s="44"/>
      <c r="J61" s="44"/>
      <c r="K61" s="44"/>
      <c r="L61" s="44"/>
      <c r="M61" s="44"/>
      <c r="N61"/>
    </row>
    <row r="62" spans="1:14" s="21" customFormat="1" ht="27" customHeight="1" x14ac:dyDescent="0.25">
      <c r="A62" s="26"/>
      <c r="B62" s="26"/>
      <c r="C62" s="37"/>
      <c r="D62" s="39"/>
      <c r="E62" s="39"/>
      <c r="F62" s="39"/>
      <c r="G62" s="44"/>
      <c r="H62" s="44"/>
      <c r="I62" s="44"/>
      <c r="J62" s="44"/>
      <c r="K62" s="44"/>
      <c r="L62" s="44"/>
      <c r="M62" s="44"/>
      <c r="N62"/>
    </row>
    <row r="63" spans="1:14" s="21" customFormat="1" ht="36" customHeight="1" x14ac:dyDescent="0.25">
      <c r="A63" s="26"/>
      <c r="B63" s="26"/>
      <c r="C63" s="37"/>
      <c r="D63" s="41"/>
      <c r="E63" s="39"/>
      <c r="F63" s="39"/>
      <c r="G63" s="44"/>
      <c r="H63" s="44"/>
      <c r="I63" s="44"/>
      <c r="J63" s="44"/>
      <c r="K63" s="44"/>
      <c r="L63" s="44"/>
      <c r="M63" s="44"/>
      <c r="N63"/>
    </row>
    <row r="64" spans="1:14" s="21" customFormat="1" ht="32.25" customHeight="1" x14ac:dyDescent="0.25">
      <c r="A64" s="43"/>
      <c r="B64" s="43"/>
      <c r="C64" s="37"/>
      <c r="D64" s="41"/>
      <c r="E64" s="41"/>
      <c r="F64" s="39"/>
      <c r="G64" s="44"/>
      <c r="H64" s="44"/>
      <c r="I64" s="44"/>
      <c r="J64" s="44"/>
      <c r="K64" s="44"/>
      <c r="L64" s="44"/>
      <c r="M64" s="44"/>
      <c r="N64"/>
    </row>
    <row r="65" spans="1:14" s="21" customFormat="1" ht="27.75" customHeight="1" x14ac:dyDescent="0.25">
      <c r="A65" s="26"/>
      <c r="B65" s="26"/>
      <c r="C65" s="37"/>
      <c r="D65" s="41"/>
      <c r="E65" s="39"/>
      <c r="F65" s="39"/>
      <c r="G65" s="44"/>
      <c r="H65" s="44"/>
      <c r="I65" s="44"/>
      <c r="J65" s="44"/>
      <c r="K65" s="44"/>
      <c r="L65" s="44"/>
      <c r="M65" s="44"/>
      <c r="N65"/>
    </row>
    <row r="66" spans="1:14" s="21" customFormat="1" ht="39.75" customHeight="1" x14ac:dyDescent="0.25">
      <c r="A66" s="43"/>
      <c r="B66" s="43"/>
      <c r="C66" s="37"/>
      <c r="D66" s="41"/>
      <c r="E66" s="39"/>
      <c r="F66" s="39"/>
      <c r="G66" s="44"/>
      <c r="H66" s="44"/>
      <c r="I66" s="44"/>
      <c r="J66" s="44"/>
      <c r="K66" s="44"/>
      <c r="L66" s="44"/>
      <c r="M66" s="44"/>
      <c r="N66"/>
    </row>
    <row r="67" spans="1:14" s="21" customFormat="1" ht="26.25" customHeight="1" x14ac:dyDescent="0.25">
      <c r="A67" s="26"/>
      <c r="B67" s="26"/>
      <c r="C67" s="37"/>
      <c r="D67" s="41"/>
      <c r="E67" s="39"/>
      <c r="F67" s="39"/>
      <c r="G67" s="44"/>
      <c r="H67" s="44"/>
      <c r="I67" s="44"/>
      <c r="J67" s="44"/>
      <c r="K67" s="44"/>
      <c r="L67" s="44"/>
      <c r="M67" s="44"/>
      <c r="N67"/>
    </row>
    <row r="68" spans="1:14" s="21" customFormat="1" ht="31.5" customHeight="1" x14ac:dyDescent="0.25">
      <c r="A68" s="23"/>
      <c r="B68" s="23"/>
      <c r="C68" s="37"/>
      <c r="D68" s="39"/>
      <c r="E68" s="39"/>
      <c r="F68" s="39"/>
      <c r="G68" s="44"/>
      <c r="H68" s="44"/>
      <c r="I68" s="44"/>
      <c r="J68" s="44"/>
      <c r="K68" s="44"/>
      <c r="L68" s="44"/>
      <c r="M68" s="44"/>
      <c r="N68"/>
    </row>
    <row r="69" spans="1:14" s="21" customFormat="1" x14ac:dyDescent="0.25">
      <c r="A69" s="23"/>
      <c r="B69" s="23"/>
      <c r="C69" s="37"/>
      <c r="D69" s="39"/>
      <c r="E69" s="39"/>
      <c r="F69" s="39"/>
      <c r="G69" s="44"/>
      <c r="H69" s="44"/>
      <c r="I69" s="44"/>
      <c r="J69" s="44"/>
      <c r="K69" s="44"/>
      <c r="L69" s="44"/>
      <c r="M69" s="44"/>
      <c r="N69"/>
    </row>
    <row r="70" spans="1:14" s="21" customFormat="1" ht="54.75" customHeight="1" x14ac:dyDescent="0.25">
      <c r="A70" s="26"/>
      <c r="B70" s="26"/>
      <c r="C70" s="37"/>
      <c r="D70" s="26"/>
      <c r="E70" s="39"/>
      <c r="F70" s="39"/>
      <c r="G70" s="26"/>
      <c r="H70" s="26"/>
      <c r="I70" s="26"/>
      <c r="J70" s="26"/>
      <c r="K70" s="26"/>
      <c r="L70" s="26"/>
      <c r="M70" s="26"/>
      <c r="N70"/>
    </row>
    <row r="71" spans="1:14" s="21" customFormat="1" ht="25.5" customHeight="1" x14ac:dyDescent="0.25">
      <c r="A71" s="23"/>
      <c r="B71" s="23"/>
      <c r="C71" s="37"/>
      <c r="D71" s="39"/>
      <c r="E71" s="39"/>
      <c r="F71" s="39"/>
      <c r="G71" s="44"/>
      <c r="H71" s="44"/>
      <c r="I71" s="44"/>
      <c r="J71" s="44"/>
      <c r="K71" s="44"/>
      <c r="L71" s="44"/>
      <c r="M71" s="44"/>
      <c r="N71"/>
    </row>
    <row r="72" spans="1:14" s="21" customFormat="1" ht="46.5" customHeight="1" x14ac:dyDescent="0.25">
      <c r="A72" s="55"/>
      <c r="B72" s="55"/>
      <c r="C72" s="37"/>
      <c r="D72" s="39"/>
      <c r="E72" s="39"/>
      <c r="F72" s="39"/>
      <c r="G72" s="60"/>
      <c r="H72" s="60"/>
      <c r="I72" s="60"/>
      <c r="J72" s="60"/>
      <c r="K72" s="60"/>
      <c r="L72" s="60"/>
      <c r="M72" s="60"/>
      <c r="N72"/>
    </row>
    <row r="73" spans="1:14" s="21" customFormat="1" ht="33.75" customHeight="1" x14ac:dyDescent="0.25">
      <c r="A73" s="55"/>
      <c r="B73" s="55"/>
      <c r="C73" s="37"/>
      <c r="D73" s="41"/>
      <c r="E73" s="39"/>
      <c r="F73" s="39"/>
      <c r="G73" s="26"/>
      <c r="H73" s="26"/>
      <c r="I73" s="26"/>
      <c r="J73" s="26"/>
      <c r="K73" s="26"/>
      <c r="L73" s="26"/>
      <c r="M73" s="26"/>
      <c r="N73"/>
    </row>
    <row r="74" spans="1:14" s="21" customFormat="1" ht="36.75" customHeight="1" x14ac:dyDescent="0.25">
      <c r="A74" s="23"/>
      <c r="B74" s="23"/>
      <c r="C74" s="37"/>
      <c r="D74" s="41"/>
      <c r="E74" s="39"/>
      <c r="F74" s="39"/>
      <c r="G74" s="26"/>
      <c r="H74" s="26"/>
      <c r="I74" s="26"/>
      <c r="J74" s="26"/>
      <c r="K74" s="26"/>
      <c r="L74" s="26"/>
      <c r="M74" s="26"/>
      <c r="N74"/>
    </row>
    <row r="75" spans="1:14" s="21" customFormat="1" ht="36.75" customHeight="1" x14ac:dyDescent="0.45">
      <c r="A75" s="46"/>
      <c r="B75" s="46"/>
      <c r="C75" s="37"/>
      <c r="D75" s="56"/>
      <c r="E75" s="39"/>
      <c r="F75" s="39"/>
      <c r="G75" s="44"/>
      <c r="H75" s="44"/>
      <c r="I75" s="44"/>
      <c r="J75" s="44"/>
      <c r="K75" s="44"/>
      <c r="L75" s="44"/>
      <c r="M75" s="44"/>
      <c r="N75"/>
    </row>
    <row r="76" spans="1:14" s="21" customFormat="1" x14ac:dyDescent="0.25">
      <c r="A76" s="43"/>
      <c r="B76" s="43"/>
      <c r="C76" s="37"/>
      <c r="D76" s="41"/>
      <c r="E76" s="41"/>
      <c r="F76" s="39"/>
      <c r="G76" s="44"/>
      <c r="H76" s="44"/>
      <c r="I76" s="44"/>
      <c r="J76" s="44"/>
      <c r="K76" s="44"/>
      <c r="L76" s="44"/>
      <c r="M76" s="44"/>
      <c r="N76"/>
    </row>
    <row r="77" spans="1:14" s="21" customFormat="1" ht="32.25" customHeight="1" x14ac:dyDescent="0.35">
      <c r="A77" s="51"/>
      <c r="B77" s="51"/>
      <c r="C77" s="37"/>
      <c r="D77" s="58"/>
      <c r="E77" s="39"/>
      <c r="F77" s="39"/>
      <c r="G77" s="44"/>
      <c r="H77" s="44"/>
      <c r="I77" s="44"/>
      <c r="J77" s="44"/>
      <c r="K77" s="44"/>
      <c r="L77" s="44"/>
      <c r="M77" s="44"/>
      <c r="N77"/>
    </row>
    <row r="78" spans="1:14" s="21" customFormat="1" ht="35.25" customHeight="1" x14ac:dyDescent="0.25">
      <c r="A78" s="26"/>
      <c r="B78" s="26"/>
      <c r="C78" s="37"/>
      <c r="D78" s="41"/>
      <c r="E78" s="41"/>
      <c r="F78" s="39"/>
      <c r="G78" s="44"/>
      <c r="H78" s="44"/>
      <c r="I78" s="44"/>
      <c r="J78" s="44"/>
      <c r="K78" s="44"/>
      <c r="L78" s="44"/>
      <c r="M78" s="44"/>
      <c r="N78"/>
    </row>
    <row r="79" spans="1:14" s="21" customFormat="1" x14ac:dyDescent="0.25">
      <c r="A79" s="26"/>
      <c r="B79" s="26"/>
      <c r="C79" s="37"/>
      <c r="D79" s="41"/>
      <c r="E79" s="39"/>
      <c r="F79" s="39"/>
      <c r="G79" s="44"/>
      <c r="H79" s="44"/>
      <c r="I79" s="44"/>
      <c r="J79" s="44"/>
      <c r="K79" s="44"/>
      <c r="L79" s="44"/>
      <c r="M79" s="44"/>
      <c r="N79"/>
    </row>
    <row r="80" spans="1:14" s="21" customFormat="1" x14ac:dyDescent="0.25">
      <c r="A80" s="43"/>
      <c r="B80" s="43"/>
      <c r="C80" s="37"/>
      <c r="D80" s="41"/>
      <c r="E80" s="39"/>
      <c r="F80" s="39"/>
      <c r="G80" s="44"/>
      <c r="H80" s="44"/>
      <c r="I80" s="44"/>
      <c r="J80" s="44"/>
      <c r="K80" s="44"/>
      <c r="L80" s="44"/>
      <c r="M80" s="44"/>
      <c r="N80"/>
    </row>
    <row r="81" spans="1:14" s="21" customFormat="1" ht="24.75" customHeight="1" x14ac:dyDescent="0.25">
      <c r="A81" s="26"/>
      <c r="B81" s="26"/>
      <c r="C81" s="37"/>
      <c r="D81" s="39"/>
      <c r="E81" s="39"/>
      <c r="F81" s="39"/>
      <c r="G81" s="26"/>
      <c r="H81" s="26"/>
      <c r="I81" s="26"/>
      <c r="J81" s="26"/>
      <c r="K81" s="26"/>
      <c r="L81" s="26"/>
      <c r="M81" s="26"/>
      <c r="N81"/>
    </row>
    <row r="82" spans="1:14" s="21" customFormat="1" ht="27.75" customHeight="1" x14ac:dyDescent="0.25">
      <c r="A82" s="26"/>
      <c r="B82" s="26"/>
      <c r="C82" s="37"/>
      <c r="D82" s="41"/>
      <c r="E82" s="39"/>
      <c r="F82" s="39"/>
      <c r="G82" s="26"/>
      <c r="H82" s="26"/>
      <c r="I82" s="26"/>
      <c r="J82" s="26"/>
      <c r="K82" s="26"/>
      <c r="L82" s="26"/>
      <c r="M82" s="26"/>
      <c r="N82"/>
    </row>
    <row r="83" spans="1:14" s="21" customFormat="1" ht="27.75" customHeight="1" x14ac:dyDescent="0.25">
      <c r="A83" s="26"/>
      <c r="B83" s="26"/>
      <c r="C83" s="37"/>
      <c r="D83" s="39"/>
      <c r="E83" s="39"/>
      <c r="F83" s="39"/>
      <c r="G83" s="26"/>
      <c r="H83" s="26"/>
      <c r="I83" s="26"/>
      <c r="J83" s="26"/>
      <c r="K83" s="26"/>
      <c r="L83" s="26"/>
      <c r="M83" s="26"/>
      <c r="N83"/>
    </row>
    <row r="84" spans="1:14" s="21" customFormat="1" ht="27.75" customHeight="1" x14ac:dyDescent="0.25">
      <c r="A84" s="43"/>
      <c r="B84" s="43"/>
      <c r="C84" s="37"/>
      <c r="D84" s="41"/>
      <c r="E84" s="39"/>
      <c r="F84" s="39"/>
      <c r="G84" s="44"/>
      <c r="H84" s="44"/>
      <c r="I84" s="44"/>
      <c r="J84" s="44"/>
      <c r="K84" s="44"/>
      <c r="L84" s="44"/>
      <c r="M84" s="44"/>
      <c r="N84"/>
    </row>
    <row r="85" spans="1:14" s="21" customFormat="1" x14ac:dyDescent="0.25">
      <c r="A85" s="26"/>
      <c r="B85" s="26"/>
      <c r="C85" s="37"/>
      <c r="D85" s="41"/>
      <c r="E85" s="39"/>
      <c r="F85" s="39"/>
      <c r="G85" s="44"/>
      <c r="H85" s="44"/>
      <c r="I85" s="44"/>
      <c r="J85" s="44"/>
      <c r="K85" s="44"/>
      <c r="L85" s="44"/>
      <c r="M85" s="44"/>
      <c r="N85"/>
    </row>
    <row r="86" spans="1:14" s="21" customFormat="1" ht="25.5" customHeight="1" x14ac:dyDescent="0.25">
      <c r="A86" s="53"/>
      <c r="B86" s="53"/>
      <c r="C86" s="37"/>
      <c r="D86" s="52"/>
      <c r="E86" s="39"/>
      <c r="F86" s="39"/>
      <c r="G86" s="44"/>
      <c r="H86" s="44"/>
      <c r="I86" s="44"/>
      <c r="J86" s="44"/>
      <c r="K86" s="44"/>
      <c r="L86" s="44"/>
      <c r="M86" s="44"/>
      <c r="N86"/>
    </row>
    <row r="87" spans="1:14" s="21" customFormat="1" x14ac:dyDescent="0.25">
      <c r="A87" s="26"/>
      <c r="B87" s="26"/>
      <c r="C87" s="37"/>
      <c r="D87" s="39"/>
      <c r="E87" s="39"/>
      <c r="F87" s="39"/>
      <c r="G87" s="44"/>
      <c r="H87" s="44"/>
      <c r="I87" s="44"/>
      <c r="J87" s="44"/>
      <c r="K87" s="44"/>
      <c r="L87" s="44"/>
      <c r="M87" s="44"/>
      <c r="N87"/>
    </row>
    <row r="88" spans="1:14" s="21" customFormat="1" x14ac:dyDescent="0.25">
      <c r="A88" s="26"/>
      <c r="B88" s="26"/>
      <c r="C88" s="37"/>
      <c r="D88" s="41"/>
      <c r="E88" s="39"/>
      <c r="F88" s="39"/>
      <c r="G88" s="44"/>
      <c r="H88" s="44"/>
      <c r="I88" s="44"/>
      <c r="J88" s="44"/>
      <c r="K88" s="44"/>
      <c r="L88" s="44"/>
      <c r="M88" s="44"/>
      <c r="N88"/>
    </row>
    <row r="89" spans="1:14" s="21" customFormat="1" ht="42" customHeight="1" x14ac:dyDescent="0.45">
      <c r="A89" s="57"/>
      <c r="B89" s="57"/>
      <c r="C89" s="37"/>
      <c r="D89" s="56"/>
      <c r="E89" s="48"/>
      <c r="F89" s="39"/>
      <c r="G89" s="44"/>
      <c r="H89" s="44"/>
      <c r="I89" s="44"/>
      <c r="J89" s="44"/>
      <c r="K89" s="44"/>
      <c r="L89" s="44"/>
      <c r="M89" s="44"/>
      <c r="N89"/>
    </row>
    <row r="90" spans="1:14" s="21" customFormat="1" ht="15.5" x14ac:dyDescent="0.45">
      <c r="A90" s="46"/>
      <c r="B90" s="46"/>
      <c r="C90" s="37"/>
      <c r="D90" s="56"/>
      <c r="E90" s="39"/>
      <c r="F90" s="39"/>
      <c r="G90" s="44"/>
      <c r="H90" s="44"/>
      <c r="I90" s="44"/>
      <c r="J90" s="44"/>
      <c r="K90" s="44"/>
      <c r="L90" s="44"/>
      <c r="M90" s="44"/>
      <c r="N90"/>
    </row>
    <row r="91" spans="1:14" s="21" customFormat="1" x14ac:dyDescent="0.25">
      <c r="A91" s="43"/>
      <c r="B91" s="43"/>
      <c r="C91" s="37"/>
      <c r="D91" s="41"/>
      <c r="E91" s="39"/>
      <c r="F91" s="39"/>
      <c r="G91" s="44"/>
      <c r="H91" s="44"/>
      <c r="I91" s="44"/>
      <c r="J91" s="44"/>
      <c r="K91" s="44"/>
      <c r="L91" s="44"/>
      <c r="M91" s="44"/>
      <c r="N91"/>
    </row>
    <row r="92" spans="1:14" s="21" customFormat="1" x14ac:dyDescent="0.25">
      <c r="A92" s="26"/>
      <c r="B92" s="26"/>
      <c r="C92" s="37"/>
      <c r="D92" s="41"/>
      <c r="E92" s="39"/>
      <c r="F92" s="39"/>
      <c r="G92" s="44"/>
      <c r="H92" s="44"/>
      <c r="I92" s="44"/>
      <c r="J92" s="44"/>
      <c r="K92" s="44"/>
      <c r="L92" s="44"/>
      <c r="M92" s="44"/>
      <c r="N92"/>
    </row>
    <row r="93" spans="1:14" s="21" customFormat="1" x14ac:dyDescent="0.25">
      <c r="A93" s="26"/>
      <c r="B93" s="26"/>
      <c r="C93" s="37"/>
      <c r="D93" s="39"/>
      <c r="E93" s="39"/>
      <c r="F93" s="39"/>
      <c r="G93" s="44"/>
      <c r="H93" s="44"/>
      <c r="I93" s="44"/>
      <c r="J93" s="44"/>
      <c r="K93" s="44"/>
      <c r="L93" s="44"/>
      <c r="M93" s="44"/>
      <c r="N93"/>
    </row>
    <row r="94" spans="1:14" s="21" customFormat="1" x14ac:dyDescent="0.25">
      <c r="A94" s="26"/>
      <c r="B94" s="26"/>
      <c r="C94" s="37"/>
      <c r="D94" s="39"/>
      <c r="E94" s="39"/>
      <c r="F94" s="39"/>
      <c r="G94" s="44"/>
      <c r="H94" s="44"/>
      <c r="I94" s="44"/>
      <c r="J94" s="44"/>
      <c r="K94" s="44"/>
      <c r="L94" s="44"/>
      <c r="M94" s="44"/>
      <c r="N94"/>
    </row>
    <row r="95" spans="1:14" s="21" customFormat="1" x14ac:dyDescent="0.25">
      <c r="A95" s="43"/>
      <c r="B95" s="43"/>
      <c r="C95" s="37"/>
      <c r="D95" s="39"/>
      <c r="E95" s="39"/>
      <c r="F95" s="39"/>
      <c r="G95" s="44"/>
      <c r="H95" s="44"/>
      <c r="I95" s="44"/>
      <c r="J95" s="44"/>
      <c r="K95" s="44"/>
      <c r="L95" s="44"/>
      <c r="M95" s="44"/>
      <c r="N95"/>
    </row>
    <row r="96" spans="1:14" s="21" customFormat="1" x14ac:dyDescent="0.25">
      <c r="A96" s="26"/>
      <c r="B96" s="26"/>
      <c r="C96" s="37"/>
      <c r="D96" s="39"/>
      <c r="E96" s="39"/>
      <c r="F96" s="39"/>
      <c r="G96" s="44"/>
      <c r="H96" s="44"/>
      <c r="I96" s="44"/>
      <c r="J96" s="44"/>
      <c r="K96" s="44"/>
      <c r="L96" s="44"/>
      <c r="M96" s="44"/>
      <c r="N96"/>
    </row>
    <row r="97" spans="1:14" s="21" customFormat="1" ht="47.25" customHeight="1" x14ac:dyDescent="0.25">
      <c r="A97" s="26"/>
      <c r="B97" s="26"/>
      <c r="C97" s="37"/>
      <c r="D97" s="39"/>
      <c r="E97" s="39"/>
      <c r="F97" s="39"/>
      <c r="G97" s="44"/>
      <c r="H97" s="44"/>
      <c r="I97" s="44"/>
      <c r="J97" s="44"/>
      <c r="K97" s="44"/>
      <c r="L97" s="44"/>
      <c r="M97" s="44"/>
      <c r="N97"/>
    </row>
    <row r="98" spans="1:14" s="21" customFormat="1" ht="45.75" customHeight="1" x14ac:dyDescent="0.25">
      <c r="A98" s="43"/>
      <c r="B98" s="43"/>
      <c r="C98" s="37"/>
      <c r="D98" s="39"/>
      <c r="E98" s="39"/>
      <c r="F98" s="39"/>
      <c r="G98" s="44"/>
      <c r="H98" s="44"/>
      <c r="I98" s="44"/>
      <c r="J98" s="44"/>
      <c r="K98" s="44"/>
      <c r="L98" s="44"/>
      <c r="M98" s="44"/>
      <c r="N98"/>
    </row>
    <row r="99" spans="1:14" s="21" customFormat="1" ht="28.5" customHeight="1" x14ac:dyDescent="0.25">
      <c r="A99" s="26"/>
      <c r="B99" s="26"/>
      <c r="C99" s="37"/>
      <c r="D99" s="41"/>
      <c r="E99" s="39"/>
      <c r="F99" s="39"/>
      <c r="G99" s="44"/>
      <c r="H99" s="44"/>
      <c r="I99" s="44"/>
      <c r="J99" s="44"/>
      <c r="K99" s="44"/>
      <c r="L99" s="44"/>
      <c r="M99" s="44"/>
      <c r="N99"/>
    </row>
    <row r="100" spans="1:14" s="21" customFormat="1" ht="42.75" customHeight="1" x14ac:dyDescent="0.25">
      <c r="A100" s="43"/>
      <c r="B100" s="43"/>
      <c r="C100" s="37"/>
      <c r="D100" s="41"/>
      <c r="E100" s="39"/>
      <c r="F100" s="39"/>
      <c r="G100" s="44"/>
      <c r="H100" s="44"/>
      <c r="I100" s="44"/>
      <c r="J100" s="44"/>
      <c r="K100" s="44"/>
      <c r="L100" s="44"/>
      <c r="M100" s="44"/>
      <c r="N100"/>
    </row>
    <row r="101" spans="1:14" s="21" customFormat="1" ht="24" customHeight="1" x14ac:dyDescent="0.25">
      <c r="A101" s="26"/>
      <c r="B101" s="26"/>
      <c r="C101" s="37"/>
      <c r="D101" s="41"/>
      <c r="E101" s="39"/>
      <c r="F101" s="39"/>
      <c r="G101" s="44"/>
      <c r="H101" s="44"/>
      <c r="I101" s="44"/>
      <c r="J101" s="44"/>
      <c r="K101" s="44"/>
      <c r="L101" s="44"/>
      <c r="M101" s="44"/>
      <c r="N101"/>
    </row>
    <row r="102" spans="1:14" s="21" customFormat="1" x14ac:dyDescent="0.25">
      <c r="A102" s="26"/>
      <c r="B102" s="26"/>
      <c r="C102" s="37"/>
      <c r="D102" s="39"/>
      <c r="E102" s="39"/>
      <c r="F102" s="39"/>
      <c r="G102" s="44"/>
      <c r="H102" s="44"/>
      <c r="I102" s="44"/>
      <c r="J102" s="44"/>
      <c r="K102" s="44"/>
      <c r="L102" s="44"/>
      <c r="M102" s="44"/>
      <c r="N102"/>
    </row>
    <row r="103" spans="1:14" s="21" customFormat="1" ht="13.5" x14ac:dyDescent="0.35">
      <c r="A103" s="50"/>
      <c r="B103" s="50"/>
      <c r="C103" s="37"/>
      <c r="D103" s="71"/>
      <c r="E103" s="39"/>
      <c r="F103" s="39"/>
      <c r="G103" s="44"/>
      <c r="H103" s="44"/>
      <c r="I103" s="44"/>
      <c r="J103" s="44"/>
      <c r="K103" s="44"/>
      <c r="L103" s="44"/>
      <c r="M103" s="44"/>
      <c r="N103"/>
    </row>
    <row r="104" spans="1:14" s="21" customFormat="1" ht="13.5" x14ac:dyDescent="0.35">
      <c r="A104" s="51"/>
      <c r="B104" s="51"/>
      <c r="C104" s="37"/>
      <c r="D104" s="71"/>
      <c r="E104" s="39"/>
      <c r="F104" s="39"/>
      <c r="G104" s="44"/>
      <c r="H104" s="44"/>
      <c r="I104" s="44"/>
      <c r="J104" s="44"/>
      <c r="K104" s="44"/>
      <c r="L104" s="44"/>
      <c r="M104" s="44"/>
      <c r="N104"/>
    </row>
    <row r="105" spans="1:14" s="21" customFormat="1" ht="13.5" x14ac:dyDescent="0.35">
      <c r="A105" s="50"/>
      <c r="B105" s="50"/>
      <c r="C105" s="37"/>
      <c r="D105" s="71"/>
      <c r="E105" s="39"/>
      <c r="F105" s="39"/>
      <c r="G105" s="44"/>
      <c r="H105" s="44"/>
      <c r="I105" s="44"/>
      <c r="J105" s="44"/>
      <c r="K105" s="44"/>
      <c r="L105" s="44"/>
      <c r="M105" s="44"/>
      <c r="N105"/>
    </row>
    <row r="106" spans="1:14" s="21" customFormat="1" ht="45.75" customHeight="1" x14ac:dyDescent="0.25">
      <c r="A106" s="26"/>
      <c r="B106" s="26"/>
      <c r="C106" s="37"/>
      <c r="D106" s="41"/>
      <c r="E106" s="39"/>
      <c r="F106" s="39"/>
      <c r="G106" s="44"/>
      <c r="H106" s="44"/>
      <c r="I106" s="44"/>
      <c r="J106" s="44"/>
      <c r="K106" s="44"/>
      <c r="L106" s="44"/>
      <c r="M106" s="44"/>
      <c r="N106"/>
    </row>
    <row r="107" spans="1:14" s="21" customFormat="1" ht="57" customHeight="1" x14ac:dyDescent="0.25">
      <c r="A107" s="26"/>
      <c r="B107" s="26"/>
      <c r="C107" s="37"/>
      <c r="D107" s="39"/>
      <c r="E107" s="39"/>
      <c r="F107" s="39"/>
      <c r="G107" s="44"/>
      <c r="H107" s="44"/>
      <c r="I107" s="44"/>
      <c r="J107" s="44"/>
      <c r="K107" s="44"/>
      <c r="L107" s="44"/>
      <c r="M107" s="44"/>
      <c r="N107"/>
    </row>
    <row r="108" spans="1:14" s="21" customFormat="1" ht="47.25" customHeight="1" x14ac:dyDescent="0.25">
      <c r="A108" s="26"/>
      <c r="B108" s="26"/>
      <c r="C108" s="37"/>
      <c r="D108" s="39"/>
      <c r="E108" s="39"/>
      <c r="F108" s="39"/>
      <c r="G108" s="44"/>
      <c r="H108" s="44"/>
      <c r="I108" s="44"/>
      <c r="J108" s="44"/>
      <c r="K108" s="44"/>
      <c r="L108" s="44"/>
      <c r="M108" s="44"/>
      <c r="N108"/>
    </row>
    <row r="109" spans="1:14" s="21" customFormat="1" ht="47.25" customHeight="1" x14ac:dyDescent="0.25">
      <c r="A109" s="26"/>
      <c r="B109" s="26"/>
      <c r="C109" s="37"/>
      <c r="D109" s="39"/>
      <c r="E109" s="39"/>
      <c r="F109" s="39"/>
      <c r="G109" s="44"/>
      <c r="H109" s="44"/>
      <c r="I109" s="44"/>
      <c r="J109" s="44"/>
      <c r="K109" s="44"/>
      <c r="L109" s="44"/>
      <c r="M109" s="44"/>
      <c r="N109"/>
    </row>
    <row r="110" spans="1:14" s="21" customFormat="1" ht="49.5" customHeight="1" x14ac:dyDescent="0.45">
      <c r="A110" s="70"/>
      <c r="B110" s="70"/>
      <c r="C110" s="37"/>
      <c r="D110" s="56"/>
      <c r="E110" s="48"/>
      <c r="F110" s="39"/>
      <c r="G110" s="44"/>
      <c r="H110" s="44"/>
      <c r="I110" s="44"/>
      <c r="J110" s="44"/>
      <c r="K110" s="44"/>
      <c r="L110" s="44"/>
      <c r="M110" s="44"/>
      <c r="N110"/>
    </row>
    <row r="111" spans="1:14" s="21" customFormat="1" ht="34.5" customHeight="1" x14ac:dyDescent="0.25">
      <c r="A111" s="26"/>
      <c r="B111" s="26"/>
      <c r="C111" s="37"/>
      <c r="D111" s="39"/>
      <c r="E111" s="48"/>
      <c r="F111" s="39"/>
      <c r="G111" s="44"/>
      <c r="H111" s="44"/>
      <c r="I111" s="44"/>
      <c r="J111" s="44"/>
      <c r="K111" s="44"/>
      <c r="L111" s="44"/>
      <c r="M111" s="44"/>
      <c r="N111"/>
    </row>
    <row r="112" spans="1:14" s="21" customFormat="1" ht="39.75" customHeight="1" x14ac:dyDescent="0.25">
      <c r="A112" s="26"/>
      <c r="B112" s="26"/>
      <c r="C112" s="37"/>
      <c r="D112" s="41"/>
      <c r="E112" s="67"/>
      <c r="F112" s="67"/>
      <c r="G112" s="44"/>
      <c r="H112" s="44"/>
      <c r="I112" s="44"/>
      <c r="J112" s="44"/>
      <c r="K112" s="44"/>
      <c r="L112" s="44"/>
      <c r="M112" s="44"/>
      <c r="N112"/>
    </row>
    <row r="113" spans="1:14" s="21" customFormat="1" ht="29.25" customHeight="1" x14ac:dyDescent="0.25">
      <c r="A113" s="53"/>
      <c r="B113" s="53"/>
      <c r="C113" s="37"/>
      <c r="D113" s="64"/>
      <c r="E113" s="39"/>
      <c r="F113" s="39"/>
      <c r="G113" s="44"/>
      <c r="H113" s="44"/>
      <c r="I113" s="44"/>
      <c r="J113" s="44"/>
      <c r="K113" s="44"/>
      <c r="L113" s="44"/>
      <c r="M113" s="44"/>
      <c r="N113"/>
    </row>
    <row r="114" spans="1:14" s="21" customFormat="1" ht="13.5" x14ac:dyDescent="0.35">
      <c r="A114" s="50"/>
      <c r="B114" s="50"/>
      <c r="C114" s="37"/>
      <c r="D114" s="49"/>
      <c r="E114" s="39"/>
      <c r="F114" s="39"/>
      <c r="G114" s="44"/>
      <c r="H114" s="44"/>
      <c r="I114" s="44"/>
      <c r="J114" s="44"/>
      <c r="K114" s="44"/>
      <c r="L114" s="44"/>
      <c r="M114" s="44"/>
      <c r="N114"/>
    </row>
    <row r="115" spans="1:14" s="21" customFormat="1" ht="42" customHeight="1" x14ac:dyDescent="0.35">
      <c r="A115" s="51"/>
      <c r="B115" s="51"/>
      <c r="C115" s="37"/>
      <c r="D115" s="49"/>
      <c r="E115" s="39"/>
      <c r="F115" s="39"/>
      <c r="G115" s="44"/>
      <c r="H115" s="44"/>
      <c r="I115" s="44"/>
      <c r="J115" s="44"/>
      <c r="K115" s="44"/>
      <c r="L115" s="44"/>
      <c r="M115" s="44"/>
      <c r="N115"/>
    </row>
    <row r="116" spans="1:14" s="21" customFormat="1" x14ac:dyDescent="0.25">
      <c r="A116" s="26"/>
      <c r="B116" s="26"/>
      <c r="C116" s="37"/>
      <c r="D116" s="39"/>
      <c r="E116" s="39"/>
      <c r="F116" s="39"/>
      <c r="G116" s="44"/>
      <c r="H116" s="44"/>
      <c r="I116" s="44"/>
      <c r="J116" s="44"/>
      <c r="K116" s="44"/>
      <c r="L116" s="44"/>
      <c r="M116" s="44"/>
      <c r="N116"/>
    </row>
    <row r="117" spans="1:14" s="21" customFormat="1" x14ac:dyDescent="0.25">
      <c r="A117" s="54"/>
      <c r="B117" s="54"/>
      <c r="C117" s="37"/>
      <c r="D117" s="52"/>
      <c r="E117" s="41"/>
      <c r="F117" s="41"/>
      <c r="G117" s="55"/>
      <c r="H117" s="55"/>
      <c r="I117" s="55"/>
      <c r="J117" s="55"/>
      <c r="K117" s="55"/>
      <c r="L117" s="55"/>
      <c r="M117" s="55"/>
      <c r="N117"/>
    </row>
    <row r="118" spans="1:14" s="21" customFormat="1" x14ac:dyDescent="0.25">
      <c r="A118" s="54"/>
      <c r="B118" s="54"/>
      <c r="C118" s="37"/>
      <c r="D118" s="52"/>
      <c r="E118" s="41"/>
      <c r="F118" s="41"/>
      <c r="G118" s="55"/>
      <c r="H118" s="55"/>
      <c r="I118" s="55"/>
      <c r="J118" s="55"/>
      <c r="K118" s="55"/>
      <c r="L118" s="55"/>
      <c r="M118" s="55"/>
      <c r="N118"/>
    </row>
    <row r="119" spans="1:14" s="21" customFormat="1" x14ac:dyDescent="0.25">
      <c r="A119" s="26"/>
      <c r="B119" s="26"/>
      <c r="C119" s="37"/>
      <c r="D119" s="41"/>
      <c r="E119" s="48"/>
      <c r="F119" s="39"/>
      <c r="G119" s="44"/>
      <c r="H119" s="44"/>
      <c r="I119" s="44"/>
      <c r="J119" s="44"/>
      <c r="K119" s="44"/>
      <c r="L119" s="44"/>
      <c r="M119" s="44"/>
      <c r="N119"/>
    </row>
    <row r="120" spans="1:14" s="21" customFormat="1" x14ac:dyDescent="0.25">
      <c r="A120" s="43"/>
      <c r="B120" s="43"/>
      <c r="C120" s="37"/>
      <c r="D120" s="41"/>
      <c r="E120" s="48"/>
      <c r="F120" s="39"/>
      <c r="G120" s="44"/>
      <c r="H120" s="44"/>
      <c r="I120" s="44"/>
      <c r="J120" s="44"/>
      <c r="K120" s="44"/>
      <c r="L120" s="44"/>
      <c r="M120" s="44"/>
      <c r="N120"/>
    </row>
    <row r="121" spans="1:14" s="21" customFormat="1" x14ac:dyDescent="0.25">
      <c r="A121" s="26"/>
      <c r="B121" s="26"/>
      <c r="C121" s="37"/>
      <c r="D121" s="39"/>
      <c r="E121" s="39"/>
      <c r="F121" s="39"/>
      <c r="G121" s="44"/>
      <c r="H121" s="44"/>
      <c r="I121" s="44"/>
      <c r="J121" s="44"/>
      <c r="K121" s="44"/>
      <c r="L121" s="44"/>
      <c r="M121" s="44"/>
      <c r="N121"/>
    </row>
    <row r="122" spans="1:14" s="21" customFormat="1" x14ac:dyDescent="0.25">
      <c r="A122" s="43"/>
      <c r="B122" s="43"/>
      <c r="C122" s="37"/>
      <c r="D122" s="41"/>
      <c r="E122" s="39"/>
      <c r="F122" s="39"/>
      <c r="G122" s="44"/>
      <c r="H122" s="44"/>
      <c r="I122" s="44"/>
      <c r="J122" s="44"/>
      <c r="K122" s="44"/>
      <c r="L122" s="44"/>
      <c r="M122" s="44"/>
      <c r="N122"/>
    </row>
    <row r="123" spans="1:14" s="21" customFormat="1" ht="24.75" customHeight="1" x14ac:dyDescent="0.25">
      <c r="A123" s="26"/>
      <c r="B123" s="26"/>
      <c r="C123" s="37"/>
      <c r="D123" s="41"/>
      <c r="E123" s="39"/>
      <c r="F123" s="39"/>
      <c r="G123" s="44"/>
      <c r="H123" s="44"/>
      <c r="I123" s="44"/>
      <c r="J123" s="44"/>
      <c r="K123" s="44"/>
      <c r="L123" s="44"/>
      <c r="M123" s="44"/>
      <c r="N123"/>
    </row>
    <row r="124" spans="1:14" s="21" customFormat="1" x14ac:dyDescent="0.25">
      <c r="A124" s="26"/>
      <c r="B124" s="26"/>
      <c r="C124" s="37"/>
      <c r="D124" s="39"/>
      <c r="E124" s="39"/>
      <c r="F124" s="39"/>
      <c r="G124" s="44"/>
      <c r="H124" s="44"/>
      <c r="I124" s="44"/>
      <c r="J124" s="44"/>
      <c r="K124" s="44"/>
      <c r="L124" s="44"/>
      <c r="M124" s="44"/>
      <c r="N124"/>
    </row>
    <row r="125" spans="1:14" s="21" customFormat="1" x14ac:dyDescent="0.25">
      <c r="A125" s="43"/>
      <c r="B125" s="43"/>
      <c r="C125" s="37"/>
      <c r="D125" s="39"/>
      <c r="E125" s="39"/>
      <c r="F125" s="39"/>
      <c r="G125" s="26"/>
      <c r="H125" s="26"/>
      <c r="I125" s="26"/>
      <c r="J125" s="26"/>
      <c r="K125" s="26"/>
      <c r="L125" s="26"/>
      <c r="M125" s="26"/>
      <c r="N125"/>
    </row>
    <row r="126" spans="1:14" s="21" customFormat="1" x14ac:dyDescent="0.25">
      <c r="A126" s="26"/>
      <c r="B126" s="26"/>
      <c r="C126" s="37"/>
      <c r="D126" s="39"/>
      <c r="E126" s="39"/>
      <c r="F126" s="39"/>
      <c r="G126" s="44"/>
      <c r="H126" s="44"/>
      <c r="I126" s="44"/>
      <c r="J126" s="44"/>
      <c r="K126" s="44"/>
      <c r="L126" s="44"/>
      <c r="M126" s="44"/>
      <c r="N126"/>
    </row>
    <row r="127" spans="1:14" s="21" customFormat="1" x14ac:dyDescent="0.25">
      <c r="A127" s="26"/>
      <c r="B127" s="26"/>
      <c r="C127" s="37"/>
      <c r="D127" s="39"/>
      <c r="E127" s="39"/>
      <c r="F127" s="39"/>
      <c r="G127" s="44"/>
      <c r="H127" s="44"/>
      <c r="I127" s="44"/>
      <c r="J127" s="44"/>
      <c r="K127" s="44"/>
      <c r="L127" s="44"/>
      <c r="M127" s="44"/>
      <c r="N127"/>
    </row>
    <row r="128" spans="1:14" s="21" customFormat="1" x14ac:dyDescent="0.25">
      <c r="A128" s="26"/>
      <c r="B128" s="26"/>
      <c r="C128" s="37"/>
      <c r="D128" s="39"/>
      <c r="E128" s="39"/>
      <c r="F128" s="39"/>
      <c r="G128" s="44"/>
      <c r="H128" s="44"/>
      <c r="I128" s="44"/>
      <c r="J128" s="44"/>
      <c r="K128" s="44"/>
      <c r="L128" s="44"/>
      <c r="M128" s="44"/>
      <c r="N128"/>
    </row>
    <row r="129" spans="1:14" s="21" customFormat="1" x14ac:dyDescent="0.25">
      <c r="A129" s="26"/>
      <c r="B129" s="26"/>
      <c r="C129" s="37"/>
      <c r="D129" s="39"/>
      <c r="E129" s="39"/>
      <c r="F129" s="39"/>
      <c r="G129" s="44"/>
      <c r="H129" s="44"/>
      <c r="I129" s="44"/>
      <c r="J129" s="44"/>
      <c r="K129" s="44"/>
      <c r="L129" s="44"/>
      <c r="M129" s="44"/>
      <c r="N129"/>
    </row>
    <row r="130" spans="1:14" s="21" customFormat="1" ht="31.5" customHeight="1" x14ac:dyDescent="0.25">
      <c r="A130" s="26"/>
      <c r="B130" s="26"/>
      <c r="C130" s="37"/>
      <c r="D130" s="39"/>
      <c r="E130" s="39"/>
      <c r="F130" s="39"/>
      <c r="G130" s="44"/>
      <c r="H130" s="44"/>
      <c r="I130" s="44"/>
      <c r="J130" s="44"/>
      <c r="K130" s="44"/>
      <c r="L130" s="44"/>
      <c r="M130" s="44"/>
      <c r="N130"/>
    </row>
    <row r="131" spans="1:14" s="21" customFormat="1" x14ac:dyDescent="0.25">
      <c r="A131" s="43"/>
      <c r="B131" s="43"/>
      <c r="C131" s="37"/>
      <c r="D131" s="39"/>
      <c r="E131" s="39"/>
      <c r="F131" s="39"/>
      <c r="G131" s="44"/>
      <c r="H131" s="44"/>
      <c r="I131" s="44"/>
      <c r="J131" s="44"/>
      <c r="K131" s="44"/>
      <c r="L131" s="44"/>
      <c r="M131" s="44"/>
      <c r="N131"/>
    </row>
    <row r="132" spans="1:14" s="21" customFormat="1" ht="13.5" x14ac:dyDescent="0.35">
      <c r="A132" s="69"/>
      <c r="B132" s="69"/>
      <c r="C132" s="37"/>
      <c r="D132" s="68"/>
      <c r="E132" s="67"/>
      <c r="F132" s="67"/>
      <c r="G132" s="66"/>
      <c r="H132" s="66"/>
      <c r="I132" s="66"/>
      <c r="J132" s="66"/>
      <c r="K132" s="66"/>
      <c r="L132" s="66"/>
      <c r="M132" s="66"/>
      <c r="N132"/>
    </row>
    <row r="133" spans="1:14" s="21" customFormat="1" x14ac:dyDescent="0.25">
      <c r="A133" s="65"/>
      <c r="B133" s="65"/>
      <c r="C133" s="37"/>
      <c r="D133" s="64"/>
      <c r="E133" s="39"/>
      <c r="F133" s="39"/>
      <c r="G133" s="44"/>
      <c r="H133" s="44"/>
      <c r="I133" s="44"/>
      <c r="J133" s="44"/>
      <c r="K133" s="44"/>
      <c r="L133" s="44"/>
      <c r="M133" s="44"/>
      <c r="N133"/>
    </row>
    <row r="134" spans="1:14" s="21" customFormat="1" ht="35.25" customHeight="1" x14ac:dyDescent="0.25">
      <c r="A134" s="53"/>
      <c r="B134" s="53"/>
      <c r="C134" s="37"/>
      <c r="D134" s="52"/>
      <c r="E134" s="39"/>
      <c r="F134" s="39"/>
      <c r="G134" s="44"/>
      <c r="H134" s="44"/>
      <c r="I134" s="44"/>
      <c r="J134" s="44"/>
      <c r="K134" s="44"/>
      <c r="L134" s="44"/>
      <c r="M134" s="44"/>
      <c r="N134"/>
    </row>
    <row r="135" spans="1:14" s="21" customFormat="1" ht="39.75" customHeight="1" x14ac:dyDescent="0.25">
      <c r="A135" s="53"/>
      <c r="B135" s="53"/>
      <c r="C135" s="37"/>
      <c r="D135" s="64"/>
      <c r="E135" s="39"/>
      <c r="F135" s="39"/>
      <c r="G135" s="44"/>
      <c r="H135" s="44"/>
      <c r="I135" s="44"/>
      <c r="J135" s="44"/>
      <c r="K135" s="44"/>
      <c r="L135" s="44"/>
      <c r="M135" s="44"/>
      <c r="N135"/>
    </row>
    <row r="136" spans="1:14" s="21" customFormat="1" ht="38.25" customHeight="1" x14ac:dyDescent="0.25">
      <c r="A136" s="65"/>
      <c r="B136" s="65"/>
      <c r="C136" s="37"/>
      <c r="D136" s="64"/>
      <c r="E136" s="39"/>
      <c r="F136" s="39"/>
      <c r="G136" s="44"/>
      <c r="H136" s="44"/>
      <c r="I136" s="44"/>
      <c r="J136" s="44"/>
      <c r="K136" s="44"/>
      <c r="L136" s="44"/>
      <c r="M136" s="44"/>
      <c r="N136"/>
    </row>
    <row r="137" spans="1:14" s="21" customFormat="1" x14ac:dyDescent="0.25">
      <c r="A137" s="65"/>
      <c r="B137" s="65"/>
      <c r="C137" s="37"/>
      <c r="D137" s="64"/>
      <c r="E137" s="39"/>
      <c r="F137" s="39"/>
      <c r="G137" s="44"/>
      <c r="H137" s="44"/>
      <c r="I137" s="44"/>
      <c r="J137" s="44"/>
      <c r="K137" s="44"/>
      <c r="L137" s="44"/>
      <c r="M137" s="44"/>
      <c r="N137"/>
    </row>
    <row r="138" spans="1:14" s="21" customFormat="1" ht="36" customHeight="1" x14ac:dyDescent="0.25">
      <c r="A138" s="26"/>
      <c r="B138" s="26"/>
      <c r="C138" s="37"/>
      <c r="D138" s="39"/>
      <c r="E138" s="39"/>
      <c r="F138" s="39"/>
      <c r="G138" s="44"/>
      <c r="H138" s="44"/>
      <c r="I138" s="44"/>
      <c r="J138" s="44"/>
      <c r="K138" s="44"/>
      <c r="L138" s="44"/>
      <c r="M138" s="44"/>
      <c r="N138"/>
    </row>
    <row r="139" spans="1:14" s="21" customFormat="1" ht="24.75" customHeight="1" x14ac:dyDescent="0.25">
      <c r="A139" s="26"/>
      <c r="B139" s="26"/>
      <c r="C139" s="37"/>
      <c r="D139" s="39"/>
      <c r="E139" s="39"/>
      <c r="F139" s="39"/>
      <c r="G139" s="44"/>
      <c r="H139" s="44"/>
      <c r="I139" s="44"/>
      <c r="J139" s="44"/>
      <c r="K139" s="44"/>
      <c r="L139" s="44"/>
      <c r="M139" s="44"/>
      <c r="N139"/>
    </row>
    <row r="140" spans="1:14" s="21" customFormat="1" ht="33" customHeight="1" x14ac:dyDescent="0.25">
      <c r="A140" s="26"/>
      <c r="B140" s="26"/>
      <c r="C140" s="37"/>
      <c r="D140" s="39"/>
      <c r="E140" s="39"/>
      <c r="F140" s="39"/>
      <c r="G140" s="44"/>
      <c r="H140" s="44"/>
      <c r="I140" s="44"/>
      <c r="J140" s="44"/>
      <c r="K140" s="44"/>
      <c r="L140" s="44"/>
      <c r="M140" s="44"/>
      <c r="N140"/>
    </row>
    <row r="141" spans="1:14" s="21" customFormat="1" x14ac:dyDescent="0.25">
      <c r="A141" s="43"/>
      <c r="B141" s="43"/>
      <c r="C141" s="37"/>
      <c r="D141" s="39"/>
      <c r="E141" s="39"/>
      <c r="F141" s="39"/>
      <c r="G141" s="44"/>
      <c r="H141" s="44"/>
      <c r="I141" s="44"/>
      <c r="J141" s="44"/>
      <c r="K141" s="44"/>
      <c r="L141" s="44"/>
      <c r="M141" s="44"/>
      <c r="N141"/>
    </row>
    <row r="142" spans="1:14" s="21" customFormat="1" x14ac:dyDescent="0.25">
      <c r="A142" s="26"/>
      <c r="B142" s="26"/>
      <c r="C142" s="37"/>
      <c r="D142" s="39"/>
      <c r="E142" s="39"/>
      <c r="F142" s="39"/>
      <c r="G142" s="26"/>
      <c r="H142" s="26"/>
      <c r="I142" s="26"/>
      <c r="J142" s="26"/>
      <c r="K142" s="26"/>
      <c r="L142" s="26"/>
      <c r="M142" s="26"/>
      <c r="N142"/>
    </row>
    <row r="143" spans="1:14" s="21" customFormat="1" x14ac:dyDescent="0.25">
      <c r="A143" s="43"/>
      <c r="B143" s="43"/>
      <c r="C143" s="37"/>
      <c r="D143" s="41"/>
      <c r="E143" s="41"/>
      <c r="F143" s="39"/>
      <c r="G143" s="44"/>
      <c r="H143" s="44"/>
      <c r="I143" s="44"/>
      <c r="J143" s="44"/>
      <c r="K143" s="44"/>
      <c r="L143" s="44"/>
      <c r="M143" s="44"/>
      <c r="N143"/>
    </row>
    <row r="144" spans="1:14" s="21" customFormat="1" ht="33.75" customHeight="1" x14ac:dyDescent="0.25">
      <c r="A144" s="63"/>
      <c r="B144" s="63"/>
      <c r="C144" s="37"/>
      <c r="D144" s="52"/>
      <c r="E144" s="41"/>
      <c r="F144" s="39"/>
      <c r="G144" s="44"/>
      <c r="H144" s="44"/>
      <c r="I144" s="44"/>
      <c r="J144" s="44"/>
      <c r="K144" s="44"/>
      <c r="L144" s="44"/>
      <c r="M144" s="44"/>
      <c r="N144"/>
    </row>
    <row r="145" spans="1:14" s="21" customFormat="1" ht="34.5" customHeight="1" x14ac:dyDescent="0.25">
      <c r="A145" s="26"/>
      <c r="B145" s="26"/>
      <c r="C145" s="37"/>
      <c r="D145" s="41"/>
      <c r="E145" s="41"/>
      <c r="F145" s="39"/>
      <c r="G145" s="26"/>
      <c r="H145" s="26"/>
      <c r="I145" s="26"/>
      <c r="J145" s="26"/>
      <c r="K145" s="26"/>
      <c r="L145" s="26"/>
      <c r="M145" s="26"/>
      <c r="N145"/>
    </row>
    <row r="146" spans="1:14" s="21" customFormat="1" x14ac:dyDescent="0.25">
      <c r="A146" s="62"/>
      <c r="B146" s="62"/>
      <c r="C146" s="37"/>
      <c r="D146" s="52"/>
      <c r="E146" s="41"/>
      <c r="F146" s="39"/>
      <c r="G146" s="60"/>
      <c r="H146" s="60"/>
      <c r="I146" s="60"/>
      <c r="J146" s="60"/>
      <c r="K146" s="60"/>
      <c r="L146" s="60"/>
      <c r="M146" s="60"/>
      <c r="N146"/>
    </row>
    <row r="147" spans="1:14" s="21" customFormat="1" ht="44.25" customHeight="1" x14ac:dyDescent="0.25">
      <c r="A147" s="43"/>
      <c r="B147" s="43"/>
      <c r="C147" s="37"/>
      <c r="D147" s="41"/>
      <c r="E147" s="39"/>
      <c r="F147" s="39"/>
      <c r="G147" s="44"/>
      <c r="H147" s="44"/>
      <c r="I147" s="44"/>
      <c r="J147" s="44"/>
      <c r="K147" s="44"/>
      <c r="L147" s="44"/>
      <c r="M147" s="44"/>
      <c r="N147"/>
    </row>
    <row r="148" spans="1:14" s="21" customFormat="1" ht="44.25" customHeight="1" x14ac:dyDescent="0.25">
      <c r="A148" s="26"/>
      <c r="B148" s="26"/>
      <c r="C148" s="37"/>
      <c r="D148" s="41"/>
      <c r="E148" s="39"/>
      <c r="F148" s="39"/>
      <c r="G148" s="44"/>
      <c r="H148" s="44"/>
      <c r="I148" s="44"/>
      <c r="J148" s="44"/>
      <c r="K148" s="44"/>
      <c r="L148" s="44"/>
      <c r="M148" s="44"/>
      <c r="N148"/>
    </row>
    <row r="149" spans="1:14" s="21" customFormat="1" x14ac:dyDescent="0.25">
      <c r="A149" s="43"/>
      <c r="B149" s="43"/>
      <c r="C149" s="37"/>
      <c r="D149" s="41"/>
      <c r="E149" s="39"/>
      <c r="F149" s="39"/>
      <c r="G149" s="44"/>
      <c r="H149" s="44"/>
      <c r="I149" s="44"/>
      <c r="J149" s="44"/>
      <c r="K149" s="44"/>
      <c r="L149" s="44"/>
      <c r="M149" s="44"/>
      <c r="N149"/>
    </row>
    <row r="150" spans="1:14" s="21" customFormat="1" ht="37.5" customHeight="1" x14ac:dyDescent="0.25">
      <c r="A150" s="26"/>
      <c r="B150" s="26"/>
      <c r="C150" s="37"/>
      <c r="D150" s="41"/>
      <c r="E150" s="39"/>
      <c r="F150" s="39"/>
      <c r="G150" s="26"/>
      <c r="H150" s="26"/>
      <c r="I150" s="26"/>
      <c r="J150" s="26"/>
      <c r="K150" s="26"/>
      <c r="L150" s="26"/>
      <c r="M150" s="26"/>
      <c r="N150"/>
    </row>
    <row r="151" spans="1:14" s="21" customFormat="1" ht="33.75" customHeight="1" x14ac:dyDescent="0.25">
      <c r="A151" s="26"/>
      <c r="B151" s="26"/>
      <c r="C151" s="37"/>
      <c r="D151" s="41"/>
      <c r="E151" s="39"/>
      <c r="F151" s="39"/>
      <c r="G151" s="44"/>
      <c r="H151" s="44"/>
      <c r="I151" s="44"/>
      <c r="J151" s="44"/>
      <c r="K151" s="44"/>
      <c r="L151" s="44"/>
      <c r="M151" s="44"/>
      <c r="N151"/>
    </row>
    <row r="152" spans="1:14" s="21" customFormat="1" ht="35.25" customHeight="1" x14ac:dyDescent="0.25">
      <c r="A152" s="26"/>
      <c r="B152" s="26"/>
      <c r="C152" s="37"/>
      <c r="D152" s="41"/>
      <c r="E152" s="39"/>
      <c r="F152" s="39"/>
      <c r="G152" s="44"/>
      <c r="H152" s="44"/>
      <c r="I152" s="44"/>
      <c r="J152" s="44"/>
      <c r="K152" s="44"/>
      <c r="L152" s="44"/>
      <c r="M152" s="44"/>
      <c r="N152"/>
    </row>
    <row r="153" spans="1:14" s="21" customFormat="1" ht="35.25" customHeight="1" x14ac:dyDescent="0.25">
      <c r="A153" s="43"/>
      <c r="B153" s="43"/>
      <c r="C153" s="37"/>
      <c r="D153" s="39"/>
      <c r="E153" s="39"/>
      <c r="F153" s="39"/>
      <c r="G153" s="44"/>
      <c r="H153" s="44"/>
      <c r="I153" s="44"/>
      <c r="J153" s="44"/>
      <c r="K153" s="44"/>
      <c r="L153" s="44"/>
      <c r="M153" s="44"/>
      <c r="N153"/>
    </row>
    <row r="154" spans="1:14" s="21" customFormat="1" x14ac:dyDescent="0.25">
      <c r="A154" s="26"/>
      <c r="B154" s="26"/>
      <c r="C154" s="37"/>
      <c r="D154" s="39"/>
      <c r="E154" s="39"/>
      <c r="F154" s="39"/>
      <c r="G154" s="44"/>
      <c r="H154" s="44"/>
      <c r="I154" s="44"/>
      <c r="J154" s="44"/>
      <c r="K154" s="44"/>
      <c r="L154" s="44"/>
      <c r="M154" s="44"/>
      <c r="N154"/>
    </row>
    <row r="155" spans="1:14" s="21" customFormat="1" ht="30.75" customHeight="1" x14ac:dyDescent="0.25">
      <c r="A155" s="27"/>
      <c r="B155" s="27"/>
      <c r="C155" s="37"/>
      <c r="D155" s="41"/>
      <c r="E155" s="61"/>
      <c r="F155" s="41"/>
      <c r="G155" s="40"/>
      <c r="H155" s="40"/>
      <c r="I155" s="40"/>
      <c r="J155" s="40"/>
      <c r="K155" s="40"/>
      <c r="L155" s="40"/>
      <c r="M155" s="40"/>
      <c r="N155"/>
    </row>
    <row r="156" spans="1:14" s="21" customFormat="1" ht="27" customHeight="1" x14ac:dyDescent="0.25">
      <c r="A156" s="26"/>
      <c r="B156" s="26"/>
      <c r="C156" s="37"/>
      <c r="D156" s="41"/>
      <c r="E156" s="39"/>
      <c r="F156" s="39"/>
      <c r="G156" s="44"/>
      <c r="H156" s="44"/>
      <c r="I156" s="44"/>
      <c r="J156" s="44"/>
      <c r="K156" s="44"/>
      <c r="L156" s="44"/>
      <c r="M156" s="44"/>
      <c r="N156"/>
    </row>
    <row r="157" spans="1:14" s="21" customFormat="1" x14ac:dyDescent="0.25">
      <c r="A157" s="26"/>
      <c r="B157" s="26"/>
      <c r="C157" s="37"/>
      <c r="D157" s="39"/>
      <c r="E157" s="39"/>
      <c r="F157" s="39"/>
      <c r="G157" s="44"/>
      <c r="H157" s="44"/>
      <c r="I157" s="44"/>
      <c r="J157" s="44"/>
      <c r="K157" s="44"/>
      <c r="L157" s="44"/>
      <c r="M157" s="44"/>
      <c r="N157"/>
    </row>
    <row r="158" spans="1:14" s="21" customFormat="1" x14ac:dyDescent="0.25">
      <c r="A158" s="55"/>
      <c r="B158" s="55"/>
      <c r="C158" s="37"/>
      <c r="D158" s="41"/>
      <c r="E158" s="41"/>
      <c r="F158" s="39"/>
      <c r="G158" s="60"/>
      <c r="H158" s="60"/>
      <c r="I158" s="60"/>
      <c r="J158" s="60"/>
      <c r="K158" s="60"/>
      <c r="L158" s="60"/>
      <c r="M158" s="60"/>
      <c r="N158"/>
    </row>
    <row r="159" spans="1:14" s="21" customFormat="1" x14ac:dyDescent="0.25">
      <c r="A159" s="26"/>
      <c r="B159" s="26"/>
      <c r="C159" s="37"/>
      <c r="D159" s="39"/>
      <c r="E159" s="39"/>
      <c r="F159" s="39"/>
      <c r="G159" s="44"/>
      <c r="H159" s="44"/>
      <c r="I159" s="44"/>
      <c r="J159" s="44"/>
      <c r="K159" s="44"/>
      <c r="L159" s="44"/>
      <c r="M159" s="44"/>
      <c r="N159"/>
    </row>
    <row r="160" spans="1:14" s="21" customFormat="1" x14ac:dyDescent="0.25">
      <c r="A160" s="26"/>
      <c r="B160" s="26"/>
      <c r="C160" s="37"/>
      <c r="D160" s="39"/>
      <c r="E160" s="39"/>
      <c r="F160" s="39"/>
      <c r="G160" s="44"/>
      <c r="H160" s="44"/>
      <c r="I160" s="44"/>
      <c r="J160" s="44"/>
      <c r="K160" s="44"/>
      <c r="L160" s="44"/>
      <c r="M160" s="44"/>
      <c r="N160"/>
    </row>
    <row r="161" spans="1:14" s="21" customFormat="1" x14ac:dyDescent="0.25">
      <c r="A161" s="53"/>
      <c r="B161" s="53"/>
      <c r="C161" s="37"/>
      <c r="D161" s="41"/>
      <c r="E161" s="28"/>
      <c r="F161" s="39"/>
      <c r="G161" s="44"/>
      <c r="H161" s="44"/>
      <c r="I161" s="44"/>
      <c r="J161" s="44"/>
      <c r="K161" s="44"/>
      <c r="L161" s="44"/>
      <c r="M161" s="44"/>
      <c r="N161"/>
    </row>
    <row r="162" spans="1:14" s="21" customFormat="1" x14ac:dyDescent="0.25">
      <c r="A162" s="26"/>
      <c r="B162" s="26"/>
      <c r="C162" s="37"/>
      <c r="D162" s="41"/>
      <c r="E162" s="39"/>
      <c r="F162" s="39"/>
      <c r="G162" s="44"/>
      <c r="H162" s="44"/>
      <c r="I162" s="44"/>
      <c r="J162" s="44"/>
      <c r="K162" s="44"/>
      <c r="L162" s="44"/>
      <c r="M162" s="44"/>
      <c r="N162"/>
    </row>
    <row r="163" spans="1:14" s="21" customFormat="1" x14ac:dyDescent="0.25">
      <c r="A163" s="59"/>
      <c r="B163" s="59"/>
      <c r="C163" s="37"/>
      <c r="D163" s="39"/>
      <c r="E163" s="39"/>
      <c r="F163" s="39"/>
      <c r="G163" s="44"/>
      <c r="H163" s="44"/>
      <c r="I163" s="44"/>
      <c r="J163" s="44"/>
      <c r="K163" s="44"/>
      <c r="L163" s="44"/>
      <c r="M163" s="44"/>
      <c r="N163"/>
    </row>
    <row r="164" spans="1:14" s="21" customFormat="1" x14ac:dyDescent="0.25">
      <c r="A164" s="59"/>
      <c r="B164" s="59"/>
      <c r="C164" s="37"/>
      <c r="D164" s="39"/>
      <c r="E164" s="39"/>
      <c r="F164" s="39"/>
      <c r="G164" s="26"/>
      <c r="H164" s="26"/>
      <c r="I164" s="26"/>
      <c r="J164" s="26"/>
      <c r="K164" s="26"/>
      <c r="L164" s="26"/>
      <c r="M164" s="26"/>
      <c r="N164"/>
    </row>
    <row r="165" spans="1:14" s="21" customFormat="1" ht="28.5" customHeight="1" x14ac:dyDescent="0.25">
      <c r="A165" s="26"/>
      <c r="B165" s="26"/>
      <c r="C165" s="37"/>
      <c r="D165" s="39"/>
      <c r="E165" s="39"/>
      <c r="F165" s="39"/>
      <c r="G165" s="26"/>
      <c r="H165" s="26"/>
      <c r="I165" s="26"/>
      <c r="J165" s="26"/>
      <c r="K165" s="26"/>
      <c r="L165" s="26"/>
      <c r="M165" s="26"/>
      <c r="N165"/>
    </row>
    <row r="166" spans="1:14" s="21" customFormat="1" x14ac:dyDescent="0.25">
      <c r="A166" s="23"/>
      <c r="B166" s="23"/>
      <c r="C166" s="37"/>
      <c r="D166" s="39"/>
      <c r="E166" s="39"/>
      <c r="F166" s="39"/>
      <c r="G166" s="44"/>
      <c r="H166" s="44"/>
      <c r="I166" s="44"/>
      <c r="J166" s="44"/>
      <c r="K166" s="44"/>
      <c r="L166" s="44"/>
      <c r="M166" s="44"/>
      <c r="N166"/>
    </row>
    <row r="167" spans="1:14" s="21" customFormat="1" ht="43.5" customHeight="1" x14ac:dyDescent="0.25">
      <c r="A167" s="43"/>
      <c r="B167" s="43"/>
      <c r="C167" s="37"/>
      <c r="D167" s="39"/>
      <c r="E167" s="39"/>
      <c r="F167" s="39"/>
      <c r="G167" s="44"/>
      <c r="H167" s="44"/>
      <c r="I167" s="44"/>
      <c r="J167" s="44"/>
      <c r="K167" s="44"/>
      <c r="L167" s="44"/>
      <c r="M167" s="44"/>
      <c r="N167"/>
    </row>
    <row r="168" spans="1:14" s="21" customFormat="1" x14ac:dyDescent="0.25">
      <c r="A168" s="26"/>
      <c r="B168" s="26"/>
      <c r="C168" s="37"/>
      <c r="D168" s="39"/>
      <c r="E168" s="39"/>
      <c r="F168" s="39"/>
      <c r="G168" s="26"/>
      <c r="H168" s="26"/>
      <c r="I168" s="26"/>
      <c r="J168" s="26"/>
      <c r="K168" s="26"/>
      <c r="L168" s="26"/>
      <c r="M168" s="26"/>
      <c r="N168"/>
    </row>
    <row r="169" spans="1:14" s="21" customFormat="1" x14ac:dyDescent="0.25">
      <c r="A169" s="26"/>
      <c r="B169" s="26"/>
      <c r="C169" s="37"/>
      <c r="D169" s="39"/>
      <c r="E169" s="39"/>
      <c r="F169" s="39"/>
      <c r="G169" s="44"/>
      <c r="H169" s="44"/>
      <c r="I169" s="44"/>
      <c r="J169" s="44"/>
      <c r="K169" s="44"/>
      <c r="L169" s="44"/>
      <c r="M169" s="44"/>
      <c r="N169"/>
    </row>
    <row r="170" spans="1:14" s="21" customFormat="1" x14ac:dyDescent="0.25">
      <c r="A170" s="26"/>
      <c r="B170" s="26"/>
      <c r="C170" s="37"/>
      <c r="D170" s="39"/>
      <c r="E170" s="39"/>
      <c r="F170" s="39"/>
      <c r="G170" s="44"/>
      <c r="H170" s="44"/>
      <c r="I170" s="44"/>
      <c r="J170" s="44"/>
      <c r="K170" s="44"/>
      <c r="L170" s="44"/>
      <c r="M170" s="44"/>
      <c r="N170"/>
    </row>
    <row r="171" spans="1:14" s="21" customFormat="1" x14ac:dyDescent="0.25">
      <c r="A171" s="26"/>
      <c r="B171" s="26"/>
      <c r="C171" s="37"/>
      <c r="D171" s="39"/>
      <c r="E171" s="39"/>
      <c r="F171" s="39"/>
      <c r="G171" s="44"/>
      <c r="H171" s="44"/>
      <c r="I171" s="44"/>
      <c r="J171" s="44"/>
      <c r="K171" s="44"/>
      <c r="L171" s="44"/>
      <c r="M171" s="44"/>
      <c r="N171"/>
    </row>
    <row r="172" spans="1:14" s="21" customFormat="1" ht="31.5" customHeight="1" x14ac:dyDescent="0.25">
      <c r="A172" s="26"/>
      <c r="B172" s="26"/>
      <c r="C172" s="37"/>
      <c r="D172" s="39"/>
      <c r="E172" s="39"/>
      <c r="F172" s="39"/>
      <c r="G172" s="44"/>
      <c r="H172" s="44"/>
      <c r="I172" s="44"/>
      <c r="J172" s="44"/>
      <c r="K172" s="44"/>
      <c r="L172" s="44"/>
      <c r="M172" s="44"/>
      <c r="N172"/>
    </row>
    <row r="173" spans="1:14" s="21" customFormat="1" ht="27" customHeight="1" x14ac:dyDescent="0.25">
      <c r="A173" s="26"/>
      <c r="B173" s="26"/>
      <c r="C173" s="37"/>
      <c r="D173" s="39"/>
      <c r="E173" s="39"/>
      <c r="F173" s="39"/>
      <c r="G173" s="26"/>
      <c r="H173" s="26"/>
      <c r="I173" s="26"/>
      <c r="J173" s="26"/>
      <c r="K173" s="26"/>
      <c r="L173" s="26"/>
      <c r="M173" s="26"/>
      <c r="N173"/>
    </row>
    <row r="174" spans="1:14" s="21" customFormat="1" x14ac:dyDescent="0.25">
      <c r="A174" s="26"/>
      <c r="B174" s="26"/>
      <c r="C174" s="37"/>
      <c r="D174" s="41"/>
      <c r="E174" s="39"/>
      <c r="F174" s="39"/>
      <c r="G174" s="26"/>
      <c r="H174" s="26"/>
      <c r="I174" s="26"/>
      <c r="J174" s="26"/>
      <c r="K174" s="26"/>
      <c r="L174" s="26"/>
      <c r="M174" s="26"/>
      <c r="N174"/>
    </row>
    <row r="175" spans="1:14" s="21" customFormat="1" ht="27.75" customHeight="1" x14ac:dyDescent="0.25">
      <c r="A175" s="26"/>
      <c r="B175" s="26"/>
      <c r="C175" s="37"/>
      <c r="D175" s="41"/>
      <c r="E175" s="39"/>
      <c r="F175" s="39"/>
      <c r="G175" s="44"/>
      <c r="H175" s="44"/>
      <c r="I175" s="44"/>
      <c r="J175" s="44"/>
      <c r="K175" s="44"/>
      <c r="L175" s="44"/>
      <c r="M175" s="44"/>
      <c r="N175"/>
    </row>
    <row r="176" spans="1:14" s="21" customFormat="1" ht="34.5" customHeight="1" x14ac:dyDescent="0.35">
      <c r="A176" s="50"/>
      <c r="B176" s="50"/>
      <c r="C176" s="37"/>
      <c r="D176" s="58"/>
      <c r="E176" s="39"/>
      <c r="F176" s="39"/>
      <c r="G176" s="44"/>
      <c r="H176" s="44"/>
      <c r="I176" s="44"/>
      <c r="J176" s="44"/>
      <c r="K176" s="44"/>
      <c r="L176" s="44"/>
      <c r="M176" s="44"/>
      <c r="N176"/>
    </row>
    <row r="177" spans="1:14" s="21" customFormat="1" ht="13.5" x14ac:dyDescent="0.35">
      <c r="A177" s="51"/>
      <c r="B177" s="51"/>
      <c r="C177" s="37"/>
      <c r="D177" s="58"/>
      <c r="E177" s="39"/>
      <c r="F177" s="39"/>
      <c r="G177" s="44"/>
      <c r="H177" s="44"/>
      <c r="I177" s="44"/>
      <c r="J177" s="44"/>
      <c r="K177" s="44"/>
      <c r="L177" s="44"/>
      <c r="M177" s="44"/>
      <c r="N177"/>
    </row>
    <row r="178" spans="1:14" s="21" customFormat="1" x14ac:dyDescent="0.25">
      <c r="A178" s="53"/>
      <c r="B178" s="53"/>
      <c r="C178" s="37"/>
      <c r="D178" s="41"/>
      <c r="E178" s="39"/>
      <c r="F178" s="39"/>
      <c r="G178" s="44"/>
      <c r="H178" s="44"/>
      <c r="I178" s="44"/>
      <c r="J178" s="44"/>
      <c r="K178" s="44"/>
      <c r="L178" s="44"/>
      <c r="M178" s="44"/>
      <c r="N178"/>
    </row>
    <row r="179" spans="1:14" s="21" customFormat="1" x14ac:dyDescent="0.25">
      <c r="A179" s="26"/>
      <c r="B179" s="26"/>
      <c r="C179" s="37"/>
      <c r="D179" s="41"/>
      <c r="E179" s="39"/>
      <c r="F179" s="39"/>
      <c r="G179" s="26"/>
      <c r="H179" s="26"/>
      <c r="I179" s="26"/>
      <c r="J179" s="26"/>
      <c r="K179" s="26"/>
      <c r="L179" s="26"/>
      <c r="M179" s="26"/>
      <c r="N179"/>
    </row>
    <row r="180" spans="1:14" s="21" customFormat="1" ht="33" customHeight="1" x14ac:dyDescent="0.35">
      <c r="A180" s="50"/>
      <c r="B180" s="50"/>
      <c r="C180" s="37"/>
      <c r="D180" s="49"/>
      <c r="E180" s="39"/>
      <c r="F180" s="39"/>
      <c r="G180" s="44"/>
      <c r="H180" s="44"/>
      <c r="I180" s="44"/>
      <c r="J180" s="44"/>
      <c r="K180" s="44"/>
      <c r="L180" s="44"/>
      <c r="M180" s="44"/>
      <c r="N180"/>
    </row>
    <row r="181" spans="1:14" s="21" customFormat="1" ht="40.5" customHeight="1" x14ac:dyDescent="0.45">
      <c r="A181" s="46"/>
      <c r="B181" s="46"/>
      <c r="C181" s="37"/>
      <c r="D181" s="56"/>
      <c r="E181" s="39"/>
      <c r="F181" s="39"/>
      <c r="G181" s="44"/>
      <c r="H181" s="44"/>
      <c r="I181" s="44"/>
      <c r="J181" s="44"/>
      <c r="K181" s="44"/>
      <c r="L181" s="44"/>
      <c r="M181" s="44"/>
      <c r="N181"/>
    </row>
    <row r="182" spans="1:14" s="21" customFormat="1" ht="48" customHeight="1" x14ac:dyDescent="0.45">
      <c r="A182" s="57"/>
      <c r="B182" s="57"/>
      <c r="C182" s="37"/>
      <c r="D182" s="56"/>
      <c r="E182" s="39"/>
      <c r="F182" s="39"/>
      <c r="G182" s="44"/>
      <c r="H182" s="44"/>
      <c r="I182" s="44"/>
      <c r="J182" s="44"/>
      <c r="K182" s="44"/>
      <c r="L182" s="44"/>
      <c r="M182" s="44"/>
      <c r="N182"/>
    </row>
    <row r="183" spans="1:14" s="21" customFormat="1" x14ac:dyDescent="0.25">
      <c r="A183" s="26"/>
      <c r="B183" s="26"/>
      <c r="C183" s="37"/>
      <c r="D183" s="41"/>
      <c r="E183" s="39"/>
      <c r="F183" s="39"/>
      <c r="G183" s="44"/>
      <c r="H183" s="44"/>
      <c r="I183" s="44"/>
      <c r="J183" s="44"/>
      <c r="K183" s="44"/>
      <c r="L183" s="44"/>
      <c r="M183" s="44"/>
      <c r="N183"/>
    </row>
    <row r="184" spans="1:14" s="21" customFormat="1" x14ac:dyDescent="0.25">
      <c r="A184" s="26"/>
      <c r="B184" s="26"/>
      <c r="C184" s="37"/>
      <c r="D184" s="41"/>
      <c r="E184" s="39"/>
      <c r="F184" s="39"/>
      <c r="G184" s="44"/>
      <c r="H184" s="44"/>
      <c r="I184" s="44"/>
      <c r="J184" s="44"/>
      <c r="K184" s="44"/>
      <c r="L184" s="44"/>
      <c r="M184" s="44"/>
      <c r="N184"/>
    </row>
    <row r="185" spans="1:14" s="21" customFormat="1" ht="37.5" customHeight="1" x14ac:dyDescent="0.25">
      <c r="A185" s="26"/>
      <c r="B185" s="26"/>
      <c r="C185" s="37"/>
      <c r="D185" s="39"/>
      <c r="E185" s="39"/>
      <c r="F185" s="39"/>
      <c r="G185" s="44"/>
      <c r="H185" s="44"/>
      <c r="I185" s="44"/>
      <c r="J185" s="44"/>
      <c r="K185" s="44"/>
      <c r="L185" s="44"/>
      <c r="M185" s="44"/>
      <c r="N185"/>
    </row>
    <row r="186" spans="1:14" s="21" customFormat="1" ht="39.75" customHeight="1" x14ac:dyDescent="0.25">
      <c r="A186" s="26"/>
      <c r="B186" s="26"/>
      <c r="C186" s="37"/>
      <c r="D186" s="41"/>
      <c r="E186" s="39"/>
      <c r="F186" s="39"/>
      <c r="G186" s="26"/>
      <c r="H186" s="26"/>
      <c r="I186" s="26"/>
      <c r="J186" s="26"/>
      <c r="K186" s="26"/>
      <c r="L186" s="26"/>
      <c r="M186" s="26"/>
      <c r="N186"/>
    </row>
    <row r="187" spans="1:14" s="21" customFormat="1" x14ac:dyDescent="0.25">
      <c r="A187" s="26"/>
      <c r="B187" s="26"/>
      <c r="C187" s="37"/>
      <c r="D187" s="41"/>
      <c r="E187" s="39"/>
      <c r="F187" s="39"/>
      <c r="G187" s="26"/>
      <c r="H187" s="26"/>
      <c r="I187" s="26"/>
      <c r="J187" s="26"/>
      <c r="K187" s="26"/>
      <c r="L187" s="26"/>
      <c r="M187" s="26"/>
      <c r="N187"/>
    </row>
    <row r="188" spans="1:14" s="21" customFormat="1" x14ac:dyDescent="0.25">
      <c r="A188" s="26"/>
      <c r="B188" s="26"/>
      <c r="C188" s="37"/>
      <c r="D188" s="41"/>
      <c r="E188" s="39"/>
      <c r="F188" s="39"/>
      <c r="G188" s="26"/>
      <c r="H188" s="26"/>
      <c r="I188" s="26"/>
      <c r="J188" s="26"/>
      <c r="K188" s="26"/>
      <c r="L188" s="26"/>
      <c r="M188" s="26"/>
      <c r="N188"/>
    </row>
    <row r="189" spans="1:14" s="21" customFormat="1" x14ac:dyDescent="0.25">
      <c r="A189" s="43"/>
      <c r="B189" s="43"/>
      <c r="C189" s="37"/>
      <c r="D189" s="41"/>
      <c r="E189" s="39"/>
      <c r="F189" s="39"/>
      <c r="G189" s="44"/>
      <c r="H189" s="44"/>
      <c r="I189" s="44"/>
      <c r="J189" s="44"/>
      <c r="K189" s="44"/>
      <c r="L189" s="44"/>
      <c r="M189" s="44"/>
      <c r="N189"/>
    </row>
    <row r="190" spans="1:14" s="21" customFormat="1" x14ac:dyDescent="0.25">
      <c r="A190" s="26"/>
      <c r="B190" s="26"/>
      <c r="C190" s="37"/>
      <c r="D190" s="41"/>
      <c r="E190" s="39"/>
      <c r="F190" s="39"/>
      <c r="G190" s="44"/>
      <c r="H190" s="44"/>
      <c r="I190" s="44"/>
      <c r="J190" s="44"/>
      <c r="K190" s="44"/>
      <c r="L190" s="44"/>
      <c r="M190" s="44"/>
      <c r="N190"/>
    </row>
    <row r="191" spans="1:14" s="21" customFormat="1" x14ac:dyDescent="0.25">
      <c r="A191" s="26"/>
      <c r="B191" s="26"/>
      <c r="C191" s="37"/>
      <c r="D191" s="41"/>
      <c r="E191" s="48"/>
      <c r="F191" s="39"/>
      <c r="G191" s="44"/>
      <c r="H191" s="44"/>
      <c r="I191" s="44"/>
      <c r="J191" s="44"/>
      <c r="K191" s="44"/>
      <c r="L191" s="44"/>
      <c r="M191" s="44"/>
      <c r="N191"/>
    </row>
    <row r="192" spans="1:14" s="21" customFormat="1" x14ac:dyDescent="0.25">
      <c r="A192" s="26"/>
      <c r="B192" s="26"/>
      <c r="C192" s="37"/>
      <c r="D192" s="41"/>
      <c r="E192" s="39"/>
      <c r="F192" s="39"/>
      <c r="G192" s="44"/>
      <c r="H192" s="44"/>
      <c r="I192" s="44"/>
      <c r="J192" s="44"/>
      <c r="K192" s="44"/>
      <c r="L192" s="44"/>
      <c r="M192" s="44"/>
      <c r="N192"/>
    </row>
    <row r="193" spans="1:14" s="21" customFormat="1" ht="39.75" customHeight="1" x14ac:dyDescent="0.25">
      <c r="A193" s="26"/>
      <c r="B193" s="26"/>
      <c r="C193" s="37"/>
      <c r="D193" s="41"/>
      <c r="E193" s="48"/>
      <c r="F193" s="39"/>
      <c r="G193" s="44"/>
      <c r="H193" s="44"/>
      <c r="I193" s="44"/>
      <c r="J193" s="44"/>
      <c r="K193" s="44"/>
      <c r="L193" s="44"/>
      <c r="M193" s="44"/>
      <c r="N193"/>
    </row>
    <row r="194" spans="1:14" s="21" customFormat="1" ht="35.25" customHeight="1" x14ac:dyDescent="0.25">
      <c r="A194" s="26"/>
      <c r="B194" s="26"/>
      <c r="C194" s="37"/>
      <c r="D194" s="41"/>
      <c r="E194" s="39"/>
      <c r="F194" s="39"/>
      <c r="G194" s="44"/>
      <c r="H194" s="44"/>
      <c r="I194" s="44"/>
      <c r="J194" s="44"/>
      <c r="K194" s="44"/>
      <c r="L194" s="44"/>
      <c r="M194" s="44"/>
      <c r="N194"/>
    </row>
    <row r="195" spans="1:14" s="21" customFormat="1" ht="33" customHeight="1" x14ac:dyDescent="0.25">
      <c r="A195" s="26"/>
      <c r="B195" s="26"/>
      <c r="C195" s="37"/>
      <c r="D195" s="41"/>
      <c r="E195" s="39"/>
      <c r="F195" s="39"/>
      <c r="G195" s="44"/>
      <c r="H195" s="44"/>
      <c r="I195" s="44"/>
      <c r="J195" s="44"/>
      <c r="K195" s="44"/>
      <c r="L195" s="44"/>
      <c r="M195" s="44"/>
      <c r="N195"/>
    </row>
    <row r="196" spans="1:14" s="21" customFormat="1" ht="36" customHeight="1" x14ac:dyDescent="0.25">
      <c r="A196" s="26"/>
      <c r="B196" s="26"/>
      <c r="C196" s="37"/>
      <c r="D196" s="41"/>
      <c r="E196" s="39"/>
      <c r="F196" s="39"/>
      <c r="G196" s="44"/>
      <c r="H196" s="44"/>
      <c r="I196" s="44"/>
      <c r="J196" s="44"/>
      <c r="K196" s="44"/>
      <c r="L196" s="44"/>
      <c r="M196" s="44"/>
      <c r="N196"/>
    </row>
    <row r="197" spans="1:14" s="21" customFormat="1" ht="49.5" customHeight="1" x14ac:dyDescent="0.25">
      <c r="A197" s="55"/>
      <c r="B197" s="55"/>
      <c r="C197" s="37"/>
      <c r="D197" s="41"/>
      <c r="E197" s="41"/>
      <c r="F197" s="39"/>
      <c r="G197" s="26"/>
      <c r="H197" s="26"/>
      <c r="I197" s="26"/>
      <c r="J197" s="26"/>
      <c r="K197" s="26"/>
      <c r="L197" s="26"/>
      <c r="M197" s="26"/>
      <c r="N197"/>
    </row>
    <row r="198" spans="1:14" s="21" customFormat="1" ht="48.75" customHeight="1" x14ac:dyDescent="0.25">
      <c r="A198" s="55"/>
      <c r="B198" s="55"/>
      <c r="C198" s="37"/>
      <c r="D198" s="41"/>
      <c r="E198" s="41"/>
      <c r="F198" s="39"/>
      <c r="G198" s="26"/>
      <c r="H198" s="26"/>
      <c r="I198" s="26"/>
      <c r="J198" s="26"/>
      <c r="K198" s="26"/>
      <c r="L198" s="26"/>
      <c r="M198" s="26"/>
      <c r="N198"/>
    </row>
    <row r="199" spans="1:14" s="21" customFormat="1" ht="50.25" customHeight="1" x14ac:dyDescent="0.25">
      <c r="A199" s="55"/>
      <c r="B199" s="55"/>
      <c r="C199" s="37"/>
      <c r="D199" s="41"/>
      <c r="E199" s="41"/>
      <c r="F199" s="39"/>
      <c r="G199" s="26"/>
      <c r="H199" s="26"/>
      <c r="I199" s="26"/>
      <c r="J199" s="26"/>
      <c r="K199" s="26"/>
      <c r="L199" s="26"/>
      <c r="M199" s="26"/>
      <c r="N199"/>
    </row>
    <row r="200" spans="1:14" s="21" customFormat="1" ht="33" customHeight="1" x14ac:dyDescent="0.25">
      <c r="A200" s="54"/>
      <c r="B200" s="54"/>
      <c r="C200" s="37"/>
      <c r="D200" s="52"/>
      <c r="E200" s="39"/>
      <c r="F200" s="39"/>
      <c r="G200" s="44"/>
      <c r="H200" s="44"/>
      <c r="I200" s="44"/>
      <c r="J200" s="44"/>
      <c r="K200" s="44"/>
      <c r="L200" s="44"/>
      <c r="M200" s="44"/>
      <c r="N200"/>
    </row>
    <row r="201" spans="1:14" s="21" customFormat="1" ht="27" customHeight="1" x14ac:dyDescent="0.25">
      <c r="A201" s="54"/>
      <c r="B201" s="54"/>
      <c r="C201" s="37"/>
      <c r="D201" s="52"/>
      <c r="E201" s="39"/>
      <c r="F201" s="39"/>
      <c r="G201" s="44"/>
      <c r="H201" s="44"/>
      <c r="I201" s="44"/>
      <c r="J201" s="44"/>
      <c r="K201" s="44"/>
      <c r="L201" s="44"/>
      <c r="M201" s="44"/>
      <c r="N201"/>
    </row>
    <row r="202" spans="1:14" s="21" customFormat="1" ht="33" customHeight="1" x14ac:dyDescent="0.25">
      <c r="A202" s="54"/>
      <c r="B202" s="54"/>
      <c r="C202" s="37"/>
      <c r="D202" s="52"/>
      <c r="E202" s="39"/>
      <c r="F202" s="39"/>
      <c r="G202" s="44"/>
      <c r="H202" s="44"/>
      <c r="I202" s="44"/>
      <c r="J202" s="44"/>
      <c r="K202" s="44"/>
      <c r="L202" s="44"/>
      <c r="M202" s="44"/>
      <c r="N202"/>
    </row>
    <row r="203" spans="1:14" s="21" customFormat="1" x14ac:dyDescent="0.25">
      <c r="A203" s="54"/>
      <c r="B203" s="54"/>
      <c r="C203" s="37"/>
      <c r="D203" s="52"/>
      <c r="E203" s="39"/>
      <c r="F203" s="39"/>
      <c r="G203" s="44"/>
      <c r="H203" s="44"/>
      <c r="I203" s="44"/>
      <c r="J203" s="44"/>
      <c r="K203" s="44"/>
      <c r="L203" s="44"/>
      <c r="M203" s="44"/>
      <c r="N203"/>
    </row>
    <row r="204" spans="1:14" s="21" customFormat="1" x14ac:dyDescent="0.25">
      <c r="A204" s="23"/>
      <c r="B204" s="23"/>
      <c r="C204" s="37"/>
      <c r="D204" s="39"/>
      <c r="E204" s="39"/>
      <c r="F204" s="39"/>
      <c r="G204" s="44"/>
      <c r="H204" s="44"/>
      <c r="I204" s="44"/>
      <c r="J204" s="44"/>
      <c r="K204" s="44"/>
      <c r="L204" s="44"/>
      <c r="M204" s="44"/>
      <c r="N204"/>
    </row>
    <row r="205" spans="1:14" s="21" customFormat="1" ht="33" customHeight="1" x14ac:dyDescent="0.25">
      <c r="A205" s="23"/>
      <c r="B205" s="23"/>
      <c r="C205" s="37"/>
      <c r="D205" s="41"/>
      <c r="E205" s="39"/>
      <c r="F205" s="39"/>
      <c r="G205" s="44"/>
      <c r="H205" s="44"/>
      <c r="I205" s="44"/>
      <c r="J205" s="44"/>
      <c r="K205" s="44"/>
      <c r="L205" s="44"/>
      <c r="M205" s="44"/>
      <c r="N205"/>
    </row>
    <row r="206" spans="1:14" s="21" customFormat="1" ht="41.25" customHeight="1" x14ac:dyDescent="0.25">
      <c r="A206" s="26"/>
      <c r="B206" s="26"/>
      <c r="C206" s="37"/>
      <c r="D206" s="39"/>
      <c r="E206" s="39"/>
      <c r="F206" s="39"/>
      <c r="G206" s="44"/>
      <c r="H206" s="44"/>
      <c r="I206" s="44"/>
      <c r="J206" s="44"/>
      <c r="K206" s="44"/>
      <c r="L206" s="44"/>
      <c r="M206" s="44"/>
      <c r="N206"/>
    </row>
    <row r="207" spans="1:14" s="21" customFormat="1" x14ac:dyDescent="0.25">
      <c r="A207" s="23"/>
      <c r="B207" s="23"/>
      <c r="C207" s="37"/>
      <c r="D207" s="41"/>
      <c r="E207" s="39"/>
      <c r="F207" s="39"/>
      <c r="G207" s="26"/>
      <c r="H207" s="26"/>
      <c r="I207" s="26"/>
      <c r="J207" s="26"/>
      <c r="K207" s="26"/>
      <c r="L207" s="26"/>
      <c r="M207" s="26"/>
      <c r="N207"/>
    </row>
    <row r="208" spans="1:14" s="21" customFormat="1" x14ac:dyDescent="0.25">
      <c r="A208" s="26"/>
      <c r="B208" s="26"/>
      <c r="C208" s="37"/>
      <c r="D208" s="39"/>
      <c r="E208" s="39"/>
      <c r="F208" s="39"/>
      <c r="G208" s="44"/>
      <c r="H208" s="44"/>
      <c r="I208" s="44"/>
      <c r="J208" s="44"/>
      <c r="K208" s="44"/>
      <c r="L208" s="44"/>
      <c r="M208" s="44"/>
      <c r="N208"/>
    </row>
    <row r="209" spans="1:14" s="21" customFormat="1" x14ac:dyDescent="0.25">
      <c r="A209" s="26"/>
      <c r="B209" s="26"/>
      <c r="C209" s="37"/>
      <c r="D209" s="39"/>
      <c r="E209" s="39"/>
      <c r="F209" s="39"/>
      <c r="G209" s="44"/>
      <c r="H209" s="44"/>
      <c r="I209" s="44"/>
      <c r="J209" s="44"/>
      <c r="K209" s="44"/>
      <c r="L209" s="44"/>
      <c r="M209" s="44"/>
      <c r="N209"/>
    </row>
    <row r="210" spans="1:14" s="21" customFormat="1" x14ac:dyDescent="0.25">
      <c r="A210" s="26"/>
      <c r="B210" s="26"/>
      <c r="C210" s="37"/>
      <c r="D210" s="39"/>
      <c r="E210" s="39"/>
      <c r="F210" s="39"/>
      <c r="G210" s="44"/>
      <c r="H210" s="44"/>
      <c r="I210" s="44"/>
      <c r="J210" s="44"/>
      <c r="K210" s="44"/>
      <c r="L210" s="44"/>
      <c r="M210" s="44"/>
      <c r="N210"/>
    </row>
    <row r="211" spans="1:14" s="21" customFormat="1" x14ac:dyDescent="0.25">
      <c r="A211" s="26"/>
      <c r="B211" s="26"/>
      <c r="C211" s="37"/>
      <c r="D211" s="41"/>
      <c r="E211" s="39"/>
      <c r="F211" s="39"/>
      <c r="G211" s="44"/>
      <c r="H211" s="44"/>
      <c r="I211" s="44"/>
      <c r="J211" s="44"/>
      <c r="K211" s="44"/>
      <c r="L211" s="44"/>
      <c r="M211" s="44"/>
      <c r="N211"/>
    </row>
    <row r="212" spans="1:14" s="21" customFormat="1" ht="48" customHeight="1" x14ac:dyDescent="0.25">
      <c r="A212" s="26"/>
      <c r="B212" s="26"/>
      <c r="C212" s="37"/>
      <c r="D212" s="41"/>
      <c r="E212" s="39"/>
      <c r="F212" s="39"/>
      <c r="G212" s="44"/>
      <c r="H212" s="44"/>
      <c r="I212" s="44"/>
      <c r="J212" s="44"/>
      <c r="K212" s="44"/>
      <c r="L212" s="44"/>
      <c r="M212" s="44"/>
      <c r="N212"/>
    </row>
    <row r="213" spans="1:14" s="21" customFormat="1" ht="44.25" customHeight="1" x14ac:dyDescent="0.25">
      <c r="A213" s="53"/>
      <c r="B213" s="53"/>
      <c r="C213" s="37"/>
      <c r="D213" s="52"/>
      <c r="E213" s="41"/>
      <c r="F213" s="39"/>
      <c r="G213" s="44"/>
      <c r="H213" s="44"/>
      <c r="I213" s="44"/>
      <c r="J213" s="44"/>
      <c r="K213" s="44"/>
      <c r="L213" s="44"/>
      <c r="M213" s="44"/>
      <c r="N213"/>
    </row>
    <row r="214" spans="1:14" s="21" customFormat="1" x14ac:dyDescent="0.25">
      <c r="A214" s="26"/>
      <c r="B214" s="26"/>
      <c r="C214" s="37"/>
      <c r="D214" s="41"/>
      <c r="E214" s="39"/>
      <c r="F214" s="39"/>
      <c r="G214" s="44"/>
      <c r="H214" s="44"/>
      <c r="I214" s="44"/>
      <c r="J214" s="44"/>
      <c r="K214" s="44"/>
      <c r="L214" s="44"/>
      <c r="M214" s="44"/>
      <c r="N214"/>
    </row>
    <row r="215" spans="1:14" s="21" customFormat="1" ht="35.25" customHeight="1" x14ac:dyDescent="0.25">
      <c r="A215" s="26"/>
      <c r="B215" s="26"/>
      <c r="C215" s="37"/>
      <c r="D215" s="39"/>
      <c r="E215" s="39"/>
      <c r="F215" s="39"/>
      <c r="G215" s="44"/>
      <c r="H215" s="44"/>
      <c r="I215" s="44"/>
      <c r="J215" s="44"/>
      <c r="K215" s="44"/>
      <c r="L215" s="44"/>
      <c r="M215" s="44"/>
      <c r="N215"/>
    </row>
    <row r="216" spans="1:14" s="21" customFormat="1" x14ac:dyDescent="0.25">
      <c r="A216" s="26"/>
      <c r="B216" s="26"/>
      <c r="C216" s="37"/>
      <c r="D216" s="41"/>
      <c r="E216" s="48"/>
      <c r="F216" s="39"/>
      <c r="G216" s="44"/>
      <c r="H216" s="44"/>
      <c r="I216" s="44"/>
      <c r="J216" s="44"/>
      <c r="K216" s="44"/>
      <c r="L216" s="44"/>
      <c r="M216" s="44"/>
      <c r="N216"/>
    </row>
    <row r="217" spans="1:14" s="21" customFormat="1" x14ac:dyDescent="0.25">
      <c r="A217" s="43"/>
      <c r="B217" s="43"/>
      <c r="C217" s="37"/>
      <c r="D217" s="41"/>
      <c r="E217" s="48"/>
      <c r="F217" s="39"/>
      <c r="G217" s="44"/>
      <c r="H217" s="44"/>
      <c r="I217" s="44"/>
      <c r="J217" s="44"/>
      <c r="K217" s="44"/>
      <c r="L217" s="44"/>
      <c r="M217" s="44"/>
      <c r="N217"/>
    </row>
    <row r="218" spans="1:14" s="21" customFormat="1" ht="30.75" customHeight="1" x14ac:dyDescent="0.25">
      <c r="A218" s="26"/>
      <c r="B218" s="26"/>
      <c r="C218" s="37"/>
      <c r="D218" s="26"/>
      <c r="E218" s="39"/>
      <c r="F218" s="39"/>
      <c r="G218" s="26"/>
      <c r="H218" s="26"/>
      <c r="I218" s="26"/>
      <c r="J218" s="26"/>
      <c r="K218" s="26"/>
      <c r="L218" s="26"/>
      <c r="M218" s="26"/>
      <c r="N218"/>
    </row>
    <row r="219" spans="1:14" s="21" customFormat="1" ht="32.25" customHeight="1" x14ac:dyDescent="0.25">
      <c r="A219" s="26"/>
      <c r="B219" s="26"/>
      <c r="C219" s="37"/>
      <c r="D219" s="39"/>
      <c r="E219" s="39"/>
      <c r="F219" s="39"/>
      <c r="G219" s="44"/>
      <c r="H219" s="44"/>
      <c r="I219" s="44"/>
      <c r="J219" s="44"/>
      <c r="K219" s="44"/>
      <c r="L219" s="44"/>
      <c r="M219" s="44"/>
      <c r="N219"/>
    </row>
    <row r="220" spans="1:14" s="21" customFormat="1" ht="22.5" customHeight="1" x14ac:dyDescent="0.25">
      <c r="A220" s="26"/>
      <c r="B220" s="26"/>
      <c r="C220" s="37"/>
      <c r="D220" s="39"/>
      <c r="E220" s="39"/>
      <c r="F220" s="39"/>
      <c r="G220" s="44"/>
      <c r="H220" s="44"/>
      <c r="I220" s="44"/>
      <c r="J220" s="44"/>
      <c r="K220" s="44"/>
      <c r="L220" s="44"/>
      <c r="M220" s="44"/>
      <c r="N220"/>
    </row>
    <row r="221" spans="1:14" s="21" customFormat="1" ht="25.5" customHeight="1" x14ac:dyDescent="0.25">
      <c r="A221" s="26"/>
      <c r="B221" s="26"/>
      <c r="C221" s="37"/>
      <c r="D221" s="39"/>
      <c r="E221" s="39"/>
      <c r="F221" s="39"/>
      <c r="G221" s="44"/>
      <c r="H221" s="44"/>
      <c r="I221" s="44"/>
      <c r="J221" s="44"/>
      <c r="K221" s="44"/>
      <c r="L221" s="44"/>
      <c r="M221" s="44"/>
      <c r="N221"/>
    </row>
    <row r="222" spans="1:14" s="21" customFormat="1" ht="30" customHeight="1" x14ac:dyDescent="0.25">
      <c r="A222" s="26"/>
      <c r="B222" s="26"/>
      <c r="C222" s="37"/>
      <c r="D222" s="39"/>
      <c r="E222" s="39"/>
      <c r="F222" s="39"/>
      <c r="G222" s="44"/>
      <c r="H222" s="44"/>
      <c r="I222" s="44"/>
      <c r="J222" s="44"/>
      <c r="K222" s="44"/>
      <c r="L222" s="44"/>
      <c r="M222" s="44"/>
      <c r="N222"/>
    </row>
    <row r="223" spans="1:14" s="21" customFormat="1" x14ac:dyDescent="0.25">
      <c r="A223" s="43"/>
      <c r="B223" s="43"/>
      <c r="C223" s="37"/>
      <c r="D223" s="39"/>
      <c r="E223" s="39"/>
      <c r="F223" s="39"/>
      <c r="G223" s="26"/>
      <c r="H223" s="26"/>
      <c r="I223" s="26"/>
      <c r="J223" s="26"/>
      <c r="K223" s="26"/>
      <c r="L223" s="26"/>
      <c r="M223" s="26"/>
      <c r="N223"/>
    </row>
    <row r="224" spans="1:14" s="21" customFormat="1" x14ac:dyDescent="0.25">
      <c r="A224" s="26"/>
      <c r="B224" s="26"/>
      <c r="C224" s="37"/>
      <c r="D224" s="39"/>
      <c r="E224" s="39"/>
      <c r="F224" s="39"/>
      <c r="G224" s="44"/>
      <c r="H224" s="44"/>
      <c r="I224" s="44"/>
      <c r="J224" s="44"/>
      <c r="K224" s="44"/>
      <c r="L224" s="44"/>
      <c r="M224" s="44"/>
      <c r="N224"/>
    </row>
    <row r="225" spans="1:14" s="21" customFormat="1" ht="42" customHeight="1" x14ac:dyDescent="0.25">
      <c r="A225" s="26"/>
      <c r="B225" s="26"/>
      <c r="C225" s="37"/>
      <c r="D225" s="41"/>
      <c r="E225" s="39"/>
      <c r="F225" s="39"/>
      <c r="G225" s="26"/>
      <c r="H225" s="26"/>
      <c r="I225" s="26"/>
      <c r="J225" s="26"/>
      <c r="K225" s="26"/>
      <c r="L225" s="26"/>
      <c r="M225" s="26"/>
      <c r="N225"/>
    </row>
    <row r="226" spans="1:14" s="21" customFormat="1" ht="13.5" x14ac:dyDescent="0.35">
      <c r="A226" s="50"/>
      <c r="B226" s="50"/>
      <c r="C226" s="37"/>
      <c r="D226" s="49"/>
      <c r="E226" s="39"/>
      <c r="F226" s="39"/>
      <c r="G226" s="44"/>
      <c r="H226" s="44"/>
      <c r="I226" s="44"/>
      <c r="J226" s="44"/>
      <c r="K226" s="44"/>
      <c r="L226" s="44"/>
      <c r="M226" s="44"/>
      <c r="N226"/>
    </row>
    <row r="227" spans="1:14" s="21" customFormat="1" ht="39" customHeight="1" x14ac:dyDescent="0.35">
      <c r="A227" s="51"/>
      <c r="B227" s="51"/>
      <c r="C227" s="37"/>
      <c r="D227" s="49"/>
      <c r="E227" s="39"/>
      <c r="F227" s="39"/>
      <c r="G227" s="44"/>
      <c r="H227" s="44"/>
      <c r="I227" s="44"/>
      <c r="J227" s="44"/>
      <c r="K227" s="44"/>
      <c r="L227" s="44"/>
      <c r="M227" s="44"/>
      <c r="N227"/>
    </row>
    <row r="228" spans="1:14" s="21" customFormat="1" x14ac:dyDescent="0.25">
      <c r="A228" s="26"/>
      <c r="B228" s="26"/>
      <c r="C228" s="37"/>
      <c r="D228" s="41"/>
      <c r="E228" s="48"/>
      <c r="F228" s="39"/>
      <c r="G228" s="44"/>
      <c r="H228" s="44"/>
      <c r="I228" s="44"/>
      <c r="J228" s="44"/>
      <c r="K228" s="44"/>
      <c r="L228" s="44"/>
      <c r="M228" s="44"/>
      <c r="N228"/>
    </row>
    <row r="229" spans="1:14" s="21" customFormat="1" ht="30" customHeight="1" x14ac:dyDescent="0.25">
      <c r="A229" s="43"/>
      <c r="B229" s="43"/>
      <c r="C229" s="37"/>
      <c r="D229" s="41"/>
      <c r="E229" s="39"/>
      <c r="F229" s="39"/>
      <c r="G229" s="44"/>
      <c r="H229" s="44"/>
      <c r="I229" s="44"/>
      <c r="J229" s="44"/>
      <c r="K229" s="44"/>
      <c r="L229" s="44"/>
      <c r="M229" s="44"/>
      <c r="N229"/>
    </row>
    <row r="230" spans="1:14" s="21" customFormat="1" ht="35.25" customHeight="1" x14ac:dyDescent="0.25">
      <c r="A230" s="26"/>
      <c r="B230" s="26"/>
      <c r="C230" s="37"/>
      <c r="D230" s="41"/>
      <c r="E230" s="39"/>
      <c r="F230" s="39"/>
      <c r="G230" s="44"/>
      <c r="H230" s="44"/>
      <c r="I230" s="44"/>
      <c r="J230" s="44"/>
      <c r="K230" s="44"/>
      <c r="L230" s="44"/>
      <c r="M230" s="44"/>
      <c r="N230"/>
    </row>
    <row r="231" spans="1:14" s="21" customFormat="1" x14ac:dyDescent="0.25">
      <c r="A231" s="43"/>
      <c r="B231" s="43"/>
      <c r="C231" s="37"/>
      <c r="D231" s="41"/>
      <c r="E231" s="39"/>
      <c r="F231" s="39"/>
      <c r="G231" s="44"/>
      <c r="H231" s="44"/>
      <c r="I231" s="44"/>
      <c r="J231" s="44"/>
      <c r="K231" s="44"/>
      <c r="L231" s="44"/>
      <c r="M231" s="44"/>
      <c r="N231"/>
    </row>
    <row r="232" spans="1:14" s="21" customFormat="1" x14ac:dyDescent="0.25">
      <c r="A232" s="26"/>
      <c r="B232" s="26"/>
      <c r="C232" s="37"/>
      <c r="D232" s="41"/>
      <c r="E232" s="39"/>
      <c r="F232" s="39"/>
      <c r="G232" s="44"/>
      <c r="H232" s="44"/>
      <c r="I232" s="44"/>
      <c r="J232" s="44"/>
      <c r="K232" s="44"/>
      <c r="L232" s="44"/>
      <c r="M232" s="44"/>
      <c r="N232"/>
    </row>
    <row r="233" spans="1:14" s="21" customFormat="1" ht="24.75" customHeight="1" x14ac:dyDescent="0.35">
      <c r="A233" s="50"/>
      <c r="B233" s="50"/>
      <c r="C233" s="37"/>
      <c r="D233" s="49"/>
      <c r="E233" s="39"/>
      <c r="F233" s="39"/>
      <c r="G233" s="44"/>
      <c r="H233" s="44"/>
      <c r="I233" s="44"/>
      <c r="J233" s="44"/>
      <c r="K233" s="44"/>
      <c r="L233" s="44"/>
      <c r="M233" s="44"/>
      <c r="N233"/>
    </row>
    <row r="234" spans="1:14" s="21" customFormat="1" x14ac:dyDescent="0.25">
      <c r="A234" s="26"/>
      <c r="B234" s="26"/>
      <c r="C234" s="37"/>
      <c r="D234" s="39"/>
      <c r="E234" s="39"/>
      <c r="F234" s="39"/>
      <c r="G234" s="44"/>
      <c r="H234" s="44"/>
      <c r="I234" s="44"/>
      <c r="J234" s="44"/>
      <c r="K234" s="44"/>
      <c r="L234" s="44"/>
      <c r="M234" s="44"/>
      <c r="N234"/>
    </row>
    <row r="235" spans="1:14" s="21" customFormat="1" x14ac:dyDescent="0.25">
      <c r="A235" s="26"/>
      <c r="B235" s="26"/>
      <c r="C235" s="37"/>
      <c r="D235" s="41"/>
      <c r="E235" s="48"/>
      <c r="F235" s="39"/>
      <c r="G235" s="44"/>
      <c r="H235" s="44"/>
      <c r="I235" s="44"/>
      <c r="J235" s="44"/>
      <c r="K235" s="44"/>
      <c r="L235" s="44"/>
      <c r="M235" s="44"/>
      <c r="N235"/>
    </row>
    <row r="236" spans="1:14" s="21" customFormat="1" x14ac:dyDescent="0.25">
      <c r="A236" s="26"/>
      <c r="B236" s="26"/>
      <c r="C236" s="37"/>
      <c r="D236" s="41"/>
      <c r="E236" s="48"/>
      <c r="F236" s="39"/>
      <c r="G236" s="44"/>
      <c r="H236" s="44"/>
      <c r="I236" s="44"/>
      <c r="J236" s="44"/>
      <c r="K236" s="44"/>
      <c r="L236" s="44"/>
      <c r="M236" s="44"/>
      <c r="N236"/>
    </row>
    <row r="237" spans="1:14" s="21" customFormat="1" x14ac:dyDescent="0.25">
      <c r="A237" s="26"/>
      <c r="B237" s="26"/>
      <c r="C237" s="37"/>
      <c r="D237" s="39"/>
      <c r="E237" s="39"/>
      <c r="F237" s="39"/>
      <c r="G237" s="44"/>
      <c r="H237" s="44"/>
      <c r="I237" s="44"/>
      <c r="J237" s="44"/>
      <c r="K237" s="44"/>
      <c r="L237" s="44"/>
      <c r="M237" s="44"/>
      <c r="N237"/>
    </row>
    <row r="238" spans="1:14" s="21" customFormat="1" x14ac:dyDescent="0.25">
      <c r="A238" s="43"/>
      <c r="B238" s="43"/>
      <c r="C238" s="37"/>
      <c r="D238" s="39"/>
      <c r="E238" s="39"/>
      <c r="F238" s="39"/>
      <c r="G238" s="26"/>
      <c r="H238" s="26"/>
      <c r="I238" s="26"/>
      <c r="J238" s="26"/>
      <c r="K238" s="26"/>
      <c r="L238" s="26"/>
      <c r="M238" s="26"/>
      <c r="N238"/>
    </row>
    <row r="239" spans="1:14" s="21" customFormat="1" x14ac:dyDescent="0.25">
      <c r="A239" s="43"/>
      <c r="B239" s="43"/>
      <c r="C239" s="37"/>
      <c r="D239" s="39"/>
      <c r="E239" s="39"/>
      <c r="F239" s="39"/>
      <c r="G239" s="44"/>
      <c r="H239" s="44"/>
      <c r="I239" s="44"/>
      <c r="J239" s="44"/>
      <c r="K239" s="44"/>
      <c r="L239" s="44"/>
      <c r="M239" s="44"/>
      <c r="N239"/>
    </row>
    <row r="240" spans="1:14" x14ac:dyDescent="0.25">
      <c r="A240" s="26"/>
      <c r="B240" s="26"/>
      <c r="C240" s="37"/>
      <c r="D240" s="39"/>
      <c r="E240" s="39"/>
      <c r="F240" s="39"/>
      <c r="G240" s="26"/>
      <c r="H240" s="26"/>
      <c r="I240" s="26"/>
      <c r="J240" s="26"/>
      <c r="K240" s="26"/>
      <c r="L240" s="26"/>
      <c r="M240" s="26"/>
    </row>
    <row r="241" spans="1:14" x14ac:dyDescent="0.25">
      <c r="A241" s="26"/>
      <c r="B241" s="26"/>
      <c r="C241" s="37"/>
      <c r="D241" s="39"/>
      <c r="E241" s="39"/>
      <c r="F241" s="39"/>
      <c r="G241" s="44"/>
      <c r="H241" s="44"/>
      <c r="I241" s="44"/>
      <c r="J241" s="44"/>
      <c r="K241" s="44"/>
      <c r="L241" s="44"/>
      <c r="M241" s="44"/>
    </row>
    <row r="242" spans="1:14" x14ac:dyDescent="0.25">
      <c r="A242" s="26"/>
      <c r="B242" s="26"/>
      <c r="C242" s="37"/>
      <c r="D242" s="39"/>
      <c r="E242" s="39"/>
      <c r="F242" s="39"/>
      <c r="G242" s="44"/>
      <c r="H242" s="44"/>
      <c r="I242" s="44"/>
      <c r="J242" s="44"/>
      <c r="K242" s="44"/>
      <c r="L242" s="44"/>
      <c r="M242" s="44"/>
    </row>
    <row r="243" spans="1:14" x14ac:dyDescent="0.25">
      <c r="A243" s="26"/>
      <c r="B243" s="26"/>
      <c r="C243" s="37"/>
      <c r="D243" s="39"/>
      <c r="E243" s="39"/>
      <c r="F243" s="39"/>
      <c r="G243" s="26"/>
      <c r="H243" s="26"/>
      <c r="I243" s="26"/>
      <c r="J243" s="26"/>
      <c r="K243" s="26"/>
      <c r="L243" s="26"/>
      <c r="M243" s="26"/>
    </row>
    <row r="244" spans="1:14" x14ac:dyDescent="0.25">
      <c r="A244" s="26"/>
      <c r="B244" s="26"/>
      <c r="C244" s="37"/>
      <c r="D244" s="39"/>
      <c r="E244" s="48"/>
      <c r="F244" s="39"/>
      <c r="G244" s="44"/>
      <c r="H244" s="44"/>
      <c r="I244" s="44"/>
      <c r="J244" s="44"/>
      <c r="K244" s="44"/>
      <c r="L244" s="44"/>
      <c r="M244" s="44"/>
    </row>
    <row r="245" spans="1:14" x14ac:dyDescent="0.25">
      <c r="A245" s="26"/>
      <c r="B245" s="26"/>
      <c r="C245" s="37"/>
      <c r="D245" s="39"/>
      <c r="E245" s="48"/>
      <c r="F245" s="39"/>
      <c r="G245" s="26"/>
      <c r="H245" s="26"/>
      <c r="I245" s="26"/>
      <c r="J245" s="26"/>
      <c r="K245" s="26"/>
      <c r="L245" s="26"/>
      <c r="M245" s="26"/>
    </row>
    <row r="246" spans="1:14" ht="15.5" x14ac:dyDescent="0.45">
      <c r="A246" s="46"/>
      <c r="B246" s="46"/>
      <c r="C246" s="37"/>
      <c r="D246" s="45"/>
      <c r="E246" s="39"/>
      <c r="F246" s="39"/>
      <c r="G246" s="44"/>
      <c r="H246" s="44"/>
      <c r="I246" s="44"/>
      <c r="J246" s="44"/>
      <c r="K246" s="44"/>
      <c r="L246" s="44"/>
      <c r="M246" s="44"/>
    </row>
    <row r="247" spans="1:14" x14ac:dyDescent="0.25">
      <c r="A247" s="26"/>
      <c r="B247" s="26"/>
      <c r="C247" s="37"/>
      <c r="D247" s="41"/>
      <c r="E247" s="39"/>
      <c r="F247" s="39"/>
      <c r="G247" s="44"/>
      <c r="H247" s="44"/>
      <c r="I247" s="44"/>
      <c r="J247" s="44"/>
      <c r="K247" s="44"/>
      <c r="L247" s="44"/>
      <c r="M247" s="44"/>
    </row>
    <row r="248" spans="1:14" x14ac:dyDescent="0.25">
      <c r="A248" s="43"/>
      <c r="B248" s="43"/>
      <c r="C248" s="37"/>
      <c r="D248" s="39"/>
      <c r="E248" s="39"/>
      <c r="F248" s="39"/>
      <c r="G248" s="26"/>
      <c r="H248" s="26"/>
      <c r="I248" s="26"/>
      <c r="J248" s="26"/>
      <c r="K248" s="26"/>
      <c r="L248" s="26"/>
      <c r="M248" s="26"/>
    </row>
    <row r="249" spans="1:14" x14ac:dyDescent="0.25">
      <c r="A249" s="26"/>
      <c r="B249" s="26"/>
      <c r="C249" s="37"/>
      <c r="D249" s="41"/>
      <c r="E249" s="39"/>
      <c r="F249" s="39"/>
      <c r="G249" s="44"/>
      <c r="H249" s="44"/>
      <c r="I249" s="44"/>
      <c r="J249" s="44"/>
      <c r="K249" s="44"/>
      <c r="L249" s="44"/>
      <c r="M249" s="44"/>
    </row>
    <row r="250" spans="1:14" x14ac:dyDescent="0.25">
      <c r="A250" s="26"/>
      <c r="B250" s="26"/>
      <c r="C250" s="37"/>
      <c r="D250" s="39"/>
      <c r="E250" s="39"/>
      <c r="F250" s="39"/>
      <c r="G250" s="44"/>
      <c r="H250" s="44"/>
      <c r="I250" s="44"/>
      <c r="J250" s="44"/>
      <c r="K250" s="44"/>
      <c r="L250" s="44"/>
      <c r="M250" s="44"/>
    </row>
    <row r="251" spans="1:14" x14ac:dyDescent="0.25">
      <c r="A251" s="43"/>
      <c r="B251" s="43"/>
      <c r="C251" s="37"/>
      <c r="D251" s="39"/>
      <c r="E251" s="39"/>
      <c r="F251" s="39"/>
      <c r="G251" s="44"/>
      <c r="H251" s="44"/>
      <c r="I251" s="44"/>
      <c r="J251" s="44"/>
      <c r="K251" s="44"/>
      <c r="L251" s="44"/>
      <c r="M251" s="44"/>
    </row>
    <row r="252" spans="1:14" x14ac:dyDescent="0.25">
      <c r="A252" s="26"/>
      <c r="B252" s="26"/>
      <c r="C252" s="37"/>
      <c r="D252" s="41"/>
      <c r="E252" s="39"/>
      <c r="F252" s="39"/>
      <c r="G252" s="44"/>
      <c r="H252" s="44"/>
      <c r="I252" s="44"/>
      <c r="J252" s="44"/>
      <c r="K252" s="44"/>
      <c r="L252" s="44"/>
      <c r="M252" s="44"/>
      <c r="N252" s="23"/>
    </row>
    <row r="253" spans="1:14" x14ac:dyDescent="0.25">
      <c r="A253" s="43"/>
      <c r="B253" s="43"/>
      <c r="C253" s="37"/>
      <c r="D253" s="41"/>
      <c r="E253" s="39"/>
      <c r="F253" s="39"/>
      <c r="G253" s="26"/>
      <c r="H253" s="26"/>
      <c r="I253" s="26"/>
      <c r="J253" s="26"/>
      <c r="K253" s="26"/>
      <c r="L253" s="26"/>
      <c r="M253" s="26"/>
      <c r="N253" s="23"/>
    </row>
    <row r="254" spans="1:14" x14ac:dyDescent="0.25">
      <c r="A254" s="26"/>
      <c r="B254" s="26"/>
      <c r="C254" s="37"/>
      <c r="D254" s="39"/>
      <c r="E254" s="39"/>
      <c r="F254" s="39"/>
      <c r="G254" s="26"/>
      <c r="H254" s="26"/>
      <c r="I254" s="26"/>
      <c r="J254" s="26"/>
      <c r="K254" s="26"/>
      <c r="L254" s="26"/>
      <c r="M254" s="26"/>
    </row>
    <row r="255" spans="1:14" x14ac:dyDescent="0.25">
      <c r="A255" s="23"/>
      <c r="B255" s="23"/>
      <c r="C255" s="37"/>
      <c r="D255" s="28"/>
      <c r="E255" s="28"/>
      <c r="F255" s="28"/>
      <c r="G255" s="5"/>
      <c r="H255" s="5"/>
      <c r="I255" s="5"/>
      <c r="J255" s="5"/>
      <c r="K255" s="5"/>
      <c r="L255" s="5"/>
      <c r="M255" s="5"/>
    </row>
    <row r="256" spans="1:14" s="21" customFormat="1" x14ac:dyDescent="0.25">
      <c r="A256" s="23"/>
      <c r="B256" s="23"/>
      <c r="C256" s="37"/>
      <c r="D256" s="28"/>
      <c r="E256" s="28"/>
      <c r="F256" s="28"/>
      <c r="G256" s="5"/>
      <c r="H256" s="5"/>
      <c r="I256" s="5"/>
      <c r="J256" s="5"/>
      <c r="K256" s="5"/>
      <c r="L256" s="5"/>
      <c r="M256" s="5"/>
      <c r="N256"/>
    </row>
    <row r="257" spans="1:14" s="21" customFormat="1" x14ac:dyDescent="0.25">
      <c r="A257" s="23"/>
      <c r="B257" s="23"/>
      <c r="C257" s="37"/>
      <c r="D257" s="28"/>
      <c r="E257" s="28"/>
      <c r="F257" s="28"/>
      <c r="G257" s="5"/>
      <c r="H257" s="5"/>
      <c r="I257" s="5"/>
      <c r="J257" s="5"/>
      <c r="K257" s="5"/>
      <c r="L257" s="5"/>
      <c r="M257" s="5"/>
      <c r="N257"/>
    </row>
    <row r="258" spans="1:14" s="21" customFormat="1" x14ac:dyDescent="0.25">
      <c r="A258" s="23"/>
      <c r="B258" s="23"/>
      <c r="C258" s="37"/>
      <c r="D258" s="28"/>
      <c r="E258" s="28"/>
      <c r="F258" s="28"/>
      <c r="G258" s="5"/>
      <c r="H258" s="5"/>
      <c r="I258" s="5"/>
      <c r="J258" s="5"/>
      <c r="K258" s="5"/>
      <c r="L258" s="5"/>
      <c r="M258" s="5"/>
      <c r="N258"/>
    </row>
    <row r="259" spans="1:14" s="21" customFormat="1" x14ac:dyDescent="0.25">
      <c r="A259" s="23"/>
      <c r="B259" s="23"/>
      <c r="C259" s="37"/>
      <c r="D259" s="28"/>
      <c r="E259" s="28"/>
      <c r="F259" s="28"/>
      <c r="G259" s="5"/>
      <c r="H259" s="5"/>
      <c r="I259" s="5"/>
      <c r="J259" s="5"/>
      <c r="K259" s="5"/>
      <c r="L259" s="5"/>
      <c r="M259" s="5"/>
      <c r="N259"/>
    </row>
    <row r="260" spans="1:14" s="21" customFormat="1" x14ac:dyDescent="0.25">
      <c r="A260" s="23"/>
      <c r="B260" s="23"/>
      <c r="C260" s="37"/>
      <c r="D260" s="28"/>
      <c r="E260" s="28"/>
      <c r="F260" s="28"/>
      <c r="G260" s="5"/>
      <c r="H260" s="5"/>
      <c r="I260" s="5"/>
      <c r="J260" s="5"/>
      <c r="K260" s="5"/>
      <c r="L260" s="5"/>
      <c r="M260" s="5"/>
      <c r="N260"/>
    </row>
    <row r="261" spans="1:14" s="21" customFormat="1" x14ac:dyDescent="0.25">
      <c r="A261" s="23"/>
      <c r="B261" s="23"/>
      <c r="C261" s="37"/>
      <c r="D261" s="28"/>
      <c r="E261" s="28"/>
      <c r="F261" s="28"/>
      <c r="G261" s="5"/>
      <c r="H261" s="5"/>
      <c r="I261" s="5"/>
      <c r="J261" s="5"/>
      <c r="K261" s="5"/>
      <c r="L261" s="5"/>
      <c r="M261" s="5"/>
      <c r="N261"/>
    </row>
    <row r="262" spans="1:14" s="21" customFormat="1" x14ac:dyDescent="0.25">
      <c r="A262" s="23"/>
      <c r="B262" s="23"/>
      <c r="C262" s="37"/>
      <c r="D262" s="28"/>
      <c r="E262" s="28"/>
      <c r="F262" s="28"/>
      <c r="G262" s="5"/>
      <c r="H262" s="5"/>
      <c r="I262" s="5"/>
      <c r="J262" s="5"/>
      <c r="K262" s="5"/>
      <c r="L262" s="5"/>
      <c r="M262" s="5"/>
      <c r="N262"/>
    </row>
    <row r="263" spans="1:14" s="21" customFormat="1" x14ac:dyDescent="0.25">
      <c r="A263" s="23"/>
      <c r="B263" s="23"/>
      <c r="C263" s="37"/>
      <c r="D263" s="28"/>
      <c r="E263" s="28"/>
      <c r="F263" s="28"/>
      <c r="G263" s="5"/>
      <c r="H263" s="5"/>
      <c r="I263" s="5"/>
      <c r="J263" s="5"/>
      <c r="K263" s="5"/>
      <c r="L263" s="5"/>
      <c r="M263" s="5"/>
      <c r="N263"/>
    </row>
    <row r="264" spans="1:14" s="21" customFormat="1" x14ac:dyDescent="0.25">
      <c r="A264" s="23"/>
      <c r="B264" s="23"/>
      <c r="C264" s="37"/>
      <c r="D264" s="28"/>
      <c r="E264" s="28"/>
      <c r="F264" s="28"/>
      <c r="G264" s="5"/>
      <c r="H264" s="5"/>
      <c r="I264" s="5"/>
      <c r="J264" s="5"/>
      <c r="K264" s="5"/>
      <c r="L264" s="5"/>
      <c r="M264" s="5"/>
      <c r="N264"/>
    </row>
    <row r="265" spans="1:14" s="21" customFormat="1" x14ac:dyDescent="0.25">
      <c r="A265" s="23"/>
      <c r="B265" s="23"/>
      <c r="C265" s="37"/>
      <c r="D265" s="28"/>
      <c r="E265" s="28"/>
      <c r="F265" s="28"/>
      <c r="G265" s="5"/>
      <c r="H265" s="5"/>
      <c r="I265" s="5"/>
      <c r="J265" s="5"/>
      <c r="K265" s="5"/>
      <c r="L265" s="5"/>
      <c r="M265" s="5"/>
      <c r="N265"/>
    </row>
    <row r="266" spans="1:14" s="21" customFormat="1" x14ac:dyDescent="0.25">
      <c r="A266" s="23"/>
      <c r="B266" s="23"/>
      <c r="C266" s="37"/>
      <c r="D266" s="28"/>
      <c r="E266" s="28"/>
      <c r="F266" s="28"/>
      <c r="G266" s="5"/>
      <c r="H266" s="5"/>
      <c r="I266" s="5"/>
      <c r="J266" s="5"/>
      <c r="K266" s="5"/>
      <c r="L266" s="5"/>
      <c r="M266" s="5"/>
      <c r="N266"/>
    </row>
    <row r="267" spans="1:14" s="21" customFormat="1" x14ac:dyDescent="0.25">
      <c r="A267" s="23"/>
      <c r="B267" s="23"/>
      <c r="C267" s="37"/>
      <c r="D267" s="28"/>
      <c r="E267" s="28"/>
      <c r="F267" s="28"/>
      <c r="G267" s="5"/>
      <c r="H267" s="5"/>
      <c r="I267" s="5"/>
      <c r="J267" s="5"/>
      <c r="K267" s="5"/>
      <c r="L267" s="5"/>
      <c r="M267" s="5"/>
      <c r="N267"/>
    </row>
    <row r="268" spans="1:14" s="21" customFormat="1" x14ac:dyDescent="0.25">
      <c r="A268" s="23"/>
      <c r="B268" s="23"/>
      <c r="C268" s="37"/>
      <c r="D268" s="28"/>
      <c r="E268" s="28"/>
      <c r="F268" s="28"/>
      <c r="G268" s="5"/>
      <c r="H268" s="5"/>
      <c r="I268" s="5"/>
      <c r="J268" s="5"/>
      <c r="K268" s="5"/>
      <c r="L268" s="5"/>
      <c r="M268" s="5"/>
      <c r="N268"/>
    </row>
    <row r="269" spans="1:14" s="21" customFormat="1" x14ac:dyDescent="0.25">
      <c r="A269" s="23"/>
      <c r="B269" s="23"/>
      <c r="C269" s="37"/>
      <c r="D269" s="28"/>
      <c r="E269" s="28"/>
      <c r="F269" s="28"/>
      <c r="G269" s="5"/>
      <c r="H269" s="5"/>
      <c r="I269" s="5"/>
      <c r="J269" s="5"/>
      <c r="K269" s="5"/>
      <c r="L269" s="5"/>
      <c r="M269" s="5"/>
      <c r="N269"/>
    </row>
    <row r="270" spans="1:14" s="21" customFormat="1" x14ac:dyDescent="0.25">
      <c r="A270" s="23"/>
      <c r="B270" s="23"/>
      <c r="C270" s="37"/>
      <c r="D270" s="28"/>
      <c r="E270" s="28"/>
      <c r="F270" s="28"/>
      <c r="G270" s="5"/>
      <c r="H270" s="5"/>
      <c r="I270" s="5"/>
      <c r="J270" s="5"/>
      <c r="K270" s="5"/>
      <c r="L270" s="5"/>
      <c r="M270" s="5"/>
      <c r="N270"/>
    </row>
    <row r="271" spans="1:14" s="21" customFormat="1" x14ac:dyDescent="0.25">
      <c r="A271" s="23"/>
      <c r="B271" s="23"/>
      <c r="C271" s="37"/>
      <c r="D271" s="28"/>
      <c r="E271" s="28"/>
      <c r="F271" s="28"/>
      <c r="G271" s="5"/>
      <c r="H271" s="5"/>
      <c r="I271" s="5"/>
      <c r="J271" s="5"/>
      <c r="K271" s="5"/>
      <c r="L271" s="5"/>
      <c r="M271" s="5"/>
      <c r="N271"/>
    </row>
    <row r="272" spans="1:14" s="21" customFormat="1" x14ac:dyDescent="0.25">
      <c r="A272" s="23"/>
      <c r="B272" s="23"/>
      <c r="C272" s="37"/>
      <c r="D272" s="28"/>
      <c r="E272" s="28"/>
      <c r="F272" s="28"/>
      <c r="G272" s="5"/>
      <c r="H272" s="5"/>
      <c r="I272" s="5"/>
      <c r="J272" s="5"/>
      <c r="K272" s="5"/>
      <c r="L272" s="5"/>
      <c r="M272" s="5"/>
      <c r="N272"/>
    </row>
    <row r="273" spans="1:14" s="21" customFormat="1" x14ac:dyDescent="0.25">
      <c r="A273" s="23"/>
      <c r="B273" s="23"/>
      <c r="C273" s="37"/>
      <c r="D273" s="28"/>
      <c r="E273" s="28"/>
      <c r="F273" s="28"/>
      <c r="G273" s="5"/>
      <c r="H273" s="5"/>
      <c r="I273" s="5"/>
      <c r="J273" s="5"/>
      <c r="K273" s="5"/>
      <c r="L273" s="5"/>
      <c r="M273" s="5"/>
      <c r="N273"/>
    </row>
    <row r="274" spans="1:14" s="21" customFormat="1" x14ac:dyDescent="0.25">
      <c r="A274" s="23"/>
      <c r="B274" s="23"/>
      <c r="C274" s="37"/>
      <c r="D274" s="32"/>
      <c r="E274" s="28"/>
      <c r="F274" s="28"/>
      <c r="G274" s="5"/>
      <c r="H274" s="5"/>
      <c r="I274" s="5"/>
      <c r="J274" s="5"/>
      <c r="K274" s="5"/>
      <c r="L274" s="5"/>
      <c r="M274" s="5"/>
      <c r="N274"/>
    </row>
    <row r="275" spans="1:14" s="21" customFormat="1" x14ac:dyDescent="0.25">
      <c r="A275" s="23"/>
      <c r="B275" s="23"/>
      <c r="C275" s="37"/>
      <c r="D275" s="28"/>
      <c r="E275" s="28"/>
      <c r="F275" s="28"/>
      <c r="G275" s="5"/>
      <c r="H275" s="5"/>
      <c r="I275" s="5"/>
      <c r="J275" s="5"/>
      <c r="K275" s="5"/>
      <c r="L275" s="5"/>
      <c r="M275" s="5"/>
      <c r="N275"/>
    </row>
    <row r="276" spans="1:14" s="21" customFormat="1" x14ac:dyDescent="0.25">
      <c r="A276" s="25"/>
      <c r="B276" s="25"/>
      <c r="C276" s="38"/>
      <c r="D276" s="32"/>
      <c r="E276" s="32"/>
      <c r="F276" s="32"/>
      <c r="G276" s="24"/>
      <c r="H276" s="24"/>
      <c r="I276" s="24"/>
      <c r="J276" s="24"/>
      <c r="K276" s="24"/>
      <c r="L276" s="24"/>
      <c r="M276" s="24"/>
      <c r="N276"/>
    </row>
    <row r="277" spans="1:14" s="21" customFormat="1" x14ac:dyDescent="0.25">
      <c r="A277" s="23"/>
      <c r="B277" s="23"/>
      <c r="C277" s="37"/>
      <c r="D277" s="28"/>
      <c r="E277" s="28"/>
      <c r="F277" s="28"/>
      <c r="G277" s="5"/>
      <c r="H277" s="5"/>
      <c r="I277" s="5"/>
      <c r="J277" s="5"/>
      <c r="K277" s="5"/>
      <c r="L277" s="5"/>
      <c r="M277" s="5"/>
      <c r="N277"/>
    </row>
    <row r="278" spans="1:14" s="21" customFormat="1" x14ac:dyDescent="0.25">
      <c r="A278" s="23"/>
      <c r="B278" s="23"/>
      <c r="C278" s="37"/>
      <c r="D278" s="28"/>
      <c r="E278" s="28"/>
      <c r="F278" s="28"/>
      <c r="G278" s="5"/>
      <c r="H278" s="5"/>
      <c r="I278" s="5"/>
      <c r="J278" s="5"/>
      <c r="K278" s="5"/>
      <c r="L278" s="5"/>
      <c r="M278" s="5"/>
      <c r="N278"/>
    </row>
    <row r="279" spans="1:14" s="21" customFormat="1" x14ac:dyDescent="0.25">
      <c r="A279" s="23"/>
      <c r="B279" s="23"/>
      <c r="C279" s="37"/>
      <c r="D279" s="28"/>
      <c r="E279" s="28"/>
      <c r="F279" s="28"/>
      <c r="G279" s="5"/>
      <c r="H279" s="5"/>
      <c r="I279" s="5"/>
      <c r="J279" s="5"/>
      <c r="K279" s="5"/>
      <c r="L279" s="5"/>
      <c r="M279" s="5"/>
      <c r="N279"/>
    </row>
    <row r="280" spans="1:14" s="21" customFormat="1" x14ac:dyDescent="0.25">
      <c r="A280" s="23"/>
      <c r="B280" s="23"/>
      <c r="C280" s="37"/>
      <c r="D280" s="28"/>
      <c r="E280" s="28"/>
      <c r="F280" s="28"/>
      <c r="G280" s="5"/>
      <c r="H280" s="5"/>
      <c r="I280" s="5"/>
      <c r="J280" s="5"/>
      <c r="K280" s="5"/>
      <c r="L280" s="5"/>
      <c r="M280" s="5"/>
      <c r="N280"/>
    </row>
    <row r="281" spans="1:14" s="21" customFormat="1" x14ac:dyDescent="0.25">
      <c r="A281" s="23"/>
      <c r="B281" s="23"/>
      <c r="C281" s="37"/>
      <c r="D281" s="28"/>
      <c r="E281" s="28"/>
      <c r="F281" s="28"/>
      <c r="G281" s="5"/>
      <c r="H281" s="5"/>
      <c r="I281" s="5"/>
      <c r="J281" s="5"/>
      <c r="K281" s="5"/>
      <c r="L281" s="5"/>
      <c r="M281" s="5"/>
      <c r="N281"/>
    </row>
    <row r="282" spans="1:14" s="21" customFormat="1" x14ac:dyDescent="0.25">
      <c r="A282" s="23"/>
      <c r="B282" s="23"/>
      <c r="C282" s="37"/>
      <c r="D282" s="28"/>
      <c r="E282" s="28"/>
      <c r="F282" s="28"/>
      <c r="G282" s="5"/>
      <c r="H282" s="5"/>
      <c r="I282" s="5"/>
      <c r="J282" s="5"/>
      <c r="K282" s="5"/>
      <c r="L282" s="5"/>
      <c r="M282" s="5"/>
      <c r="N282"/>
    </row>
    <row r="283" spans="1:14" s="21" customFormat="1" x14ac:dyDescent="0.25">
      <c r="A283" s="23"/>
      <c r="B283" s="23"/>
      <c r="C283" s="37"/>
      <c r="D283" s="28"/>
      <c r="E283" s="28"/>
      <c r="F283" s="28"/>
      <c r="G283" s="5"/>
      <c r="H283" s="5"/>
      <c r="I283" s="5"/>
      <c r="J283" s="5"/>
      <c r="K283" s="5"/>
      <c r="L283" s="5"/>
      <c r="M283" s="5"/>
      <c r="N283"/>
    </row>
    <row r="284" spans="1:14" s="21" customFormat="1" x14ac:dyDescent="0.25">
      <c r="A284" s="23"/>
      <c r="B284" s="23"/>
      <c r="C284" s="37"/>
      <c r="D284" s="28"/>
      <c r="E284" s="28"/>
      <c r="F284" s="28"/>
      <c r="G284" s="5"/>
      <c r="H284" s="5"/>
      <c r="I284" s="5"/>
      <c r="J284" s="5"/>
      <c r="K284" s="5"/>
      <c r="L284" s="5"/>
      <c r="M284" s="5"/>
      <c r="N284"/>
    </row>
    <row r="285" spans="1:14" s="21" customFormat="1" x14ac:dyDescent="0.25">
      <c r="A285" s="23"/>
      <c r="B285" s="23"/>
      <c r="C285" s="37"/>
      <c r="D285" s="28"/>
      <c r="E285" s="28"/>
      <c r="F285" s="28"/>
      <c r="G285" s="5"/>
      <c r="H285" s="5"/>
      <c r="I285" s="5"/>
      <c r="J285" s="5"/>
      <c r="K285" s="5"/>
      <c r="L285" s="5"/>
      <c r="M285" s="5"/>
      <c r="N285"/>
    </row>
    <row r="286" spans="1:14" s="21" customFormat="1" x14ac:dyDescent="0.25">
      <c r="A286" s="23"/>
      <c r="B286" s="23"/>
      <c r="C286" s="37"/>
      <c r="D286" s="28"/>
      <c r="E286" s="28"/>
      <c r="F286" s="28"/>
      <c r="G286" s="5"/>
      <c r="H286" s="5"/>
      <c r="I286" s="5"/>
      <c r="J286" s="5"/>
      <c r="K286" s="5"/>
      <c r="L286" s="5"/>
      <c r="M286" s="5"/>
      <c r="N286"/>
    </row>
    <row r="287" spans="1:14" s="21" customFormat="1" x14ac:dyDescent="0.25">
      <c r="A287" s="23"/>
      <c r="B287" s="23"/>
      <c r="C287" s="37"/>
      <c r="D287" s="28"/>
      <c r="E287" s="28"/>
      <c r="F287" s="28"/>
      <c r="G287" s="5"/>
      <c r="H287" s="5"/>
      <c r="I287" s="5"/>
      <c r="J287" s="5"/>
      <c r="K287" s="5"/>
      <c r="L287" s="5"/>
      <c r="M287" s="5"/>
      <c r="N287"/>
    </row>
    <row r="288" spans="1:14" s="21" customFormat="1" x14ac:dyDescent="0.25">
      <c r="A288" s="23"/>
      <c r="B288" s="23"/>
      <c r="C288" s="37"/>
      <c r="D288" s="28"/>
      <c r="E288" s="28"/>
      <c r="F288" s="28"/>
      <c r="G288" s="5"/>
      <c r="H288" s="5"/>
      <c r="I288" s="5"/>
      <c r="J288" s="5"/>
      <c r="K288" s="5"/>
      <c r="L288" s="5"/>
      <c r="M288" s="5"/>
      <c r="N288"/>
    </row>
    <row r="289" spans="1:14" s="21" customFormat="1" x14ac:dyDescent="0.25">
      <c r="A289" s="23"/>
      <c r="B289" s="23"/>
      <c r="C289" s="37"/>
      <c r="D289" s="28"/>
      <c r="E289" s="28"/>
      <c r="F289" s="28"/>
      <c r="G289" s="5"/>
      <c r="H289" s="5"/>
      <c r="I289" s="5"/>
      <c r="J289" s="5"/>
      <c r="K289" s="5"/>
      <c r="L289" s="5"/>
      <c r="M289" s="5"/>
      <c r="N289"/>
    </row>
    <row r="290" spans="1:14" s="21" customFormat="1" x14ac:dyDescent="0.25">
      <c r="A290" s="23"/>
      <c r="B290" s="23"/>
      <c r="C290" s="37"/>
      <c r="D290" s="28"/>
      <c r="E290" s="28"/>
      <c r="F290" s="28"/>
      <c r="G290" s="5"/>
      <c r="H290" s="5"/>
      <c r="I290" s="5"/>
      <c r="J290" s="5"/>
      <c r="K290" s="5"/>
      <c r="L290" s="5"/>
      <c r="M290" s="5"/>
      <c r="N290"/>
    </row>
    <row r="291" spans="1:14" s="21" customFormat="1" x14ac:dyDescent="0.25">
      <c r="A291" s="23"/>
      <c r="B291" s="23"/>
      <c r="C291" s="37"/>
      <c r="D291" s="28"/>
      <c r="E291" s="28"/>
      <c r="F291" s="28"/>
      <c r="G291" s="5"/>
      <c r="H291" s="5"/>
      <c r="I291" s="5"/>
      <c r="J291" s="5"/>
      <c r="K291" s="5"/>
      <c r="L291" s="5"/>
      <c r="M291" s="5"/>
      <c r="N291"/>
    </row>
    <row r="292" spans="1:14" s="21" customFormat="1" x14ac:dyDescent="0.25">
      <c r="A292" s="23"/>
      <c r="B292" s="23"/>
      <c r="C292" s="37"/>
      <c r="D292" s="28"/>
      <c r="E292" s="28"/>
      <c r="F292" s="28"/>
      <c r="G292" s="5"/>
      <c r="H292" s="5"/>
      <c r="I292" s="5"/>
      <c r="J292" s="5"/>
      <c r="K292" s="5"/>
      <c r="L292" s="5"/>
      <c r="M292" s="5"/>
      <c r="N292"/>
    </row>
    <row r="293" spans="1:14" s="21" customFormat="1" x14ac:dyDescent="0.25">
      <c r="A293" s="23"/>
      <c r="B293" s="23"/>
      <c r="C293" s="37"/>
      <c r="D293" s="28"/>
      <c r="E293" s="28"/>
      <c r="F293" s="28"/>
      <c r="G293" s="5"/>
      <c r="H293" s="5"/>
      <c r="I293" s="5"/>
      <c r="J293" s="5"/>
      <c r="K293" s="5"/>
      <c r="L293" s="5"/>
      <c r="M293" s="5"/>
      <c r="N293"/>
    </row>
    <row r="294" spans="1:14" s="21" customFormat="1" x14ac:dyDescent="0.25">
      <c r="A294" s="23"/>
      <c r="B294" s="23"/>
      <c r="C294" s="37"/>
      <c r="D294" s="28"/>
      <c r="E294" s="28"/>
      <c r="F294" s="28"/>
      <c r="G294" s="5"/>
      <c r="H294" s="5"/>
      <c r="I294" s="5"/>
      <c r="J294" s="5"/>
      <c r="K294" s="5"/>
      <c r="L294" s="5"/>
      <c r="M294" s="5"/>
      <c r="N294"/>
    </row>
    <row r="295" spans="1:14" s="21" customFormat="1" x14ac:dyDescent="0.25">
      <c r="A295" s="23"/>
      <c r="B295" s="23"/>
      <c r="C295" s="37"/>
      <c r="D295" s="28"/>
      <c r="E295" s="28"/>
      <c r="F295" s="28"/>
      <c r="G295" s="5"/>
      <c r="H295" s="5"/>
      <c r="I295" s="5"/>
      <c r="J295" s="5"/>
      <c r="K295" s="5"/>
      <c r="L295" s="5"/>
      <c r="M295" s="5"/>
      <c r="N295"/>
    </row>
    <row r="296" spans="1:14" s="21" customFormat="1" x14ac:dyDescent="0.25">
      <c r="A296" s="23"/>
      <c r="B296" s="23"/>
      <c r="C296" s="37"/>
      <c r="D296" s="28"/>
      <c r="E296" s="28"/>
      <c r="F296" s="28"/>
      <c r="G296" s="5"/>
      <c r="H296" s="5"/>
      <c r="I296" s="5"/>
      <c r="J296" s="5"/>
      <c r="K296" s="5"/>
      <c r="L296" s="5"/>
      <c r="M296" s="5"/>
      <c r="N296"/>
    </row>
    <row r="297" spans="1:14" s="21" customFormat="1" x14ac:dyDescent="0.25">
      <c r="A297" s="23"/>
      <c r="B297" s="23"/>
      <c r="C297" s="37"/>
      <c r="D297" s="28"/>
      <c r="E297" s="28"/>
      <c r="F297" s="28"/>
      <c r="G297" s="5"/>
      <c r="H297" s="5"/>
      <c r="I297" s="5"/>
      <c r="J297" s="5"/>
      <c r="K297" s="5"/>
      <c r="L297" s="5"/>
      <c r="M297" s="5"/>
      <c r="N297"/>
    </row>
    <row r="298" spans="1:14" s="21" customFormat="1" x14ac:dyDescent="0.25">
      <c r="A298" s="23"/>
      <c r="B298" s="23"/>
      <c r="C298" s="37"/>
      <c r="D298" s="28"/>
      <c r="E298" s="28"/>
      <c r="F298" s="28"/>
      <c r="G298" s="5"/>
      <c r="H298" s="5"/>
      <c r="I298" s="5"/>
      <c r="J298" s="5"/>
      <c r="K298" s="5"/>
      <c r="L298" s="5"/>
      <c r="M298" s="5"/>
      <c r="N298"/>
    </row>
    <row r="299" spans="1:14" s="21" customFormat="1" x14ac:dyDescent="0.25">
      <c r="A299" s="23"/>
      <c r="B299" s="23"/>
      <c r="C299" s="37"/>
      <c r="D299" s="28"/>
      <c r="E299" s="28"/>
      <c r="F299" s="28"/>
      <c r="G299" s="5"/>
      <c r="H299" s="5"/>
      <c r="I299" s="5"/>
      <c r="J299" s="5"/>
      <c r="K299" s="5"/>
      <c r="L299" s="5"/>
      <c r="M299" s="5"/>
      <c r="N299"/>
    </row>
    <row r="300" spans="1:14" s="21" customFormat="1" x14ac:dyDescent="0.25">
      <c r="A300" s="23"/>
      <c r="B300" s="23"/>
      <c r="C300" s="37"/>
      <c r="D300" s="28"/>
      <c r="E300" s="28"/>
      <c r="F300" s="28"/>
      <c r="G300" s="5"/>
      <c r="H300" s="5"/>
      <c r="I300" s="5"/>
      <c r="J300" s="5"/>
      <c r="K300" s="5"/>
      <c r="L300" s="5"/>
      <c r="M300" s="5"/>
      <c r="N300"/>
    </row>
    <row r="301" spans="1:14" s="21" customFormat="1" x14ac:dyDescent="0.25">
      <c r="A301" s="23"/>
      <c r="B301" s="23"/>
      <c r="C301" s="37"/>
      <c r="D301" s="28"/>
      <c r="E301" s="28"/>
      <c r="F301" s="28"/>
      <c r="G301" s="5"/>
      <c r="H301" s="5"/>
      <c r="I301" s="5"/>
      <c r="J301" s="5"/>
      <c r="K301" s="5"/>
      <c r="L301" s="5"/>
      <c r="M301" s="5"/>
      <c r="N301"/>
    </row>
    <row r="302" spans="1:14" s="21" customFormat="1" x14ac:dyDescent="0.25">
      <c r="A302" s="23"/>
      <c r="B302" s="23"/>
      <c r="C302" s="37"/>
      <c r="D302" s="28"/>
      <c r="E302" s="28"/>
      <c r="F302" s="28"/>
      <c r="G302" s="5"/>
      <c r="H302" s="5"/>
      <c r="I302" s="5"/>
      <c r="J302" s="5"/>
      <c r="K302" s="5"/>
      <c r="L302" s="5"/>
      <c r="M302" s="5"/>
      <c r="N302"/>
    </row>
    <row r="303" spans="1:14" s="21" customFormat="1" x14ac:dyDescent="0.25">
      <c r="A303" s="23"/>
      <c r="B303" s="23"/>
      <c r="C303" s="37"/>
      <c r="D303" s="28"/>
      <c r="E303" s="28"/>
      <c r="F303" s="28"/>
      <c r="G303" s="5"/>
      <c r="H303" s="5"/>
      <c r="I303" s="5"/>
      <c r="J303" s="5"/>
      <c r="K303" s="5"/>
      <c r="L303" s="5"/>
      <c r="M303" s="5"/>
      <c r="N303"/>
    </row>
    <row r="304" spans="1:14" s="21" customFormat="1" x14ac:dyDescent="0.25">
      <c r="A304" s="23"/>
      <c r="B304" s="23"/>
      <c r="C304" s="37"/>
      <c r="D304" s="28"/>
      <c r="E304" s="28"/>
      <c r="F304" s="28"/>
      <c r="G304" s="5"/>
      <c r="H304" s="5"/>
      <c r="I304" s="5"/>
      <c r="J304" s="5"/>
      <c r="K304" s="5"/>
      <c r="L304" s="5"/>
      <c r="M304" s="5"/>
      <c r="N304"/>
    </row>
    <row r="305" spans="1:14" s="21" customFormat="1" x14ac:dyDescent="0.25">
      <c r="A305" s="23"/>
      <c r="B305" s="23"/>
      <c r="C305" s="37"/>
      <c r="D305" s="28"/>
      <c r="E305" s="28"/>
      <c r="F305" s="28"/>
      <c r="G305" s="5"/>
      <c r="H305" s="5"/>
      <c r="I305" s="5"/>
      <c r="J305" s="5"/>
      <c r="K305" s="5"/>
      <c r="L305" s="5"/>
      <c r="M305" s="5"/>
      <c r="N305"/>
    </row>
    <row r="306" spans="1:14" s="21" customFormat="1" x14ac:dyDescent="0.25">
      <c r="A306" s="23"/>
      <c r="B306" s="23"/>
      <c r="C306" s="37"/>
      <c r="D306" s="28"/>
      <c r="E306" s="28"/>
      <c r="F306" s="28"/>
      <c r="G306" s="5"/>
      <c r="H306" s="5"/>
      <c r="I306" s="5"/>
      <c r="J306" s="5"/>
      <c r="K306" s="5"/>
      <c r="L306" s="5"/>
      <c r="M306" s="5"/>
      <c r="N306"/>
    </row>
    <row r="307" spans="1:14" s="21" customFormat="1" x14ac:dyDescent="0.25">
      <c r="A307" s="23"/>
      <c r="B307" s="23"/>
      <c r="C307" s="37"/>
      <c r="D307" s="28"/>
      <c r="E307" s="28"/>
      <c r="F307" s="28"/>
      <c r="G307" s="5"/>
      <c r="H307" s="5"/>
      <c r="I307" s="5"/>
      <c r="J307" s="5"/>
      <c r="K307" s="5"/>
      <c r="L307" s="5"/>
      <c r="M307" s="5"/>
      <c r="N307"/>
    </row>
    <row r="308" spans="1:14" s="21" customFormat="1" x14ac:dyDescent="0.25">
      <c r="A308" s="23"/>
      <c r="B308" s="23"/>
      <c r="C308" s="37"/>
      <c r="D308" s="28"/>
      <c r="E308" s="28"/>
      <c r="F308" s="28"/>
      <c r="G308" s="5"/>
      <c r="H308" s="5"/>
      <c r="I308" s="5"/>
      <c r="J308" s="5"/>
      <c r="K308" s="5"/>
      <c r="L308" s="5"/>
      <c r="M308" s="5"/>
      <c r="N308"/>
    </row>
    <row r="309" spans="1:14" s="21" customFormat="1" x14ac:dyDescent="0.25">
      <c r="A309" s="23"/>
      <c r="B309" s="23"/>
      <c r="C309" s="37"/>
      <c r="D309" s="28"/>
      <c r="E309" s="28"/>
      <c r="F309" s="28"/>
      <c r="G309" s="5"/>
      <c r="H309" s="5"/>
      <c r="I309" s="5"/>
      <c r="J309" s="5"/>
      <c r="K309" s="5"/>
      <c r="L309" s="5"/>
      <c r="M309" s="5"/>
      <c r="N309"/>
    </row>
    <row r="310" spans="1:14" s="21" customFormat="1" x14ac:dyDescent="0.25">
      <c r="A310" s="23"/>
      <c r="B310" s="23"/>
      <c r="C310" s="37"/>
      <c r="D310" s="32"/>
      <c r="E310" s="28"/>
      <c r="F310" s="28"/>
      <c r="G310" s="5"/>
      <c r="H310" s="5"/>
      <c r="I310" s="5"/>
      <c r="J310" s="5"/>
      <c r="K310" s="5"/>
      <c r="L310" s="5"/>
      <c r="M310" s="5"/>
      <c r="N310"/>
    </row>
    <row r="311" spans="1:14" s="21" customFormat="1" x14ac:dyDescent="0.25">
      <c r="A311" s="23"/>
      <c r="B311" s="23"/>
      <c r="C311" s="37"/>
      <c r="D311" s="30"/>
      <c r="E311" s="28"/>
      <c r="F311" s="28"/>
      <c r="G311" s="5"/>
      <c r="H311" s="5"/>
      <c r="I311" s="5"/>
      <c r="J311" s="5"/>
      <c r="K311" s="5"/>
      <c r="L311" s="5"/>
      <c r="M311" s="5"/>
      <c r="N311"/>
    </row>
    <row r="312" spans="1:14" s="21" customFormat="1" x14ac:dyDescent="0.25">
      <c r="A312" s="23"/>
      <c r="B312" s="23"/>
      <c r="C312" s="37"/>
      <c r="D312" s="28"/>
      <c r="E312" s="28"/>
      <c r="F312" s="28"/>
      <c r="G312" s="5"/>
      <c r="H312" s="5"/>
      <c r="I312" s="5"/>
      <c r="J312" s="5"/>
      <c r="K312" s="5"/>
      <c r="L312" s="5"/>
      <c r="M312" s="5"/>
      <c r="N312"/>
    </row>
    <row r="313" spans="1:14" s="21" customFormat="1" x14ac:dyDescent="0.25">
      <c r="A313" s="23"/>
      <c r="B313" s="23"/>
      <c r="C313" s="37"/>
      <c r="D313" s="28"/>
      <c r="E313" s="28"/>
      <c r="F313" s="28"/>
      <c r="G313" s="5"/>
      <c r="H313" s="5"/>
      <c r="I313" s="5"/>
      <c r="J313" s="5"/>
      <c r="K313" s="5"/>
      <c r="L313" s="5"/>
      <c r="M313" s="5"/>
      <c r="N313"/>
    </row>
    <row r="314" spans="1:14" s="21" customFormat="1" x14ac:dyDescent="0.25">
      <c r="A314" s="23"/>
      <c r="B314" s="23"/>
      <c r="C314" s="37"/>
      <c r="D314" s="28"/>
      <c r="E314" s="28"/>
      <c r="F314" s="28"/>
      <c r="G314" s="5"/>
      <c r="H314" s="5"/>
      <c r="I314" s="5"/>
      <c r="J314" s="5"/>
      <c r="K314" s="5"/>
      <c r="L314" s="5"/>
      <c r="M314" s="5"/>
      <c r="N314"/>
    </row>
    <row r="315" spans="1:14" s="21" customFormat="1" x14ac:dyDescent="0.25">
      <c r="A315" s="23"/>
      <c r="B315" s="23"/>
      <c r="C315" s="37"/>
      <c r="D315" s="28"/>
      <c r="E315" s="28"/>
      <c r="F315" s="28"/>
      <c r="G315" s="5"/>
      <c r="H315" s="5"/>
      <c r="I315" s="5"/>
      <c r="J315" s="5"/>
      <c r="K315" s="5"/>
      <c r="L315" s="5"/>
      <c r="M315" s="5"/>
      <c r="N315"/>
    </row>
    <row r="316" spans="1:14" s="21" customFormat="1" x14ac:dyDescent="0.25">
      <c r="A316" s="23"/>
      <c r="B316" s="23"/>
      <c r="C316" s="37"/>
      <c r="D316" s="28"/>
      <c r="E316" s="28"/>
      <c r="F316" s="28"/>
      <c r="G316" s="5"/>
      <c r="H316" s="5"/>
      <c r="I316" s="5"/>
      <c r="J316" s="5"/>
      <c r="K316" s="5"/>
      <c r="L316" s="5"/>
      <c r="M316" s="5"/>
      <c r="N316"/>
    </row>
    <row r="317" spans="1:14" s="21" customFormat="1" x14ac:dyDescent="0.25">
      <c r="A317" s="23"/>
      <c r="B317" s="23"/>
      <c r="C317" s="37"/>
      <c r="D317" s="28"/>
      <c r="E317" s="28"/>
      <c r="F317" s="28"/>
      <c r="G317" s="5"/>
      <c r="H317" s="5"/>
      <c r="I317" s="5"/>
      <c r="J317" s="5"/>
      <c r="K317" s="5"/>
      <c r="L317" s="5"/>
      <c r="M317" s="5"/>
      <c r="N317"/>
    </row>
    <row r="318" spans="1:14" s="21" customFormat="1" x14ac:dyDescent="0.25">
      <c r="A318" s="23"/>
      <c r="B318" s="23"/>
      <c r="C318" s="37"/>
      <c r="D318" s="28"/>
      <c r="E318" s="28"/>
      <c r="F318" s="28"/>
      <c r="G318" s="5"/>
      <c r="H318" s="5"/>
      <c r="I318" s="5"/>
      <c r="J318" s="5"/>
      <c r="K318" s="5"/>
      <c r="L318" s="5"/>
      <c r="M318" s="5"/>
      <c r="N318"/>
    </row>
    <row r="319" spans="1:14" s="21" customFormat="1" x14ac:dyDescent="0.25">
      <c r="A319" s="23"/>
      <c r="B319" s="23"/>
      <c r="C319" s="37"/>
      <c r="D319" s="28"/>
      <c r="E319" s="28"/>
      <c r="F319" s="28"/>
      <c r="G319" s="5"/>
      <c r="H319" s="5"/>
      <c r="I319" s="5"/>
      <c r="J319" s="5"/>
      <c r="K319" s="5"/>
      <c r="L319" s="5"/>
      <c r="M319" s="5"/>
      <c r="N319"/>
    </row>
    <row r="320" spans="1:14" s="21" customFormat="1" x14ac:dyDescent="0.25">
      <c r="A320" s="23"/>
      <c r="B320" s="23"/>
      <c r="C320" s="37"/>
      <c r="D320" s="28"/>
      <c r="E320" s="28"/>
      <c r="F320" s="28"/>
      <c r="G320" s="5"/>
      <c r="H320" s="5"/>
      <c r="I320" s="5"/>
      <c r="J320" s="5"/>
      <c r="K320" s="5"/>
      <c r="L320" s="5"/>
      <c r="M320" s="5"/>
      <c r="N320"/>
    </row>
    <row r="321" spans="1:14" s="21" customFormat="1" x14ac:dyDescent="0.25">
      <c r="A321" s="23"/>
      <c r="B321" s="23"/>
      <c r="C321" s="37"/>
      <c r="D321" s="28"/>
      <c r="E321" s="28"/>
      <c r="F321" s="28"/>
      <c r="G321" s="5"/>
      <c r="H321" s="5"/>
      <c r="I321" s="5"/>
      <c r="J321" s="5"/>
      <c r="K321" s="5"/>
      <c r="L321" s="5"/>
      <c r="M321" s="5"/>
      <c r="N321"/>
    </row>
    <row r="322" spans="1:14" s="21" customFormat="1" x14ac:dyDescent="0.25">
      <c r="A322" s="23"/>
      <c r="B322" s="23"/>
      <c r="C322" s="37"/>
      <c r="D322" s="28"/>
      <c r="E322" s="28"/>
      <c r="F322" s="28"/>
      <c r="G322" s="5"/>
      <c r="H322" s="5"/>
      <c r="I322" s="5"/>
      <c r="J322" s="5"/>
      <c r="K322" s="5"/>
      <c r="L322" s="5"/>
      <c r="M322" s="5"/>
      <c r="N322"/>
    </row>
    <row r="323" spans="1:14" s="21" customFormat="1" x14ac:dyDescent="0.25">
      <c r="A323" s="23"/>
      <c r="B323" s="23"/>
      <c r="C323" s="37"/>
      <c r="D323" s="28"/>
      <c r="E323" s="28"/>
      <c r="F323" s="28"/>
      <c r="G323" s="5"/>
      <c r="H323" s="5"/>
      <c r="I323" s="5"/>
      <c r="J323" s="5"/>
      <c r="K323" s="5"/>
      <c r="L323" s="5"/>
      <c r="M323" s="5"/>
      <c r="N323"/>
    </row>
    <row r="324" spans="1:14" s="21" customFormat="1" x14ac:dyDescent="0.25">
      <c r="A324" s="23"/>
      <c r="B324" s="23"/>
      <c r="C324" s="37"/>
      <c r="D324" s="28"/>
      <c r="E324" s="28"/>
      <c r="F324" s="28"/>
      <c r="G324" s="5"/>
      <c r="H324" s="5"/>
      <c r="I324" s="5"/>
      <c r="J324" s="5"/>
      <c r="K324" s="5"/>
      <c r="L324" s="5"/>
      <c r="M324" s="5"/>
      <c r="N324"/>
    </row>
    <row r="325" spans="1:14" s="21" customFormat="1" x14ac:dyDescent="0.25">
      <c r="A325" s="23"/>
      <c r="B325" s="23"/>
      <c r="C325" s="37"/>
      <c r="D325" s="28"/>
      <c r="E325" s="28"/>
      <c r="F325" s="28"/>
      <c r="G325" s="5"/>
      <c r="H325" s="5"/>
      <c r="I325" s="5"/>
      <c r="J325" s="5"/>
      <c r="K325" s="5"/>
      <c r="L325" s="5"/>
      <c r="M325" s="5"/>
      <c r="N325"/>
    </row>
    <row r="326" spans="1:14" s="21" customFormat="1" x14ac:dyDescent="0.25">
      <c r="A326" s="25"/>
      <c r="B326" s="25"/>
      <c r="C326" s="38"/>
      <c r="D326" s="32"/>
      <c r="E326" s="32"/>
      <c r="F326" s="32"/>
      <c r="G326" s="24"/>
      <c r="H326" s="24"/>
      <c r="I326" s="24"/>
      <c r="J326" s="24"/>
      <c r="K326" s="24"/>
      <c r="L326" s="24"/>
      <c r="M326" s="24"/>
      <c r="N326"/>
    </row>
    <row r="327" spans="1:14" s="21" customFormat="1" x14ac:dyDescent="0.25">
      <c r="A327" s="25"/>
      <c r="B327" s="25"/>
      <c r="C327" s="38"/>
      <c r="D327" s="32"/>
      <c r="E327" s="32"/>
      <c r="F327" s="32"/>
      <c r="G327" s="24"/>
      <c r="H327" s="24"/>
      <c r="I327" s="24"/>
      <c r="J327" s="24"/>
      <c r="K327" s="24"/>
      <c r="L327" s="24"/>
      <c r="M327" s="24"/>
      <c r="N327"/>
    </row>
    <row r="328" spans="1:14" s="21" customFormat="1" x14ac:dyDescent="0.25">
      <c r="A328" s="23"/>
      <c r="B328" s="23"/>
      <c r="C328" s="37"/>
      <c r="D328" s="28"/>
      <c r="E328" s="28"/>
      <c r="F328" s="28"/>
      <c r="G328" s="5"/>
      <c r="H328" s="5"/>
      <c r="I328" s="5"/>
      <c r="J328" s="5"/>
      <c r="K328" s="5"/>
      <c r="L328" s="5"/>
      <c r="M328" s="5"/>
      <c r="N328"/>
    </row>
    <row r="329" spans="1:14" s="21" customFormat="1" x14ac:dyDescent="0.25">
      <c r="A329" s="23"/>
      <c r="B329" s="23"/>
      <c r="C329" s="37"/>
      <c r="D329" s="28"/>
      <c r="E329" s="28"/>
      <c r="F329" s="28"/>
      <c r="G329" s="5"/>
      <c r="H329" s="5"/>
      <c r="I329" s="5"/>
      <c r="J329" s="5"/>
      <c r="K329" s="5"/>
      <c r="L329" s="5"/>
      <c r="M329" s="5"/>
      <c r="N329"/>
    </row>
    <row r="330" spans="1:14" s="21" customFormat="1" x14ac:dyDescent="0.25">
      <c r="A330" s="23"/>
      <c r="B330" s="23"/>
      <c r="C330" s="37"/>
      <c r="D330" s="28"/>
      <c r="E330" s="28"/>
      <c r="F330" s="28"/>
      <c r="G330" s="5"/>
      <c r="H330" s="5"/>
      <c r="I330" s="5"/>
      <c r="J330" s="5"/>
      <c r="K330" s="5"/>
      <c r="L330" s="5"/>
      <c r="M330" s="5"/>
      <c r="N330"/>
    </row>
    <row r="331" spans="1:14" s="21" customFormat="1" x14ac:dyDescent="0.25">
      <c r="A331" s="23"/>
      <c r="B331" s="23"/>
      <c r="C331" s="37"/>
      <c r="D331" s="28"/>
      <c r="E331" s="28"/>
      <c r="F331" s="28"/>
      <c r="G331" s="5"/>
      <c r="H331" s="5"/>
      <c r="I331" s="5"/>
      <c r="J331" s="5"/>
      <c r="K331" s="5"/>
      <c r="L331" s="5"/>
      <c r="M331" s="5"/>
      <c r="N331"/>
    </row>
    <row r="332" spans="1:14" s="21" customFormat="1" x14ac:dyDescent="0.25">
      <c r="A332" s="23"/>
      <c r="B332" s="23"/>
      <c r="C332" s="37"/>
      <c r="D332" s="28"/>
      <c r="E332" s="28"/>
      <c r="F332" s="28"/>
      <c r="G332" s="5"/>
      <c r="H332" s="5"/>
      <c r="I332" s="5"/>
      <c r="J332" s="5"/>
      <c r="K332" s="5"/>
      <c r="L332" s="5"/>
      <c r="M332" s="5"/>
      <c r="N332"/>
    </row>
    <row r="333" spans="1:14" s="21" customFormat="1" x14ac:dyDescent="0.25">
      <c r="A333" s="23"/>
      <c r="B333" s="23"/>
      <c r="C333" s="37"/>
      <c r="D333" s="28"/>
      <c r="E333" s="28"/>
      <c r="F333" s="28"/>
      <c r="G333" s="5"/>
      <c r="H333" s="5"/>
      <c r="I333" s="5"/>
      <c r="J333" s="5"/>
      <c r="K333" s="5"/>
      <c r="L333" s="5"/>
      <c r="M333" s="5"/>
      <c r="N333"/>
    </row>
    <row r="334" spans="1:14" s="21" customFormat="1" x14ac:dyDescent="0.25">
      <c r="A334" s="23"/>
      <c r="B334" s="23"/>
      <c r="C334" s="37"/>
      <c r="D334" s="28"/>
      <c r="E334" s="28"/>
      <c r="F334" s="28"/>
      <c r="G334" s="5"/>
      <c r="H334" s="5"/>
      <c r="I334" s="5"/>
      <c r="J334" s="5"/>
      <c r="K334" s="5"/>
      <c r="L334" s="5"/>
      <c r="M334" s="5"/>
      <c r="N334"/>
    </row>
    <row r="335" spans="1:14" s="21" customFormat="1" x14ac:dyDescent="0.25">
      <c r="A335" s="23"/>
      <c r="B335" s="23"/>
      <c r="C335" s="37"/>
      <c r="D335" s="32"/>
      <c r="E335" s="28"/>
      <c r="F335" s="28"/>
      <c r="G335" s="5"/>
      <c r="H335" s="5"/>
      <c r="I335" s="5"/>
      <c r="J335" s="5"/>
      <c r="K335" s="5"/>
      <c r="L335" s="5"/>
      <c r="M335" s="5"/>
      <c r="N335"/>
    </row>
    <row r="336" spans="1:14" s="21" customFormat="1" x14ac:dyDescent="0.25">
      <c r="A336" s="23"/>
      <c r="B336" s="23"/>
      <c r="C336" s="37"/>
      <c r="D336" s="28"/>
      <c r="E336" s="28"/>
      <c r="F336" s="28"/>
      <c r="G336" s="5"/>
      <c r="H336" s="5"/>
      <c r="I336" s="5"/>
      <c r="J336" s="5"/>
      <c r="K336" s="5"/>
      <c r="L336" s="5"/>
      <c r="M336" s="5"/>
      <c r="N336"/>
    </row>
    <row r="337" spans="1:14" s="21" customFormat="1" x14ac:dyDescent="0.25">
      <c r="A337" s="23"/>
      <c r="B337" s="23"/>
      <c r="C337" s="37"/>
      <c r="D337" s="28"/>
      <c r="E337" s="28"/>
      <c r="F337" s="28"/>
      <c r="G337" s="5"/>
      <c r="H337" s="5"/>
      <c r="I337" s="5"/>
      <c r="J337" s="5"/>
      <c r="K337" s="5"/>
      <c r="L337" s="5"/>
      <c r="M337" s="5"/>
      <c r="N337"/>
    </row>
    <row r="338" spans="1:14" s="21" customFormat="1" x14ac:dyDescent="0.25">
      <c r="A338" s="23"/>
      <c r="B338" s="23"/>
      <c r="C338" s="37"/>
      <c r="D338" s="28"/>
      <c r="E338" s="28"/>
      <c r="F338" s="28"/>
      <c r="G338" s="5"/>
      <c r="H338" s="5"/>
      <c r="I338" s="5"/>
      <c r="J338" s="5"/>
      <c r="K338" s="5"/>
      <c r="L338" s="5"/>
      <c r="M338" s="5"/>
      <c r="N338"/>
    </row>
    <row r="339" spans="1:14" s="21" customFormat="1" x14ac:dyDescent="0.25">
      <c r="A339" s="23"/>
      <c r="B339" s="23"/>
      <c r="C339" s="37"/>
      <c r="D339" s="33"/>
      <c r="E339" s="28"/>
      <c r="F339" s="28"/>
      <c r="G339" s="5"/>
      <c r="H339" s="5"/>
      <c r="I339" s="5"/>
      <c r="J339" s="5"/>
      <c r="K339" s="5"/>
      <c r="L339" s="5"/>
      <c r="M339" s="5"/>
      <c r="N339"/>
    </row>
    <row r="340" spans="1:14" s="21" customFormat="1" x14ac:dyDescent="0.25">
      <c r="A340" s="23"/>
      <c r="B340" s="23"/>
      <c r="C340" s="37"/>
      <c r="D340" s="33"/>
      <c r="E340" s="28"/>
      <c r="F340" s="28"/>
      <c r="G340" s="5"/>
      <c r="H340" s="5"/>
      <c r="I340" s="5"/>
      <c r="J340" s="5"/>
      <c r="K340" s="5"/>
      <c r="L340" s="5"/>
      <c r="M340" s="5"/>
      <c r="N340"/>
    </row>
    <row r="341" spans="1:14" s="21" customFormat="1" x14ac:dyDescent="0.25">
      <c r="A341" s="23"/>
      <c r="B341" s="23"/>
      <c r="C341" s="37"/>
      <c r="D341" s="28"/>
      <c r="E341" s="28"/>
      <c r="F341" s="28"/>
      <c r="G341" s="5"/>
      <c r="H341" s="5"/>
      <c r="I341" s="5"/>
      <c r="J341" s="5"/>
      <c r="K341" s="5"/>
      <c r="L341" s="5"/>
      <c r="M341" s="5"/>
      <c r="N341"/>
    </row>
    <row r="342" spans="1:14" s="21" customFormat="1" x14ac:dyDescent="0.25">
      <c r="A342" s="23"/>
      <c r="B342" s="23"/>
      <c r="C342" s="37"/>
      <c r="D342" s="28"/>
      <c r="E342" s="28"/>
      <c r="F342" s="28"/>
      <c r="G342" s="5"/>
      <c r="H342" s="5"/>
      <c r="I342" s="5"/>
      <c r="J342" s="5"/>
      <c r="K342" s="5"/>
      <c r="L342" s="5"/>
      <c r="M342" s="5"/>
      <c r="N342"/>
    </row>
    <row r="343" spans="1:14" s="21" customFormat="1" x14ac:dyDescent="0.25">
      <c r="A343" s="23"/>
      <c r="B343" s="23"/>
      <c r="C343" s="37"/>
      <c r="D343" s="28"/>
      <c r="E343" s="28"/>
      <c r="F343" s="28"/>
      <c r="G343" s="5"/>
      <c r="H343" s="5"/>
      <c r="I343" s="5"/>
      <c r="J343" s="5"/>
      <c r="K343" s="5"/>
      <c r="L343" s="5"/>
      <c r="M343" s="5"/>
      <c r="N343"/>
    </row>
    <row r="344" spans="1:14" s="21" customFormat="1" x14ac:dyDescent="0.25">
      <c r="A344" s="23"/>
      <c r="B344" s="23"/>
      <c r="C344" s="37"/>
      <c r="D344" s="28"/>
      <c r="E344" s="28"/>
      <c r="F344" s="28"/>
      <c r="G344" s="5"/>
      <c r="H344" s="5"/>
      <c r="I344" s="5"/>
      <c r="J344" s="5"/>
      <c r="K344" s="5"/>
      <c r="L344" s="5"/>
      <c r="M344" s="5"/>
      <c r="N344"/>
    </row>
    <row r="345" spans="1:14" s="21" customFormat="1" x14ac:dyDescent="0.25">
      <c r="A345" s="23"/>
      <c r="B345" s="23"/>
      <c r="C345" s="37"/>
      <c r="D345" s="28"/>
      <c r="E345" s="28"/>
      <c r="F345" s="28"/>
      <c r="G345" s="5"/>
      <c r="H345" s="5"/>
      <c r="I345" s="5"/>
      <c r="J345" s="5"/>
      <c r="K345" s="5"/>
      <c r="L345" s="5"/>
      <c r="M345" s="5"/>
      <c r="N345"/>
    </row>
    <row r="346" spans="1:14" s="21" customFormat="1" x14ac:dyDescent="0.25">
      <c r="A346" s="23"/>
      <c r="B346" s="23"/>
      <c r="C346" s="37"/>
      <c r="D346" s="28"/>
      <c r="E346" s="28"/>
      <c r="F346" s="28"/>
      <c r="G346" s="5"/>
      <c r="H346" s="5"/>
      <c r="I346" s="5"/>
      <c r="J346" s="5"/>
      <c r="K346" s="5"/>
      <c r="L346" s="5"/>
      <c r="M346" s="5"/>
      <c r="N346"/>
    </row>
    <row r="347" spans="1:14" s="21" customFormat="1" x14ac:dyDescent="0.25">
      <c r="A347" s="23"/>
      <c r="B347" s="23"/>
      <c r="C347" s="37"/>
      <c r="D347" s="28"/>
      <c r="E347" s="28"/>
      <c r="F347" s="28"/>
      <c r="G347" s="5"/>
      <c r="H347" s="5"/>
      <c r="I347" s="5"/>
      <c r="J347" s="5"/>
      <c r="K347" s="5"/>
      <c r="L347" s="5"/>
      <c r="M347" s="5"/>
      <c r="N347"/>
    </row>
    <row r="348" spans="1:14" s="21" customFormat="1" x14ac:dyDescent="0.25">
      <c r="A348" s="23"/>
      <c r="B348" s="23"/>
      <c r="C348" s="37"/>
      <c r="D348" s="28"/>
      <c r="E348" s="28"/>
      <c r="F348" s="28"/>
      <c r="G348" s="5"/>
      <c r="H348" s="5"/>
      <c r="I348" s="5"/>
      <c r="J348" s="5"/>
      <c r="K348" s="5"/>
      <c r="L348" s="5"/>
      <c r="M348" s="5"/>
      <c r="N348"/>
    </row>
    <row r="349" spans="1:14" s="21" customFormat="1" x14ac:dyDescent="0.25">
      <c r="A349" s="23"/>
      <c r="B349" s="23"/>
      <c r="C349" s="37"/>
      <c r="D349" s="28"/>
      <c r="E349" s="28"/>
      <c r="F349" s="28"/>
      <c r="G349" s="5"/>
      <c r="H349" s="5"/>
      <c r="I349" s="5"/>
      <c r="J349" s="5"/>
      <c r="K349" s="5"/>
      <c r="L349" s="5"/>
      <c r="M349" s="5"/>
      <c r="N349"/>
    </row>
    <row r="350" spans="1:14" s="21" customFormat="1" x14ac:dyDescent="0.25">
      <c r="A350" s="23"/>
      <c r="B350" s="23"/>
      <c r="C350" s="37"/>
      <c r="D350" s="28"/>
      <c r="E350" s="28"/>
      <c r="F350" s="28"/>
      <c r="G350" s="5"/>
      <c r="H350" s="5"/>
      <c r="I350" s="5"/>
      <c r="J350" s="5"/>
      <c r="K350" s="5"/>
      <c r="L350" s="5"/>
      <c r="M350" s="5"/>
      <c r="N350"/>
    </row>
    <row r="351" spans="1:14" s="21" customFormat="1" x14ac:dyDescent="0.25">
      <c r="A351" s="23"/>
      <c r="B351" s="23"/>
      <c r="C351" s="37"/>
      <c r="D351" s="28"/>
      <c r="E351" s="28"/>
      <c r="F351" s="28"/>
      <c r="G351" s="5"/>
      <c r="H351" s="5"/>
      <c r="I351" s="5"/>
      <c r="J351" s="5"/>
      <c r="K351" s="5"/>
      <c r="L351" s="5"/>
      <c r="M351" s="5"/>
      <c r="N351"/>
    </row>
    <row r="352" spans="1:14" s="21" customFormat="1" x14ac:dyDescent="0.25">
      <c r="A352" s="23"/>
      <c r="B352" s="23"/>
      <c r="C352" s="37"/>
      <c r="D352" s="28"/>
      <c r="E352" s="28"/>
      <c r="F352" s="28"/>
      <c r="G352" s="5"/>
      <c r="H352" s="5"/>
      <c r="I352" s="5"/>
      <c r="J352" s="5"/>
      <c r="K352" s="5"/>
      <c r="L352" s="5"/>
      <c r="M352" s="5"/>
      <c r="N352"/>
    </row>
    <row r="353" spans="1:14" s="21" customFormat="1" x14ac:dyDescent="0.25">
      <c r="A353" s="23"/>
      <c r="B353" s="23"/>
      <c r="C353" s="37"/>
      <c r="D353" s="28"/>
      <c r="E353" s="28"/>
      <c r="F353" s="28"/>
      <c r="G353" s="5"/>
      <c r="H353" s="5"/>
      <c r="I353" s="5"/>
      <c r="J353" s="5"/>
      <c r="K353" s="5"/>
      <c r="L353" s="5"/>
      <c r="M353" s="5"/>
      <c r="N353"/>
    </row>
    <row r="354" spans="1:14" s="21" customFormat="1" x14ac:dyDescent="0.25">
      <c r="A354" s="23"/>
      <c r="B354" s="23"/>
      <c r="C354" s="37"/>
      <c r="D354" s="28"/>
      <c r="E354" s="28"/>
      <c r="F354" s="28"/>
      <c r="G354" s="5"/>
      <c r="H354" s="5"/>
      <c r="I354" s="5"/>
      <c r="J354" s="5"/>
      <c r="K354" s="5"/>
      <c r="L354" s="5"/>
      <c r="M354" s="5"/>
      <c r="N354"/>
    </row>
    <row r="355" spans="1:14" s="21" customFormat="1" x14ac:dyDescent="0.25">
      <c r="A355" s="23"/>
      <c r="B355" s="23"/>
      <c r="C355" s="37"/>
      <c r="D355" s="28"/>
      <c r="E355" s="28"/>
      <c r="F355" s="28"/>
      <c r="G355" s="5"/>
      <c r="H355" s="5"/>
      <c r="I355" s="5"/>
      <c r="J355" s="5"/>
      <c r="K355" s="5"/>
      <c r="L355" s="5"/>
      <c r="M355" s="5"/>
      <c r="N355"/>
    </row>
    <row r="356" spans="1:14" s="21" customFormat="1" x14ac:dyDescent="0.25">
      <c r="A356" s="23"/>
      <c r="B356" s="23"/>
      <c r="C356" s="37"/>
      <c r="D356" s="28"/>
      <c r="E356" s="28"/>
      <c r="F356" s="28"/>
      <c r="G356" s="5"/>
      <c r="H356" s="5"/>
      <c r="I356" s="5"/>
      <c r="J356" s="5"/>
      <c r="K356" s="5"/>
      <c r="L356" s="5"/>
      <c r="M356" s="5"/>
      <c r="N356"/>
    </row>
    <row r="357" spans="1:14" s="21" customFormat="1" x14ac:dyDescent="0.25">
      <c r="A357" s="23"/>
      <c r="B357" s="23"/>
      <c r="C357" s="34"/>
      <c r="D357" s="28"/>
      <c r="E357" s="28"/>
      <c r="F357" s="28"/>
      <c r="G357" s="5"/>
      <c r="H357" s="5"/>
      <c r="I357" s="5"/>
      <c r="J357" s="5"/>
      <c r="K357" s="5"/>
      <c r="L357" s="5"/>
      <c r="M357" s="5"/>
      <c r="N357"/>
    </row>
    <row r="358" spans="1:14" s="21" customFormat="1" x14ac:dyDescent="0.25">
      <c r="A358" s="23"/>
      <c r="B358" s="23"/>
      <c r="C358" s="34"/>
      <c r="D358" s="28"/>
      <c r="E358" s="28"/>
      <c r="F358" s="28"/>
      <c r="G358" s="5"/>
      <c r="H358" s="5"/>
      <c r="I358" s="5"/>
      <c r="J358" s="5"/>
      <c r="K358" s="5"/>
      <c r="L358" s="5"/>
      <c r="M358" s="5"/>
      <c r="N358"/>
    </row>
    <row r="359" spans="1:14" s="21" customFormat="1" x14ac:dyDescent="0.25">
      <c r="A359" s="23"/>
      <c r="B359" s="23"/>
      <c r="C359" s="34"/>
      <c r="D359" s="28"/>
      <c r="E359" s="28"/>
      <c r="F359" s="28"/>
      <c r="G359" s="5"/>
      <c r="H359" s="5"/>
      <c r="I359" s="5"/>
      <c r="J359" s="5"/>
      <c r="K359" s="5"/>
      <c r="L359" s="5"/>
      <c r="M359" s="5"/>
      <c r="N359"/>
    </row>
    <row r="360" spans="1:14" s="21" customFormat="1" x14ac:dyDescent="0.25">
      <c r="A360" s="23"/>
      <c r="B360" s="23"/>
      <c r="C360" s="34"/>
      <c r="D360" s="28"/>
      <c r="E360" s="28"/>
      <c r="F360" s="28"/>
      <c r="G360" s="5"/>
      <c r="H360" s="5"/>
      <c r="I360" s="5"/>
      <c r="J360" s="5"/>
      <c r="K360" s="5"/>
      <c r="L360" s="5"/>
      <c r="M360" s="5"/>
      <c r="N360"/>
    </row>
    <row r="361" spans="1:14" s="21" customFormat="1" x14ac:dyDescent="0.25">
      <c r="A361" s="23"/>
      <c r="B361" s="23"/>
      <c r="C361" s="34"/>
      <c r="D361" s="30"/>
      <c r="E361" s="28"/>
      <c r="F361" s="28"/>
      <c r="G361" s="5"/>
      <c r="H361" s="5"/>
      <c r="I361" s="5"/>
      <c r="J361" s="5"/>
      <c r="K361" s="5"/>
      <c r="L361" s="5"/>
      <c r="M361" s="5"/>
      <c r="N361"/>
    </row>
    <row r="362" spans="1:14" s="21" customFormat="1" x14ac:dyDescent="0.25">
      <c r="A362" s="23"/>
      <c r="B362" s="23"/>
      <c r="C362" s="34"/>
      <c r="D362" s="28"/>
      <c r="E362" s="28"/>
      <c r="F362" s="28"/>
      <c r="G362" s="5"/>
      <c r="H362" s="5"/>
      <c r="I362" s="5"/>
      <c r="J362" s="5"/>
      <c r="K362" s="5"/>
      <c r="L362" s="5"/>
      <c r="M362" s="5"/>
      <c r="N362"/>
    </row>
    <row r="363" spans="1:14" s="21" customFormat="1" x14ac:dyDescent="0.25">
      <c r="A363" s="23"/>
      <c r="B363" s="23"/>
      <c r="C363" s="34"/>
      <c r="D363" s="28"/>
      <c r="E363" s="28"/>
      <c r="F363" s="28"/>
      <c r="G363" s="5"/>
      <c r="H363" s="5"/>
      <c r="I363" s="5"/>
      <c r="J363" s="5"/>
      <c r="K363" s="5"/>
      <c r="L363" s="5"/>
      <c r="M363" s="5"/>
      <c r="N363"/>
    </row>
    <row r="364" spans="1:14" s="21" customFormat="1" x14ac:dyDescent="0.25">
      <c r="A364" s="23"/>
      <c r="B364" s="23"/>
      <c r="C364" s="34"/>
      <c r="D364" s="28"/>
      <c r="E364" s="28"/>
      <c r="F364" s="28"/>
      <c r="G364" s="5"/>
      <c r="H364" s="5"/>
      <c r="I364" s="5"/>
      <c r="J364" s="5"/>
      <c r="K364" s="5"/>
      <c r="L364" s="5"/>
      <c r="M364" s="5"/>
      <c r="N364"/>
    </row>
    <row r="365" spans="1:14" s="21" customFormat="1" x14ac:dyDescent="0.25">
      <c r="A365" s="23"/>
      <c r="B365" s="23"/>
      <c r="C365" s="34"/>
      <c r="D365" s="28"/>
      <c r="E365" s="28"/>
      <c r="F365" s="28"/>
      <c r="G365" s="5"/>
      <c r="H365" s="5"/>
      <c r="I365" s="5"/>
      <c r="J365" s="5"/>
      <c r="K365" s="5"/>
      <c r="L365" s="5"/>
      <c r="M365" s="5"/>
      <c r="N365"/>
    </row>
    <row r="366" spans="1:14" s="21" customFormat="1" x14ac:dyDescent="0.25">
      <c r="A366" s="23"/>
      <c r="B366" s="23"/>
      <c r="C366" s="34"/>
      <c r="D366" s="28"/>
      <c r="E366" s="28"/>
      <c r="F366" s="28"/>
      <c r="G366" s="5"/>
      <c r="H366" s="5"/>
      <c r="I366" s="5"/>
      <c r="J366" s="5"/>
      <c r="K366" s="5"/>
      <c r="L366" s="5"/>
      <c r="M366" s="5"/>
      <c r="N366"/>
    </row>
    <row r="367" spans="1:14" s="21" customFormat="1" x14ac:dyDescent="0.25">
      <c r="A367" s="23"/>
      <c r="B367" s="23"/>
      <c r="C367" s="34"/>
      <c r="D367" s="28"/>
      <c r="E367" s="28"/>
      <c r="F367" s="28"/>
      <c r="G367" s="5"/>
      <c r="H367" s="5"/>
      <c r="I367" s="5"/>
      <c r="J367" s="5"/>
      <c r="K367" s="5"/>
      <c r="L367" s="5"/>
      <c r="M367" s="5"/>
      <c r="N367"/>
    </row>
    <row r="368" spans="1:14" s="21" customFormat="1" x14ac:dyDescent="0.25">
      <c r="A368" s="23"/>
      <c r="B368" s="23"/>
      <c r="C368" s="34"/>
      <c r="D368" s="28"/>
      <c r="E368" s="28"/>
      <c r="F368" s="28"/>
      <c r="G368" s="5"/>
      <c r="H368" s="5"/>
      <c r="I368" s="5"/>
      <c r="J368" s="5"/>
      <c r="K368" s="5"/>
      <c r="L368" s="5"/>
      <c r="M368" s="5"/>
      <c r="N368"/>
    </row>
    <row r="369" spans="1:14" s="21" customFormat="1" x14ac:dyDescent="0.25">
      <c r="A369" s="23"/>
      <c r="B369" s="23"/>
      <c r="C369" s="34"/>
      <c r="D369" s="28"/>
      <c r="E369" s="28"/>
      <c r="F369" s="28"/>
      <c r="G369" s="5"/>
      <c r="H369" s="5"/>
      <c r="I369" s="5"/>
      <c r="J369" s="5"/>
      <c r="K369" s="5"/>
      <c r="L369" s="5"/>
      <c r="M369" s="5"/>
      <c r="N369"/>
    </row>
    <row r="370" spans="1:14" s="21" customFormat="1" x14ac:dyDescent="0.25">
      <c r="A370" s="23"/>
      <c r="B370" s="23"/>
      <c r="C370" s="34"/>
      <c r="D370" s="28"/>
      <c r="E370" s="28"/>
      <c r="F370" s="28"/>
      <c r="G370" s="5"/>
      <c r="H370" s="5"/>
      <c r="I370" s="5"/>
      <c r="J370" s="5"/>
      <c r="K370" s="5"/>
      <c r="L370" s="5"/>
      <c r="M370" s="5"/>
      <c r="N370"/>
    </row>
    <row r="371" spans="1:14" s="21" customFormat="1" x14ac:dyDescent="0.25">
      <c r="A371" s="23"/>
      <c r="B371" s="23"/>
      <c r="C371" s="34"/>
      <c r="D371" s="28"/>
      <c r="E371" s="28"/>
      <c r="F371" s="28"/>
      <c r="G371" s="5"/>
      <c r="H371" s="5"/>
      <c r="I371" s="5"/>
      <c r="J371" s="5"/>
      <c r="K371" s="5"/>
      <c r="L371" s="5"/>
      <c r="M371" s="5"/>
      <c r="N371"/>
    </row>
    <row r="372" spans="1:14" s="21" customFormat="1" x14ac:dyDescent="0.25">
      <c r="A372" s="23"/>
      <c r="B372" s="23"/>
      <c r="C372" s="34"/>
      <c r="D372" s="30"/>
      <c r="E372" s="28"/>
      <c r="F372" s="28"/>
      <c r="G372" s="5"/>
      <c r="H372" s="5"/>
      <c r="I372" s="5"/>
      <c r="J372" s="5"/>
      <c r="K372" s="5"/>
      <c r="L372" s="5"/>
      <c r="M372" s="5"/>
      <c r="N372"/>
    </row>
    <row r="373" spans="1:14" s="21" customFormat="1" x14ac:dyDescent="0.25">
      <c r="A373" s="23"/>
      <c r="B373" s="23"/>
      <c r="C373" s="34"/>
      <c r="D373" s="28"/>
      <c r="E373" s="28"/>
      <c r="F373" s="28"/>
      <c r="G373" s="5"/>
      <c r="H373" s="5"/>
      <c r="I373" s="5"/>
      <c r="J373" s="5"/>
      <c r="K373" s="5"/>
      <c r="L373" s="5"/>
      <c r="M373" s="5"/>
      <c r="N373"/>
    </row>
    <row r="374" spans="1:14" s="21" customFormat="1" x14ac:dyDescent="0.25">
      <c r="A374" s="23"/>
      <c r="B374" s="23"/>
      <c r="C374" s="34"/>
      <c r="D374" s="28"/>
      <c r="E374" s="28"/>
      <c r="F374" s="28"/>
      <c r="G374" s="5"/>
      <c r="H374" s="5"/>
      <c r="I374" s="5"/>
      <c r="J374" s="5"/>
      <c r="K374" s="5"/>
      <c r="L374" s="5"/>
      <c r="M374" s="5"/>
      <c r="N374"/>
    </row>
    <row r="375" spans="1:14" s="21" customFormat="1" x14ac:dyDescent="0.25">
      <c r="A375" s="36"/>
      <c r="B375" s="36"/>
      <c r="C375" s="34"/>
      <c r="D375" s="28"/>
      <c r="E375" s="28"/>
      <c r="F375" s="28"/>
      <c r="G375" s="5"/>
      <c r="H375" s="5"/>
      <c r="I375" s="5"/>
      <c r="J375" s="5"/>
      <c r="K375" s="5"/>
      <c r="L375" s="5"/>
      <c r="M375" s="5"/>
      <c r="N375"/>
    </row>
    <row r="376" spans="1:14" s="21" customFormat="1" x14ac:dyDescent="0.25">
      <c r="A376" s="23"/>
      <c r="B376" s="23"/>
      <c r="C376" s="34"/>
      <c r="D376" s="32"/>
      <c r="E376" s="28"/>
      <c r="F376" s="28"/>
      <c r="G376" s="5"/>
      <c r="H376" s="5"/>
      <c r="I376" s="5"/>
      <c r="J376" s="5"/>
      <c r="K376" s="5"/>
      <c r="L376" s="5"/>
      <c r="M376" s="5"/>
      <c r="N376"/>
    </row>
    <row r="377" spans="1:14" s="21" customFormat="1" x14ac:dyDescent="0.25">
      <c r="A377" s="23"/>
      <c r="B377" s="23"/>
      <c r="C377" s="34"/>
      <c r="D377" s="32"/>
      <c r="E377" s="28"/>
      <c r="F377" s="28"/>
      <c r="G377" s="5"/>
      <c r="H377" s="5"/>
      <c r="I377" s="5"/>
      <c r="J377" s="5"/>
      <c r="K377" s="5"/>
      <c r="L377" s="5"/>
      <c r="M377" s="5"/>
      <c r="N377"/>
    </row>
    <row r="378" spans="1:14" s="21" customFormat="1" x14ac:dyDescent="0.25">
      <c r="A378" s="23"/>
      <c r="B378" s="23"/>
      <c r="C378" s="34"/>
      <c r="D378" s="28"/>
      <c r="E378" s="28"/>
      <c r="F378" s="28"/>
      <c r="G378" s="5"/>
      <c r="H378" s="5"/>
      <c r="I378" s="5"/>
      <c r="J378" s="5"/>
      <c r="K378" s="5"/>
      <c r="L378" s="5"/>
      <c r="M378" s="5"/>
      <c r="N378"/>
    </row>
    <row r="379" spans="1:14" s="21" customFormat="1" x14ac:dyDescent="0.25">
      <c r="A379" s="23"/>
      <c r="B379" s="23"/>
      <c r="C379" s="34"/>
      <c r="D379" s="28"/>
      <c r="E379" s="28"/>
      <c r="F379" s="28"/>
      <c r="G379" s="5"/>
      <c r="H379" s="5"/>
      <c r="I379" s="5"/>
      <c r="J379" s="5"/>
      <c r="K379" s="5"/>
      <c r="L379" s="5"/>
      <c r="M379" s="5"/>
      <c r="N379"/>
    </row>
    <row r="380" spans="1:14" s="21" customFormat="1" x14ac:dyDescent="0.25">
      <c r="A380" s="23"/>
      <c r="B380" s="23"/>
      <c r="C380" s="34"/>
      <c r="D380" s="28"/>
      <c r="E380" s="28"/>
      <c r="F380" s="28"/>
      <c r="G380" s="5"/>
      <c r="H380" s="5"/>
      <c r="I380" s="5"/>
      <c r="J380" s="5"/>
      <c r="K380" s="5"/>
      <c r="L380" s="5"/>
      <c r="M380" s="5"/>
      <c r="N380"/>
    </row>
    <row r="381" spans="1:14" s="21" customFormat="1" x14ac:dyDescent="0.25">
      <c r="A381" s="23"/>
      <c r="B381" s="23"/>
      <c r="C381" s="34"/>
      <c r="D381" s="28"/>
      <c r="E381" s="28"/>
      <c r="F381" s="28"/>
      <c r="G381" s="5"/>
      <c r="H381" s="5"/>
      <c r="I381" s="5"/>
      <c r="J381" s="5"/>
      <c r="K381" s="5"/>
      <c r="L381" s="5"/>
      <c r="M381" s="5"/>
      <c r="N381"/>
    </row>
    <row r="382" spans="1:14" s="21" customFormat="1" x14ac:dyDescent="0.25">
      <c r="A382" s="23"/>
      <c r="B382" s="23"/>
      <c r="C382" s="34"/>
      <c r="D382" s="28"/>
      <c r="E382" s="28"/>
      <c r="F382" s="28"/>
      <c r="G382" s="5"/>
      <c r="H382" s="5"/>
      <c r="I382" s="5"/>
      <c r="J382" s="5"/>
      <c r="K382" s="5"/>
      <c r="L382" s="5"/>
      <c r="M382" s="5"/>
      <c r="N382"/>
    </row>
    <row r="383" spans="1:14" s="21" customFormat="1" x14ac:dyDescent="0.25">
      <c r="A383" s="23"/>
      <c r="B383" s="23"/>
      <c r="C383" s="34"/>
      <c r="D383" s="28"/>
      <c r="E383" s="28"/>
      <c r="F383" s="28"/>
      <c r="G383" s="5"/>
      <c r="H383" s="5"/>
      <c r="I383" s="5"/>
      <c r="J383" s="5"/>
      <c r="K383" s="5"/>
      <c r="L383" s="5"/>
      <c r="M383" s="5"/>
      <c r="N383"/>
    </row>
    <row r="384" spans="1:14" s="21" customFormat="1" x14ac:dyDescent="0.25">
      <c r="A384" s="23"/>
      <c r="B384" s="23"/>
      <c r="C384" s="34"/>
      <c r="D384" s="28"/>
      <c r="E384" s="28"/>
      <c r="F384" s="28"/>
      <c r="G384" s="5"/>
      <c r="H384" s="5"/>
      <c r="I384" s="5"/>
      <c r="J384" s="5"/>
      <c r="K384" s="5"/>
      <c r="L384" s="5"/>
      <c r="M384" s="5"/>
      <c r="N384"/>
    </row>
    <row r="385" spans="1:14" s="21" customFormat="1" x14ac:dyDescent="0.25">
      <c r="A385" s="23"/>
      <c r="B385" s="23"/>
      <c r="C385" s="34"/>
      <c r="D385" s="28"/>
      <c r="E385" s="28"/>
      <c r="F385" s="28"/>
      <c r="G385" s="5"/>
      <c r="H385" s="5"/>
      <c r="I385" s="5"/>
      <c r="J385" s="5"/>
      <c r="K385" s="5"/>
      <c r="L385" s="5"/>
      <c r="M385" s="5"/>
      <c r="N385"/>
    </row>
    <row r="386" spans="1:14" s="21" customFormat="1" x14ac:dyDescent="0.25">
      <c r="A386" s="23"/>
      <c r="B386" s="23"/>
      <c r="C386" s="34"/>
      <c r="D386" s="28"/>
      <c r="E386" s="28"/>
      <c r="F386" s="28"/>
      <c r="G386" s="5"/>
      <c r="H386" s="5"/>
      <c r="I386" s="5"/>
      <c r="J386" s="5"/>
      <c r="K386" s="5"/>
      <c r="L386" s="5"/>
      <c r="M386" s="5"/>
      <c r="N386"/>
    </row>
    <row r="387" spans="1:14" s="21" customFormat="1" x14ac:dyDescent="0.25">
      <c r="A387" s="23"/>
      <c r="B387" s="23"/>
      <c r="C387" s="34"/>
      <c r="D387" s="28"/>
      <c r="E387" s="28"/>
      <c r="F387" s="28"/>
      <c r="G387" s="5"/>
      <c r="H387" s="5"/>
      <c r="I387" s="5"/>
      <c r="J387" s="5"/>
      <c r="K387" s="5"/>
      <c r="L387" s="5"/>
      <c r="M387" s="5"/>
      <c r="N387"/>
    </row>
    <row r="388" spans="1:14" s="21" customFormat="1" x14ac:dyDescent="0.25">
      <c r="A388" s="23"/>
      <c r="B388" s="23"/>
      <c r="C388" s="34"/>
      <c r="D388" s="28"/>
      <c r="E388" s="28"/>
      <c r="F388" s="28"/>
      <c r="G388" s="5"/>
      <c r="H388" s="5"/>
      <c r="I388" s="5"/>
      <c r="J388" s="5"/>
      <c r="K388" s="5"/>
      <c r="L388" s="5"/>
      <c r="M388" s="5"/>
      <c r="N388"/>
    </row>
    <row r="389" spans="1:14" s="21" customFormat="1" x14ac:dyDescent="0.25">
      <c r="A389" s="23"/>
      <c r="B389" s="23"/>
      <c r="C389" s="34"/>
      <c r="D389" s="28"/>
      <c r="E389" s="28"/>
      <c r="F389" s="28"/>
      <c r="G389" s="5"/>
      <c r="H389" s="5"/>
      <c r="I389" s="5"/>
      <c r="J389" s="5"/>
      <c r="K389" s="5"/>
      <c r="L389" s="5"/>
      <c r="M389" s="5"/>
      <c r="N389"/>
    </row>
    <row r="390" spans="1:14" s="21" customFormat="1" x14ac:dyDescent="0.25">
      <c r="A390" s="23"/>
      <c r="B390" s="23"/>
      <c r="C390" s="34"/>
      <c r="D390" s="28"/>
      <c r="E390" s="28"/>
      <c r="F390" s="28"/>
      <c r="G390" s="5"/>
      <c r="H390" s="5"/>
      <c r="I390" s="5"/>
      <c r="J390" s="5"/>
      <c r="K390" s="5"/>
      <c r="L390" s="5"/>
      <c r="M390" s="5"/>
      <c r="N390"/>
    </row>
    <row r="391" spans="1:14" s="21" customFormat="1" x14ac:dyDescent="0.25">
      <c r="A391" s="23"/>
      <c r="B391" s="23"/>
      <c r="C391" s="34"/>
      <c r="D391" s="28"/>
      <c r="E391" s="28"/>
      <c r="F391" s="28"/>
      <c r="G391" s="5"/>
      <c r="H391" s="5"/>
      <c r="I391" s="5"/>
      <c r="J391" s="5"/>
      <c r="K391" s="5"/>
      <c r="L391" s="5"/>
      <c r="M391" s="5"/>
      <c r="N391"/>
    </row>
    <row r="392" spans="1:14" s="21" customFormat="1" x14ac:dyDescent="0.25">
      <c r="A392" s="23"/>
      <c r="B392" s="23"/>
      <c r="C392" s="34"/>
      <c r="D392" s="28"/>
      <c r="E392" s="28"/>
      <c r="F392" s="28"/>
      <c r="G392" s="5"/>
      <c r="H392" s="5"/>
      <c r="I392" s="5"/>
      <c r="J392" s="5"/>
      <c r="K392" s="5"/>
      <c r="L392" s="5"/>
      <c r="M392" s="5"/>
      <c r="N392"/>
    </row>
    <row r="393" spans="1:14" s="21" customFormat="1" x14ac:dyDescent="0.25">
      <c r="A393" s="23"/>
      <c r="B393" s="23"/>
      <c r="C393" s="34"/>
      <c r="D393" s="28"/>
      <c r="E393" s="28"/>
      <c r="F393" s="28"/>
      <c r="G393" s="5"/>
      <c r="H393" s="5"/>
      <c r="I393" s="5"/>
      <c r="J393" s="5"/>
      <c r="K393" s="5"/>
      <c r="L393" s="5"/>
      <c r="M393" s="5"/>
      <c r="N393"/>
    </row>
    <row r="394" spans="1:14" s="21" customFormat="1" x14ac:dyDescent="0.25">
      <c r="A394" s="23"/>
      <c r="B394" s="23"/>
      <c r="C394" s="34"/>
      <c r="D394" s="28"/>
      <c r="E394" s="28"/>
      <c r="F394" s="28"/>
      <c r="G394" s="5"/>
      <c r="H394" s="5"/>
      <c r="I394" s="5"/>
      <c r="J394" s="5"/>
      <c r="K394" s="5"/>
      <c r="L394" s="5"/>
      <c r="M394" s="5"/>
      <c r="N394"/>
    </row>
    <row r="395" spans="1:14" s="21" customFormat="1" x14ac:dyDescent="0.25">
      <c r="A395" s="23"/>
      <c r="B395" s="23"/>
      <c r="C395" s="34"/>
      <c r="D395" s="28"/>
      <c r="E395" s="28"/>
      <c r="F395" s="28"/>
      <c r="G395" s="5"/>
      <c r="H395" s="5"/>
      <c r="I395" s="5"/>
      <c r="J395" s="5"/>
      <c r="K395" s="5"/>
      <c r="L395" s="5"/>
      <c r="M395" s="5"/>
      <c r="N395"/>
    </row>
    <row r="396" spans="1:14" s="21" customFormat="1" x14ac:dyDescent="0.25">
      <c r="A396" s="23"/>
      <c r="B396" s="23"/>
      <c r="C396" s="34"/>
      <c r="D396" s="28"/>
      <c r="E396" s="28"/>
      <c r="F396" s="28"/>
      <c r="G396" s="5"/>
      <c r="H396" s="5"/>
      <c r="I396" s="5"/>
      <c r="J396" s="5"/>
      <c r="K396" s="5"/>
      <c r="L396" s="5"/>
      <c r="M396" s="5"/>
      <c r="N396"/>
    </row>
    <row r="397" spans="1:14" s="21" customFormat="1" x14ac:dyDescent="0.25">
      <c r="A397" s="23"/>
      <c r="B397" s="23"/>
      <c r="C397" s="34"/>
      <c r="D397" s="28"/>
      <c r="E397" s="28"/>
      <c r="F397" s="28"/>
      <c r="G397" s="5"/>
      <c r="H397" s="5"/>
      <c r="I397" s="5"/>
      <c r="J397" s="5"/>
      <c r="K397" s="5"/>
      <c r="L397" s="5"/>
      <c r="M397" s="5"/>
      <c r="N397"/>
    </row>
    <row r="398" spans="1:14" s="21" customFormat="1" x14ac:dyDescent="0.25">
      <c r="A398" s="23"/>
      <c r="B398" s="23"/>
      <c r="C398" s="34"/>
      <c r="D398" s="28"/>
      <c r="E398" s="28"/>
      <c r="F398" s="28"/>
      <c r="G398" s="5"/>
      <c r="H398" s="5"/>
      <c r="I398" s="5"/>
      <c r="J398" s="5"/>
      <c r="K398" s="5"/>
      <c r="L398" s="5"/>
      <c r="M398" s="5"/>
      <c r="N398"/>
    </row>
    <row r="399" spans="1:14" s="21" customFormat="1" x14ac:dyDescent="0.25">
      <c r="A399" s="23"/>
      <c r="B399" s="23"/>
      <c r="C399" s="34"/>
      <c r="D399" s="28"/>
      <c r="E399" s="28"/>
      <c r="F399" s="28"/>
      <c r="G399" s="5"/>
      <c r="H399" s="5"/>
      <c r="I399" s="5"/>
      <c r="J399" s="5"/>
      <c r="K399" s="5"/>
      <c r="L399" s="5"/>
      <c r="M399" s="5"/>
      <c r="N399"/>
    </row>
    <row r="400" spans="1:14" s="21" customFormat="1" x14ac:dyDescent="0.25">
      <c r="A400" s="23"/>
      <c r="B400" s="23"/>
      <c r="C400" s="34"/>
      <c r="D400" s="28"/>
      <c r="E400" s="28"/>
      <c r="F400" s="28"/>
      <c r="G400" s="5"/>
      <c r="H400" s="5"/>
      <c r="I400" s="5"/>
      <c r="J400" s="5"/>
      <c r="K400" s="5"/>
      <c r="L400" s="5"/>
      <c r="M400" s="5"/>
      <c r="N400"/>
    </row>
    <row r="401" spans="1:14" s="21" customFormat="1" x14ac:dyDescent="0.25">
      <c r="A401" s="25"/>
      <c r="B401" s="25"/>
      <c r="C401" s="35"/>
      <c r="D401" s="32"/>
      <c r="E401" s="32"/>
      <c r="F401" s="32"/>
      <c r="G401" s="24"/>
      <c r="H401" s="24"/>
      <c r="I401" s="24"/>
      <c r="J401" s="24"/>
      <c r="K401" s="24"/>
      <c r="L401" s="24"/>
      <c r="M401" s="24"/>
      <c r="N401"/>
    </row>
    <row r="402" spans="1:14" s="21" customFormat="1" x14ac:dyDescent="0.25">
      <c r="A402" s="23"/>
      <c r="B402" s="23"/>
      <c r="C402" s="34"/>
      <c r="D402" s="28"/>
      <c r="E402" s="28"/>
      <c r="F402" s="28"/>
      <c r="G402" s="5"/>
      <c r="H402" s="5"/>
      <c r="I402" s="5"/>
      <c r="J402" s="5"/>
      <c r="K402" s="5"/>
      <c r="L402" s="5"/>
      <c r="M402" s="5"/>
      <c r="N402"/>
    </row>
    <row r="403" spans="1:14" s="21" customFormat="1" x14ac:dyDescent="0.25">
      <c r="A403" s="23"/>
      <c r="B403" s="23"/>
      <c r="C403" s="34"/>
      <c r="D403" s="28"/>
      <c r="E403" s="28"/>
      <c r="F403" s="28"/>
      <c r="G403" s="5"/>
      <c r="H403" s="5"/>
      <c r="I403" s="5"/>
      <c r="J403" s="5"/>
      <c r="K403" s="5"/>
      <c r="L403" s="5"/>
      <c r="M403" s="5"/>
      <c r="N403"/>
    </row>
    <row r="404" spans="1:14" s="21" customFormat="1" x14ac:dyDescent="0.25">
      <c r="A404" s="23"/>
      <c r="B404" s="23"/>
      <c r="C404" s="34"/>
      <c r="D404" s="28"/>
      <c r="E404" s="28"/>
      <c r="F404" s="28"/>
      <c r="G404" s="5"/>
      <c r="H404" s="5"/>
      <c r="I404" s="5"/>
      <c r="J404" s="5"/>
      <c r="K404" s="5"/>
      <c r="L404" s="5"/>
      <c r="M404" s="5"/>
      <c r="N404"/>
    </row>
    <row r="405" spans="1:14" s="21" customFormat="1" x14ac:dyDescent="0.25">
      <c r="A405" s="23"/>
      <c r="B405" s="23"/>
      <c r="C405" s="34"/>
      <c r="D405" s="28"/>
      <c r="E405" s="28"/>
      <c r="F405" s="28"/>
      <c r="G405" s="5"/>
      <c r="H405" s="5"/>
      <c r="I405" s="5"/>
      <c r="J405" s="5"/>
      <c r="K405" s="5"/>
      <c r="L405" s="5"/>
      <c r="M405" s="5"/>
      <c r="N405"/>
    </row>
    <row r="406" spans="1:14" s="21" customFormat="1" x14ac:dyDescent="0.25">
      <c r="A406" s="23"/>
      <c r="B406" s="23"/>
      <c r="C406" s="34"/>
      <c r="D406" s="28"/>
      <c r="E406" s="28"/>
      <c r="F406" s="28"/>
      <c r="G406" s="5"/>
      <c r="H406" s="5"/>
      <c r="I406" s="5"/>
      <c r="J406" s="5"/>
      <c r="K406" s="5"/>
      <c r="L406" s="5"/>
      <c r="M406" s="5"/>
      <c r="N406"/>
    </row>
    <row r="407" spans="1:14" s="21" customFormat="1" x14ac:dyDescent="0.25">
      <c r="A407" s="23"/>
      <c r="B407" s="23"/>
      <c r="C407" s="34"/>
      <c r="D407" s="28"/>
      <c r="E407" s="28"/>
      <c r="F407" s="28"/>
      <c r="G407" s="5"/>
      <c r="H407" s="5"/>
      <c r="I407" s="5"/>
      <c r="J407" s="5"/>
      <c r="K407" s="5"/>
      <c r="L407" s="5"/>
      <c r="M407" s="5"/>
      <c r="N407"/>
    </row>
    <row r="408" spans="1:14" s="21" customFormat="1" x14ac:dyDescent="0.25">
      <c r="A408" s="23"/>
      <c r="B408" s="23"/>
      <c r="C408" s="34"/>
      <c r="D408" s="28"/>
      <c r="E408" s="28"/>
      <c r="F408" s="28"/>
      <c r="G408" s="5"/>
      <c r="H408" s="5"/>
      <c r="I408" s="5"/>
      <c r="J408" s="5"/>
      <c r="K408" s="5"/>
      <c r="L408" s="5"/>
      <c r="M408" s="5"/>
      <c r="N408"/>
    </row>
    <row r="409" spans="1:14" s="21" customFormat="1" x14ac:dyDescent="0.25">
      <c r="A409" s="23"/>
      <c r="B409" s="23"/>
      <c r="C409" s="34"/>
      <c r="D409" s="28"/>
      <c r="E409" s="28"/>
      <c r="F409" s="28"/>
      <c r="G409" s="5"/>
      <c r="H409" s="5"/>
      <c r="I409" s="5"/>
      <c r="J409" s="5"/>
      <c r="K409" s="5"/>
      <c r="L409" s="5"/>
      <c r="M409" s="5"/>
      <c r="N409"/>
    </row>
    <row r="410" spans="1:14" s="21" customFormat="1" x14ac:dyDescent="0.25">
      <c r="A410" s="25"/>
      <c r="B410" s="25"/>
      <c r="C410" s="35"/>
      <c r="D410" s="32"/>
      <c r="E410" s="32"/>
      <c r="F410" s="32"/>
      <c r="G410" s="24"/>
      <c r="H410" s="24"/>
      <c r="I410" s="24"/>
      <c r="J410" s="24"/>
      <c r="K410" s="24"/>
      <c r="L410" s="24"/>
      <c r="M410" s="24"/>
      <c r="N410"/>
    </row>
    <row r="411" spans="1:14" s="21" customFormat="1" x14ac:dyDescent="0.25">
      <c r="A411" s="23"/>
      <c r="B411" s="23"/>
      <c r="C411" s="34"/>
      <c r="D411" s="28"/>
      <c r="E411" s="28"/>
      <c r="F411" s="28"/>
      <c r="G411" s="5"/>
      <c r="H411" s="5"/>
      <c r="I411" s="5"/>
      <c r="J411" s="5"/>
      <c r="K411" s="5"/>
      <c r="L411" s="5"/>
      <c r="M411" s="5"/>
      <c r="N411"/>
    </row>
    <row r="412" spans="1:14" s="21" customFormat="1" x14ac:dyDescent="0.25">
      <c r="A412" s="23"/>
      <c r="B412" s="23"/>
      <c r="C412" s="34"/>
      <c r="D412" s="28"/>
      <c r="E412" s="28"/>
      <c r="F412" s="28"/>
      <c r="G412" s="5"/>
      <c r="H412" s="5"/>
      <c r="I412" s="5"/>
      <c r="J412" s="5"/>
      <c r="K412" s="5"/>
      <c r="L412" s="5"/>
      <c r="M412" s="5"/>
      <c r="N412"/>
    </row>
    <row r="413" spans="1:14" s="21" customFormat="1" x14ac:dyDescent="0.25">
      <c r="A413" s="23"/>
      <c r="B413" s="23"/>
      <c r="C413" s="34"/>
      <c r="D413" s="28"/>
      <c r="E413" s="28"/>
      <c r="F413" s="28"/>
      <c r="G413" s="5"/>
      <c r="H413" s="5"/>
      <c r="I413" s="5"/>
      <c r="J413" s="5"/>
      <c r="K413" s="5"/>
      <c r="L413" s="5"/>
      <c r="M413" s="5"/>
      <c r="N413"/>
    </row>
    <row r="414" spans="1:14" s="21" customFormat="1" x14ac:dyDescent="0.25">
      <c r="A414" s="23"/>
      <c r="B414" s="23"/>
      <c r="C414" s="34"/>
      <c r="D414" s="28"/>
      <c r="E414" s="28"/>
      <c r="F414" s="28"/>
      <c r="G414" s="5"/>
      <c r="H414" s="5"/>
      <c r="I414" s="5"/>
      <c r="J414" s="5"/>
      <c r="K414" s="5"/>
      <c r="L414" s="5"/>
      <c r="M414" s="5"/>
      <c r="N414"/>
    </row>
    <row r="415" spans="1:14" s="21" customFormat="1" x14ac:dyDescent="0.25">
      <c r="A415" s="23"/>
      <c r="B415" s="23"/>
      <c r="C415" s="34"/>
      <c r="D415" s="28"/>
      <c r="E415" s="28"/>
      <c r="F415" s="28"/>
      <c r="G415" s="5"/>
      <c r="H415" s="5"/>
      <c r="I415" s="5"/>
      <c r="J415" s="5"/>
      <c r="K415" s="5"/>
      <c r="L415" s="5"/>
      <c r="M415" s="5"/>
      <c r="N415"/>
    </row>
    <row r="416" spans="1:14" s="21" customFormat="1" x14ac:dyDescent="0.25">
      <c r="A416" s="23"/>
      <c r="B416" s="23"/>
      <c r="C416" s="34"/>
      <c r="D416" s="28"/>
      <c r="E416" s="28"/>
      <c r="F416" s="28"/>
      <c r="G416" s="5"/>
      <c r="H416" s="5"/>
      <c r="I416" s="5"/>
      <c r="J416" s="5"/>
      <c r="K416" s="5"/>
      <c r="L416" s="5"/>
      <c r="M416" s="5"/>
      <c r="N416"/>
    </row>
    <row r="417" spans="1:14" s="21" customFormat="1" x14ac:dyDescent="0.25">
      <c r="A417" s="23"/>
      <c r="B417" s="23"/>
      <c r="C417" s="34"/>
      <c r="D417" s="28"/>
      <c r="E417" s="28"/>
      <c r="F417" s="28"/>
      <c r="G417" s="5"/>
      <c r="H417" s="5"/>
      <c r="I417" s="5"/>
      <c r="J417" s="5"/>
      <c r="K417" s="5"/>
      <c r="L417" s="5"/>
      <c r="M417" s="5"/>
      <c r="N417"/>
    </row>
    <row r="418" spans="1:14" s="21" customFormat="1" x14ac:dyDescent="0.25">
      <c r="A418" s="23"/>
      <c r="B418" s="23"/>
      <c r="C418" s="34"/>
      <c r="D418" s="28"/>
      <c r="E418" s="28"/>
      <c r="F418" s="28"/>
      <c r="G418" s="5"/>
      <c r="H418" s="5"/>
      <c r="I418" s="5"/>
      <c r="J418" s="5"/>
      <c r="K418" s="5"/>
      <c r="L418" s="5"/>
      <c r="M418" s="5"/>
      <c r="N418"/>
    </row>
    <row r="419" spans="1:14" s="21" customFormat="1" x14ac:dyDescent="0.25">
      <c r="A419" s="23"/>
      <c r="B419" s="23"/>
      <c r="C419" s="34"/>
      <c r="D419" s="32"/>
      <c r="E419" s="28"/>
      <c r="F419" s="28"/>
      <c r="G419" s="5"/>
      <c r="H419" s="5"/>
      <c r="I419" s="5"/>
      <c r="J419" s="5"/>
      <c r="K419" s="5"/>
      <c r="L419" s="5"/>
      <c r="M419" s="5"/>
      <c r="N419"/>
    </row>
    <row r="420" spans="1:14" s="21" customFormat="1" x14ac:dyDescent="0.25">
      <c r="A420" s="23"/>
      <c r="B420" s="23"/>
      <c r="C420" s="34"/>
      <c r="D420" s="28"/>
      <c r="E420" s="28"/>
      <c r="F420" s="28"/>
      <c r="G420" s="5"/>
      <c r="H420" s="5"/>
      <c r="I420" s="5"/>
      <c r="J420" s="5"/>
      <c r="K420" s="5"/>
      <c r="L420" s="5"/>
      <c r="M420" s="5"/>
      <c r="N420"/>
    </row>
    <row r="421" spans="1:14" s="21" customFormat="1" x14ac:dyDescent="0.25">
      <c r="A421" s="23"/>
      <c r="B421" s="23"/>
      <c r="C421" s="34"/>
      <c r="D421" s="28"/>
      <c r="E421" s="28"/>
      <c r="F421" s="28"/>
      <c r="G421" s="5"/>
      <c r="H421" s="5"/>
      <c r="I421" s="5"/>
      <c r="J421" s="5"/>
      <c r="K421" s="5"/>
      <c r="L421" s="5"/>
      <c r="M421" s="5"/>
      <c r="N421"/>
    </row>
    <row r="422" spans="1:14" s="21" customFormat="1" ht="12.75" customHeight="1" x14ac:dyDescent="0.25">
      <c r="A422" s="23"/>
      <c r="B422" s="23"/>
      <c r="C422" s="34"/>
      <c r="D422" s="28"/>
      <c r="E422" s="28"/>
      <c r="F422" s="28"/>
      <c r="G422" s="5"/>
      <c r="H422" s="5"/>
      <c r="I422" s="5"/>
      <c r="J422" s="5"/>
      <c r="K422" s="5"/>
      <c r="L422" s="5"/>
      <c r="M422" s="5"/>
      <c r="N422"/>
    </row>
    <row r="423" spans="1:14" s="21" customFormat="1" x14ac:dyDescent="0.25">
      <c r="A423" s="23"/>
      <c r="B423" s="23"/>
      <c r="C423" s="34"/>
      <c r="D423" s="28"/>
      <c r="E423" s="28"/>
      <c r="F423" s="28"/>
      <c r="G423" s="5"/>
      <c r="H423" s="5"/>
      <c r="I423" s="5"/>
      <c r="J423" s="5"/>
      <c r="K423" s="5"/>
      <c r="L423" s="5"/>
      <c r="M423" s="5"/>
      <c r="N423"/>
    </row>
    <row r="424" spans="1:14" s="21" customFormat="1" x14ac:dyDescent="0.25">
      <c r="A424" s="23"/>
      <c r="B424" s="23"/>
      <c r="C424" s="34"/>
      <c r="D424" s="28"/>
      <c r="E424" s="28"/>
      <c r="F424" s="28"/>
      <c r="G424" s="5"/>
      <c r="H424" s="5"/>
      <c r="I424" s="5"/>
      <c r="J424" s="5"/>
      <c r="K424" s="5"/>
      <c r="L424" s="5"/>
      <c r="M424" s="5"/>
      <c r="N424"/>
    </row>
    <row r="425" spans="1:14" s="21" customFormat="1" x14ac:dyDescent="0.25">
      <c r="A425" s="23"/>
      <c r="B425" s="23"/>
      <c r="C425" s="34"/>
      <c r="D425" s="28"/>
      <c r="E425" s="28"/>
      <c r="F425" s="28"/>
      <c r="G425" s="5"/>
      <c r="H425" s="5"/>
      <c r="I425" s="5"/>
      <c r="J425" s="5"/>
      <c r="K425" s="5"/>
      <c r="L425" s="5"/>
      <c r="M425" s="5"/>
      <c r="N425"/>
    </row>
    <row r="426" spans="1:14" s="21" customFormat="1" x14ac:dyDescent="0.25">
      <c r="A426" s="23"/>
      <c r="B426" s="23"/>
      <c r="C426" s="34"/>
      <c r="D426" s="28"/>
      <c r="E426" s="28"/>
      <c r="F426" s="28"/>
      <c r="G426" s="5"/>
      <c r="H426" s="5"/>
      <c r="I426" s="5"/>
      <c r="J426" s="5"/>
      <c r="K426" s="5"/>
      <c r="L426" s="5"/>
      <c r="M426" s="5"/>
      <c r="N426"/>
    </row>
    <row r="427" spans="1:14" s="21" customFormat="1" x14ac:dyDescent="0.25">
      <c r="A427" s="23"/>
      <c r="B427" s="23"/>
      <c r="C427" s="34"/>
      <c r="D427" s="28"/>
      <c r="E427" s="28"/>
      <c r="F427" s="28"/>
      <c r="G427" s="5"/>
      <c r="H427" s="5"/>
      <c r="I427" s="5"/>
      <c r="J427" s="5"/>
      <c r="K427" s="5"/>
      <c r="L427" s="5"/>
      <c r="M427" s="5"/>
      <c r="N427"/>
    </row>
    <row r="428" spans="1:14" s="21" customFormat="1" x14ac:dyDescent="0.25">
      <c r="A428" s="23"/>
      <c r="B428" s="23"/>
      <c r="C428" s="34"/>
      <c r="D428" s="28"/>
      <c r="E428" s="28"/>
      <c r="F428" s="28"/>
      <c r="G428" s="5"/>
      <c r="H428" s="5"/>
      <c r="I428" s="5"/>
      <c r="J428" s="5"/>
      <c r="K428" s="5"/>
      <c r="L428" s="5"/>
      <c r="M428" s="5"/>
      <c r="N428"/>
    </row>
    <row r="429" spans="1:14" s="21" customFormat="1" x14ac:dyDescent="0.25">
      <c r="A429" s="23"/>
      <c r="B429" s="23"/>
      <c r="C429" s="34"/>
      <c r="D429" s="28"/>
      <c r="E429" s="28"/>
      <c r="F429" s="28"/>
      <c r="G429" s="5"/>
      <c r="H429" s="5"/>
      <c r="I429" s="5"/>
      <c r="J429" s="5"/>
      <c r="K429" s="5"/>
      <c r="L429" s="5"/>
      <c r="M429" s="5"/>
      <c r="N429"/>
    </row>
    <row r="430" spans="1:14" s="21" customFormat="1" x14ac:dyDescent="0.25">
      <c r="A430" s="23"/>
      <c r="B430" s="23"/>
      <c r="C430" s="34"/>
      <c r="D430" s="28"/>
      <c r="E430" s="28"/>
      <c r="F430" s="28"/>
      <c r="G430" s="5"/>
      <c r="H430" s="5"/>
      <c r="I430" s="5"/>
      <c r="J430" s="5"/>
      <c r="K430" s="5"/>
      <c r="L430" s="5"/>
      <c r="M430" s="5"/>
      <c r="N430"/>
    </row>
    <row r="431" spans="1:14" s="21" customFormat="1" x14ac:dyDescent="0.25">
      <c r="A431" s="23"/>
      <c r="B431" s="23"/>
      <c r="C431" s="34"/>
      <c r="D431" s="28"/>
      <c r="E431" s="28"/>
      <c r="F431" s="28"/>
      <c r="G431" s="5"/>
      <c r="H431" s="5"/>
      <c r="I431" s="5"/>
      <c r="J431" s="5"/>
      <c r="K431" s="5"/>
      <c r="L431" s="5"/>
      <c r="M431" s="5"/>
      <c r="N431"/>
    </row>
    <row r="432" spans="1:14" s="21" customFormat="1" x14ac:dyDescent="0.25">
      <c r="A432" s="23"/>
      <c r="B432" s="23"/>
      <c r="C432" s="34"/>
      <c r="D432" s="28"/>
      <c r="E432" s="28"/>
      <c r="F432" s="28"/>
      <c r="G432" s="5"/>
      <c r="H432" s="5"/>
      <c r="I432" s="5"/>
      <c r="J432" s="5"/>
      <c r="K432" s="5"/>
      <c r="L432" s="5"/>
      <c r="M432" s="5"/>
      <c r="N432"/>
    </row>
    <row r="433" spans="1:14" s="21" customFormat="1" x14ac:dyDescent="0.25">
      <c r="A433" s="23"/>
      <c r="B433" s="23"/>
      <c r="C433" s="34"/>
      <c r="D433" s="28"/>
      <c r="E433" s="28"/>
      <c r="F433" s="28"/>
      <c r="G433" s="5"/>
      <c r="H433" s="5"/>
      <c r="I433" s="5"/>
      <c r="J433" s="5"/>
      <c r="K433" s="5"/>
      <c r="L433" s="5"/>
      <c r="M433" s="5"/>
      <c r="N433"/>
    </row>
    <row r="434" spans="1:14" s="21" customFormat="1" x14ac:dyDescent="0.25">
      <c r="A434" s="23"/>
      <c r="B434" s="23"/>
      <c r="C434" s="34"/>
      <c r="D434" s="28"/>
      <c r="E434" s="28"/>
      <c r="F434" s="28"/>
      <c r="G434" s="5"/>
      <c r="H434" s="5"/>
      <c r="I434" s="5"/>
      <c r="J434" s="5"/>
      <c r="K434" s="5"/>
      <c r="L434" s="5"/>
      <c r="M434" s="5"/>
      <c r="N434"/>
    </row>
    <row r="435" spans="1:14" s="21" customFormat="1" x14ac:dyDescent="0.25">
      <c r="A435" s="23"/>
      <c r="B435" s="23"/>
      <c r="C435" s="34"/>
      <c r="D435" s="28"/>
      <c r="E435" s="28"/>
      <c r="F435" s="28"/>
      <c r="G435" s="5"/>
      <c r="H435" s="5"/>
      <c r="I435" s="5"/>
      <c r="J435" s="5"/>
      <c r="K435" s="5"/>
      <c r="L435" s="5"/>
      <c r="M435" s="5"/>
      <c r="N435"/>
    </row>
    <row r="436" spans="1:14" s="21" customFormat="1" x14ac:dyDescent="0.25">
      <c r="A436" s="26"/>
      <c r="B436" s="26"/>
      <c r="C436" s="34"/>
      <c r="D436" s="28"/>
      <c r="E436" s="5"/>
      <c r="F436" s="28"/>
      <c r="G436" s="5"/>
      <c r="H436" s="5"/>
      <c r="I436" s="5"/>
      <c r="J436" s="5"/>
      <c r="K436" s="5"/>
      <c r="L436" s="5"/>
      <c r="M436" s="5"/>
      <c r="N436"/>
    </row>
    <row r="437" spans="1:14" s="21" customFormat="1" x14ac:dyDescent="0.25">
      <c r="A437" s="26"/>
      <c r="B437" s="26"/>
      <c r="C437" s="34"/>
      <c r="D437" s="28"/>
      <c r="E437" s="5"/>
      <c r="F437" s="28"/>
      <c r="G437" s="5"/>
      <c r="H437" s="5"/>
      <c r="I437" s="5"/>
      <c r="J437" s="5"/>
      <c r="K437" s="5"/>
      <c r="L437" s="5"/>
      <c r="M437" s="5"/>
      <c r="N437"/>
    </row>
    <row r="438" spans="1:14" s="21" customFormat="1" x14ac:dyDescent="0.25">
      <c r="A438" s="26"/>
      <c r="B438" s="26"/>
      <c r="C438" s="34"/>
      <c r="D438" s="28"/>
      <c r="E438" s="5"/>
      <c r="F438" s="28"/>
      <c r="G438" s="5"/>
      <c r="H438" s="5"/>
      <c r="I438" s="5"/>
      <c r="J438" s="5"/>
      <c r="K438" s="5"/>
      <c r="L438" s="5"/>
      <c r="M438" s="5"/>
      <c r="N438"/>
    </row>
    <row r="439" spans="1:14" s="21" customFormat="1" ht="24.75" customHeight="1" x14ac:dyDescent="0.25">
      <c r="A439" s="25"/>
      <c r="B439" s="25"/>
      <c r="C439" s="35"/>
      <c r="D439" s="33"/>
      <c r="E439" s="24"/>
      <c r="F439" s="32"/>
      <c r="G439" s="24"/>
      <c r="H439" s="24"/>
      <c r="I439" s="24"/>
      <c r="J439" s="24"/>
      <c r="K439" s="24"/>
      <c r="L439" s="24"/>
      <c r="M439" s="24"/>
      <c r="N439"/>
    </row>
    <row r="440" spans="1:14" s="21" customFormat="1" x14ac:dyDescent="0.25">
      <c r="A440" s="26"/>
      <c r="B440" s="26"/>
      <c r="C440" s="34"/>
      <c r="D440" s="28"/>
      <c r="E440" s="5"/>
      <c r="F440" s="28"/>
      <c r="G440" s="5"/>
      <c r="H440" s="5"/>
      <c r="I440" s="5"/>
      <c r="J440" s="5"/>
      <c r="K440" s="5"/>
      <c r="L440" s="5"/>
      <c r="M440" s="5"/>
      <c r="N440"/>
    </row>
    <row r="441" spans="1:14" s="21" customFormat="1" x14ac:dyDescent="0.25">
      <c r="A441" s="26"/>
      <c r="B441" s="26"/>
      <c r="C441" s="34"/>
      <c r="D441" s="28"/>
      <c r="E441" s="5"/>
      <c r="F441" s="28"/>
      <c r="G441" s="5"/>
      <c r="H441" s="5"/>
      <c r="I441" s="5"/>
      <c r="J441" s="5"/>
      <c r="K441" s="5"/>
      <c r="L441" s="5"/>
      <c r="M441" s="5"/>
      <c r="N441"/>
    </row>
    <row r="442" spans="1:14" s="21" customFormat="1" x14ac:dyDescent="0.25">
      <c r="A442" s="26"/>
      <c r="B442" s="26"/>
      <c r="C442" s="34"/>
      <c r="D442" s="28"/>
      <c r="E442" s="5"/>
      <c r="F442" s="28"/>
      <c r="G442" s="5"/>
      <c r="H442" s="5"/>
      <c r="I442" s="5"/>
      <c r="J442" s="5"/>
      <c r="K442" s="5"/>
      <c r="L442" s="5"/>
      <c r="M442" s="5"/>
      <c r="N442"/>
    </row>
    <row r="443" spans="1:14" s="21" customFormat="1" x14ac:dyDescent="0.25">
      <c r="A443" s="26"/>
      <c r="B443" s="26"/>
      <c r="C443" s="5"/>
      <c r="D443" s="33"/>
      <c r="E443" s="5"/>
      <c r="F443" s="28"/>
      <c r="G443" s="5"/>
      <c r="H443" s="5"/>
      <c r="I443" s="5"/>
      <c r="J443" s="5"/>
      <c r="K443" s="5"/>
      <c r="L443" s="5"/>
      <c r="M443" s="5"/>
      <c r="N443"/>
    </row>
    <row r="444" spans="1:14" s="21" customFormat="1" x14ac:dyDescent="0.25">
      <c r="A444" s="26"/>
      <c r="B444" s="26"/>
      <c r="C444" s="5"/>
      <c r="D444" s="28"/>
      <c r="E444" s="5"/>
      <c r="F444" s="28"/>
      <c r="G444" s="5"/>
      <c r="H444" s="5"/>
      <c r="I444" s="5"/>
      <c r="J444" s="5"/>
      <c r="K444" s="5"/>
      <c r="L444" s="5"/>
      <c r="M444" s="5"/>
      <c r="N444"/>
    </row>
    <row r="445" spans="1:14" s="21" customFormat="1" x14ac:dyDescent="0.25">
      <c r="A445" s="23"/>
      <c r="B445" s="23"/>
      <c r="C445" s="5"/>
      <c r="D445" s="28"/>
      <c r="E445" s="5"/>
      <c r="F445" s="28"/>
      <c r="G445" s="5"/>
      <c r="H445" s="5"/>
      <c r="I445" s="5"/>
      <c r="J445" s="5"/>
      <c r="K445" s="5"/>
      <c r="L445" s="5"/>
      <c r="M445" s="5"/>
      <c r="N445"/>
    </row>
    <row r="446" spans="1:14" s="21" customFormat="1" x14ac:dyDescent="0.25">
      <c r="A446" s="23"/>
      <c r="B446" s="23"/>
      <c r="C446" s="5"/>
      <c r="D446" s="28"/>
      <c r="E446" s="5"/>
      <c r="F446" s="28"/>
      <c r="G446" s="5"/>
      <c r="H446" s="5"/>
      <c r="I446" s="5"/>
      <c r="J446" s="5"/>
      <c r="K446" s="5"/>
      <c r="L446" s="5"/>
      <c r="M446" s="5"/>
      <c r="N446"/>
    </row>
    <row r="447" spans="1:14" s="21" customFormat="1" x14ac:dyDescent="0.25">
      <c r="A447" s="23"/>
      <c r="B447" s="23"/>
      <c r="C447" s="5"/>
      <c r="D447" s="32"/>
      <c r="E447" s="5"/>
      <c r="F447" s="28"/>
      <c r="G447" s="5"/>
      <c r="H447" s="5"/>
      <c r="I447" s="5"/>
      <c r="J447" s="5"/>
      <c r="K447" s="5"/>
      <c r="L447" s="5"/>
      <c r="M447" s="5"/>
      <c r="N447"/>
    </row>
    <row r="448" spans="1:14" s="21" customFormat="1" x14ac:dyDescent="0.25">
      <c r="A448" s="23"/>
      <c r="B448" s="23"/>
      <c r="C448" s="5"/>
      <c r="D448" s="32"/>
      <c r="E448" s="5"/>
      <c r="F448" s="28"/>
      <c r="G448" s="5"/>
      <c r="H448" s="5"/>
      <c r="I448" s="5"/>
      <c r="J448" s="5"/>
      <c r="K448" s="5"/>
      <c r="L448" s="5"/>
      <c r="M448" s="5"/>
      <c r="N448"/>
    </row>
    <row r="449" spans="1:14" s="21" customFormat="1" x14ac:dyDescent="0.25">
      <c r="A449" s="23"/>
      <c r="B449" s="23"/>
      <c r="C449" s="5"/>
      <c r="D449" s="28"/>
      <c r="E449" s="5"/>
      <c r="F449" s="28"/>
      <c r="G449" s="5"/>
      <c r="H449" s="5"/>
      <c r="I449" s="5"/>
      <c r="J449" s="5"/>
      <c r="K449" s="5"/>
      <c r="L449" s="5"/>
      <c r="M449" s="5"/>
      <c r="N449"/>
    </row>
    <row r="450" spans="1:14" s="21" customFormat="1" x14ac:dyDescent="0.25">
      <c r="A450" s="23"/>
      <c r="B450" s="23"/>
      <c r="C450" s="5"/>
      <c r="D450" s="28"/>
      <c r="E450" s="5"/>
      <c r="F450" s="28"/>
      <c r="G450" s="5"/>
      <c r="H450" s="5"/>
      <c r="I450" s="5"/>
      <c r="J450" s="5"/>
      <c r="K450" s="5"/>
      <c r="L450" s="5"/>
      <c r="M450" s="5"/>
      <c r="N450"/>
    </row>
    <row r="451" spans="1:14" s="21" customFormat="1" x14ac:dyDescent="0.25">
      <c r="A451" s="23"/>
      <c r="B451" s="23"/>
      <c r="C451" s="5"/>
      <c r="D451" s="28"/>
      <c r="E451" s="5"/>
      <c r="F451" s="28"/>
      <c r="G451" s="5"/>
      <c r="H451" s="5"/>
      <c r="I451" s="5"/>
      <c r="J451" s="5"/>
      <c r="K451" s="5"/>
      <c r="L451" s="5"/>
      <c r="M451" s="5"/>
      <c r="N451"/>
    </row>
    <row r="452" spans="1:14" s="21" customFormat="1" x14ac:dyDescent="0.25">
      <c r="A452" s="23"/>
      <c r="B452" s="23"/>
      <c r="C452" s="5"/>
      <c r="D452" s="28"/>
      <c r="E452" s="5"/>
      <c r="F452" s="28"/>
      <c r="G452" s="5"/>
      <c r="H452" s="5"/>
      <c r="I452" s="5"/>
      <c r="J452" s="5"/>
      <c r="K452" s="5"/>
      <c r="L452" s="5"/>
      <c r="M452" s="5"/>
      <c r="N452"/>
    </row>
    <row r="453" spans="1:14" s="21" customFormat="1" x14ac:dyDescent="0.25">
      <c r="A453" s="23"/>
      <c r="B453" s="23"/>
      <c r="C453" s="5"/>
      <c r="D453" s="28"/>
      <c r="E453" s="5"/>
      <c r="F453" s="28"/>
      <c r="G453" s="5"/>
      <c r="H453" s="5"/>
      <c r="I453" s="5"/>
      <c r="J453" s="5"/>
      <c r="K453" s="5"/>
      <c r="L453" s="5"/>
      <c r="M453" s="5"/>
      <c r="N453"/>
    </row>
    <row r="454" spans="1:14" s="21" customFormat="1" x14ac:dyDescent="0.25">
      <c r="A454" s="23"/>
      <c r="B454" s="23"/>
      <c r="C454" s="5"/>
      <c r="D454" s="28"/>
      <c r="E454" s="5"/>
      <c r="F454" s="28"/>
      <c r="G454" s="5"/>
      <c r="H454" s="5"/>
      <c r="I454" s="5"/>
      <c r="J454" s="5"/>
      <c r="K454" s="5"/>
      <c r="L454" s="5"/>
      <c r="M454" s="5"/>
      <c r="N454"/>
    </row>
    <row r="455" spans="1:14" s="21" customFormat="1" x14ac:dyDescent="0.25">
      <c r="A455" s="23"/>
      <c r="B455" s="23"/>
      <c r="C455" s="5"/>
      <c r="D455" s="28"/>
      <c r="E455" s="5"/>
      <c r="F455" s="28"/>
      <c r="G455" s="5"/>
      <c r="H455" s="5"/>
      <c r="I455" s="5"/>
      <c r="J455" s="5"/>
      <c r="K455" s="5"/>
      <c r="L455" s="5"/>
      <c r="M455" s="5"/>
      <c r="N455"/>
    </row>
    <row r="456" spans="1:14" s="21" customFormat="1" x14ac:dyDescent="0.25">
      <c r="A456" s="23"/>
      <c r="B456" s="23"/>
      <c r="C456" s="5"/>
      <c r="D456" s="28"/>
      <c r="E456" s="5"/>
      <c r="F456" s="28"/>
      <c r="G456" s="5"/>
      <c r="H456" s="5"/>
      <c r="I456" s="5"/>
      <c r="J456" s="5"/>
      <c r="K456" s="5"/>
      <c r="L456" s="5"/>
      <c r="M456" s="5"/>
      <c r="N456"/>
    </row>
    <row r="457" spans="1:14" s="21" customFormat="1" x14ac:dyDescent="0.25">
      <c r="A457" s="23"/>
      <c r="B457" s="23"/>
      <c r="C457" s="5"/>
      <c r="D457" s="28"/>
      <c r="E457" s="5"/>
      <c r="F457" s="28"/>
      <c r="G457" s="5"/>
      <c r="H457" s="5"/>
      <c r="I457" s="5"/>
      <c r="J457" s="5"/>
      <c r="K457" s="5"/>
      <c r="L457" s="5"/>
      <c r="M457" s="5"/>
      <c r="N457"/>
    </row>
    <row r="458" spans="1:14" s="21" customFormat="1" x14ac:dyDescent="0.25">
      <c r="A458" s="23"/>
      <c r="B458" s="23"/>
      <c r="C458" s="5"/>
      <c r="D458" s="28"/>
      <c r="E458" s="5"/>
      <c r="F458" s="28"/>
      <c r="G458" s="5"/>
      <c r="H458" s="5"/>
      <c r="I458" s="5"/>
      <c r="J458" s="5"/>
      <c r="K458" s="5"/>
      <c r="L458" s="5"/>
      <c r="M458" s="5"/>
      <c r="N458"/>
    </row>
    <row r="459" spans="1:14" s="21" customFormat="1" x14ac:dyDescent="0.25">
      <c r="A459" s="23"/>
      <c r="B459" s="23"/>
      <c r="C459" s="5"/>
      <c r="D459" s="28"/>
      <c r="E459" s="5"/>
      <c r="F459" s="28"/>
      <c r="G459" s="5"/>
      <c r="H459" s="5"/>
      <c r="I459" s="5"/>
      <c r="J459" s="5"/>
      <c r="K459" s="5"/>
      <c r="L459" s="5"/>
      <c r="M459" s="5"/>
      <c r="N459"/>
    </row>
    <row r="460" spans="1:14" s="21" customFormat="1" x14ac:dyDescent="0.25">
      <c r="A460" s="23"/>
      <c r="B460" s="23"/>
      <c r="C460" s="5"/>
      <c r="D460" s="28"/>
      <c r="E460" s="5"/>
      <c r="F460" s="28"/>
      <c r="G460" s="5"/>
      <c r="H460" s="5"/>
      <c r="I460" s="5"/>
      <c r="J460" s="5"/>
      <c r="K460" s="5"/>
      <c r="L460" s="5"/>
      <c r="M460" s="5"/>
      <c r="N460"/>
    </row>
    <row r="461" spans="1:14" s="21" customFormat="1" x14ac:dyDescent="0.25">
      <c r="A461" s="23"/>
      <c r="B461" s="23"/>
      <c r="C461" s="5"/>
      <c r="D461" s="28"/>
      <c r="E461" s="5"/>
      <c r="F461" s="28"/>
      <c r="G461" s="5"/>
      <c r="H461" s="5"/>
      <c r="I461" s="5"/>
      <c r="J461" s="5"/>
      <c r="K461" s="5"/>
      <c r="L461" s="5"/>
      <c r="M461" s="5"/>
      <c r="N461"/>
    </row>
    <row r="462" spans="1:14" s="21" customFormat="1" x14ac:dyDescent="0.25">
      <c r="A462" s="23"/>
      <c r="B462" s="23"/>
      <c r="C462" s="5"/>
      <c r="D462" s="28"/>
      <c r="E462" s="5"/>
      <c r="F462" s="28"/>
      <c r="G462" s="5"/>
      <c r="H462" s="5"/>
      <c r="I462" s="5"/>
      <c r="J462" s="5"/>
      <c r="K462" s="5"/>
      <c r="L462" s="5"/>
      <c r="M462" s="5"/>
      <c r="N462"/>
    </row>
    <row r="463" spans="1:14" s="21" customFormat="1" x14ac:dyDescent="0.25">
      <c r="A463" s="23"/>
      <c r="B463" s="23"/>
      <c r="C463" s="5"/>
      <c r="D463" s="28"/>
      <c r="E463" s="5"/>
      <c r="F463" s="5"/>
      <c r="G463" s="5"/>
      <c r="H463" s="5"/>
      <c r="I463" s="5"/>
      <c r="J463" s="5"/>
      <c r="K463" s="5"/>
      <c r="L463" s="5"/>
      <c r="M463" s="5"/>
      <c r="N463"/>
    </row>
    <row r="464" spans="1:14" s="21" customFormat="1" x14ac:dyDescent="0.25">
      <c r="A464" s="23"/>
      <c r="B464" s="23"/>
      <c r="C464" s="5"/>
      <c r="D464" s="28"/>
      <c r="E464" s="5"/>
      <c r="F464" s="5"/>
      <c r="G464" s="5"/>
      <c r="H464" s="5"/>
      <c r="I464" s="5"/>
      <c r="J464" s="5"/>
      <c r="K464" s="5"/>
      <c r="L464" s="5"/>
      <c r="M464" s="5"/>
      <c r="N464"/>
    </row>
    <row r="465" spans="1:14" s="21" customFormat="1" x14ac:dyDescent="0.25">
      <c r="A465" s="23"/>
      <c r="B465" s="23"/>
      <c r="C465" s="5"/>
      <c r="D465" s="28"/>
      <c r="E465" s="5"/>
      <c r="F465" s="5"/>
      <c r="G465" s="5"/>
      <c r="H465" s="5"/>
      <c r="I465" s="5"/>
      <c r="J465" s="5"/>
      <c r="K465" s="5"/>
      <c r="L465" s="5"/>
      <c r="M465" s="5"/>
      <c r="N465"/>
    </row>
    <row r="466" spans="1:14" s="21" customFormat="1" x14ac:dyDescent="0.25">
      <c r="A466" s="23"/>
      <c r="B466" s="23"/>
      <c r="C466" s="5"/>
      <c r="D466" s="28"/>
      <c r="E466" s="5"/>
      <c r="F466" s="5"/>
      <c r="G466" s="5"/>
      <c r="H466" s="5"/>
      <c r="I466" s="5"/>
      <c r="J466" s="5"/>
      <c r="K466" s="5"/>
      <c r="L466" s="5"/>
      <c r="M466" s="5"/>
      <c r="N466"/>
    </row>
    <row r="467" spans="1:14" s="21" customFormat="1" x14ac:dyDescent="0.25">
      <c r="A467" s="23"/>
      <c r="B467" s="23"/>
      <c r="C467" s="5"/>
      <c r="D467" s="28"/>
      <c r="E467" s="5"/>
      <c r="F467" s="5"/>
      <c r="G467" s="5"/>
      <c r="H467" s="5"/>
      <c r="I467" s="5"/>
      <c r="J467" s="5"/>
      <c r="K467" s="5"/>
      <c r="L467" s="5"/>
      <c r="M467" s="5"/>
      <c r="N467"/>
    </row>
    <row r="468" spans="1:14" s="21" customFormat="1" x14ac:dyDescent="0.25">
      <c r="A468" s="23"/>
      <c r="B468" s="23"/>
      <c r="C468" s="5"/>
      <c r="D468" s="28"/>
      <c r="E468" s="5"/>
      <c r="F468" s="5"/>
      <c r="G468" s="5"/>
      <c r="H468" s="5"/>
      <c r="I468" s="5"/>
      <c r="J468" s="5"/>
      <c r="K468" s="5"/>
      <c r="L468" s="5"/>
      <c r="M468" s="5"/>
      <c r="N468"/>
    </row>
    <row r="469" spans="1:14" s="21" customFormat="1" x14ac:dyDescent="0.25">
      <c r="A469" s="23"/>
      <c r="B469" s="23"/>
      <c r="C469" s="5"/>
      <c r="D469" s="28"/>
      <c r="E469" s="5"/>
      <c r="F469" s="5"/>
      <c r="G469" s="5"/>
      <c r="H469" s="5"/>
      <c r="I469" s="5"/>
      <c r="J469" s="5"/>
      <c r="K469" s="5"/>
      <c r="L469" s="5"/>
      <c r="M469" s="5"/>
      <c r="N469"/>
    </row>
    <row r="470" spans="1:14" s="21" customFormat="1" x14ac:dyDescent="0.25">
      <c r="A470" s="23"/>
      <c r="B470" s="23"/>
      <c r="C470" s="5"/>
      <c r="D470" s="28"/>
      <c r="E470" s="5"/>
      <c r="F470" s="5"/>
      <c r="G470" s="5"/>
      <c r="H470" s="5"/>
      <c r="I470" s="5"/>
      <c r="J470" s="5"/>
      <c r="K470" s="5"/>
      <c r="L470" s="5"/>
      <c r="M470" s="5"/>
      <c r="N470"/>
    </row>
    <row r="471" spans="1:14" s="21" customFormat="1" x14ac:dyDescent="0.25">
      <c r="A471" s="23"/>
      <c r="B471" s="23"/>
      <c r="C471" s="5"/>
      <c r="D471" s="28"/>
      <c r="E471" s="5"/>
      <c r="F471" s="5"/>
      <c r="G471" s="5"/>
      <c r="H471" s="5"/>
      <c r="I471" s="5"/>
      <c r="J471" s="5"/>
      <c r="K471" s="5"/>
      <c r="L471" s="5"/>
      <c r="M471" s="5"/>
      <c r="N471"/>
    </row>
    <row r="472" spans="1:14" s="21" customFormat="1" x14ac:dyDescent="0.25">
      <c r="A472" s="23"/>
      <c r="B472" s="23"/>
      <c r="C472" s="5"/>
      <c r="D472" s="28"/>
      <c r="E472" s="5"/>
      <c r="F472" s="5"/>
      <c r="G472" s="5"/>
      <c r="H472" s="5"/>
      <c r="I472" s="5"/>
      <c r="J472" s="5"/>
      <c r="K472" s="5"/>
      <c r="L472" s="5"/>
      <c r="M472" s="5"/>
      <c r="N472"/>
    </row>
    <row r="473" spans="1:14" s="21" customFormat="1" x14ac:dyDescent="0.25">
      <c r="A473" s="23"/>
      <c r="B473" s="23"/>
      <c r="C473" s="5"/>
      <c r="D473" s="28"/>
      <c r="E473" s="5"/>
      <c r="F473" s="5"/>
      <c r="G473" s="5"/>
      <c r="H473" s="5"/>
      <c r="I473" s="5"/>
      <c r="J473" s="5"/>
      <c r="K473" s="5"/>
      <c r="L473" s="5"/>
      <c r="M473" s="5"/>
      <c r="N473"/>
    </row>
    <row r="474" spans="1:14" s="21" customFormat="1" x14ac:dyDescent="0.25">
      <c r="A474" s="23"/>
      <c r="B474" s="23"/>
      <c r="C474" s="5"/>
      <c r="D474" s="28"/>
      <c r="E474" s="5"/>
      <c r="F474" s="5"/>
      <c r="G474" s="5"/>
      <c r="H474" s="5"/>
      <c r="I474" s="5"/>
      <c r="J474" s="5"/>
      <c r="K474" s="5"/>
      <c r="L474" s="5"/>
      <c r="M474" s="5"/>
      <c r="N474"/>
    </row>
    <row r="475" spans="1:14" s="21" customFormat="1" x14ac:dyDescent="0.25">
      <c r="A475" s="23"/>
      <c r="B475" s="23"/>
      <c r="C475" s="5"/>
      <c r="D475" s="28"/>
      <c r="E475" s="5"/>
      <c r="F475" s="5"/>
      <c r="G475" s="5"/>
      <c r="H475" s="5"/>
      <c r="I475" s="5"/>
      <c r="J475" s="5"/>
      <c r="K475" s="5"/>
      <c r="L475" s="5"/>
      <c r="M475" s="5"/>
      <c r="N475"/>
    </row>
    <row r="476" spans="1:14" s="21" customFormat="1" x14ac:dyDescent="0.25">
      <c r="A476" s="23"/>
      <c r="B476" s="23"/>
      <c r="C476" s="5"/>
      <c r="D476" s="28"/>
      <c r="E476" s="5"/>
      <c r="F476" s="5"/>
      <c r="G476" s="5"/>
      <c r="H476" s="5"/>
      <c r="I476" s="5"/>
      <c r="J476" s="5"/>
      <c r="K476" s="5"/>
      <c r="L476" s="5"/>
      <c r="M476" s="5"/>
      <c r="N476"/>
    </row>
    <row r="477" spans="1:14" s="21" customFormat="1" x14ac:dyDescent="0.25">
      <c r="A477" s="23"/>
      <c r="B477" s="23"/>
      <c r="C477" s="5"/>
      <c r="D477" s="28"/>
      <c r="E477" s="5"/>
      <c r="F477" s="5"/>
      <c r="G477" s="5"/>
      <c r="H477" s="5"/>
      <c r="I477" s="5"/>
      <c r="J477" s="5"/>
      <c r="K477" s="5"/>
      <c r="L477" s="5"/>
      <c r="M477" s="5"/>
      <c r="N477"/>
    </row>
    <row r="478" spans="1:14" s="21" customFormat="1" x14ac:dyDescent="0.25">
      <c r="A478" s="23"/>
      <c r="B478" s="23"/>
      <c r="C478" s="5"/>
      <c r="D478" s="28"/>
      <c r="E478" s="5"/>
      <c r="F478" s="5"/>
      <c r="G478" s="5"/>
      <c r="H478" s="5"/>
      <c r="I478" s="5"/>
      <c r="J478" s="5"/>
      <c r="K478" s="5"/>
      <c r="L478" s="5"/>
      <c r="M478" s="5"/>
      <c r="N478"/>
    </row>
    <row r="479" spans="1:14" s="21" customFormat="1" x14ac:dyDescent="0.25">
      <c r="A479" s="23"/>
      <c r="B479" s="23"/>
      <c r="C479" s="5"/>
      <c r="D479" s="28"/>
      <c r="E479" s="5"/>
      <c r="F479" s="5"/>
      <c r="G479" s="5"/>
      <c r="H479" s="5"/>
      <c r="I479" s="5"/>
      <c r="J479" s="5"/>
      <c r="K479" s="5"/>
      <c r="L479" s="5"/>
      <c r="M479" s="5"/>
      <c r="N479"/>
    </row>
    <row r="480" spans="1:14" x14ac:dyDescent="0.25">
      <c r="A480" s="23"/>
      <c r="B480" s="23"/>
      <c r="C480" s="5"/>
      <c r="D480" s="28"/>
      <c r="E480" s="5"/>
      <c r="F480" s="5"/>
      <c r="G480" s="5"/>
      <c r="H480" s="5"/>
      <c r="I480" s="5"/>
      <c r="J480" s="5"/>
      <c r="K480" s="5"/>
      <c r="L480" s="5"/>
      <c r="M480" s="5"/>
    </row>
    <row r="481" spans="1:13" x14ac:dyDescent="0.25">
      <c r="A481" s="23"/>
      <c r="B481" s="23"/>
      <c r="C481" s="5"/>
      <c r="D481" s="28"/>
      <c r="E481" s="5"/>
      <c r="F481" s="5"/>
      <c r="G481" s="5"/>
      <c r="H481" s="5"/>
      <c r="I481" s="5"/>
      <c r="J481" s="5"/>
      <c r="K481" s="5"/>
      <c r="L481" s="5"/>
      <c r="M481" s="5"/>
    </row>
    <row r="482" spans="1:13" x14ac:dyDescent="0.25">
      <c r="A482" s="23"/>
      <c r="B482" s="23"/>
      <c r="C482" s="5"/>
      <c r="D482" s="28"/>
      <c r="E482" s="5"/>
      <c r="F482" s="5"/>
      <c r="G482" s="5"/>
      <c r="H482" s="5"/>
      <c r="I482" s="5"/>
      <c r="J482" s="5"/>
      <c r="K482" s="5"/>
      <c r="L482" s="5"/>
      <c r="M482" s="5"/>
    </row>
    <row r="483" spans="1:13" x14ac:dyDescent="0.25">
      <c r="A483" s="23"/>
      <c r="B483" s="23"/>
      <c r="C483" s="5"/>
      <c r="D483" s="28"/>
      <c r="E483" s="5"/>
      <c r="F483" s="5"/>
      <c r="G483" s="5"/>
      <c r="H483" s="5"/>
      <c r="I483" s="5"/>
      <c r="J483" s="5"/>
      <c r="K483" s="5"/>
      <c r="L483" s="5"/>
      <c r="M483" s="5"/>
    </row>
    <row r="484" spans="1:13" x14ac:dyDescent="0.25">
      <c r="A484" s="23"/>
      <c r="B484" s="23"/>
      <c r="C484" s="5"/>
      <c r="D484" s="28"/>
      <c r="E484" s="5"/>
      <c r="F484" s="5"/>
      <c r="G484" s="5"/>
      <c r="H484" s="5"/>
      <c r="I484" s="5"/>
      <c r="J484" s="5"/>
      <c r="K484" s="5"/>
      <c r="L484" s="5"/>
      <c r="M484" s="5"/>
    </row>
    <row r="485" spans="1:13" x14ac:dyDescent="0.25">
      <c r="A485" s="23"/>
      <c r="B485" s="23"/>
      <c r="C485" s="5"/>
      <c r="D485" s="28"/>
      <c r="E485" s="5"/>
      <c r="F485" s="5"/>
      <c r="G485" s="5"/>
      <c r="H485" s="5"/>
      <c r="I485" s="5"/>
      <c r="J485" s="5"/>
      <c r="K485" s="5"/>
      <c r="L485" s="5"/>
      <c r="M485" s="5"/>
    </row>
    <row r="486" spans="1:13" x14ac:dyDescent="0.25">
      <c r="A486" s="23"/>
      <c r="B486" s="23"/>
      <c r="C486" s="5"/>
      <c r="D486" s="28"/>
      <c r="E486" s="5"/>
      <c r="F486" s="5"/>
      <c r="G486" s="5"/>
      <c r="H486" s="5"/>
      <c r="I486" s="5"/>
      <c r="J486" s="5"/>
      <c r="K486" s="5"/>
      <c r="L486" s="5"/>
      <c r="M486" s="5"/>
    </row>
    <row r="487" spans="1:13" x14ac:dyDescent="0.25">
      <c r="A487" s="23"/>
      <c r="B487" s="23"/>
      <c r="C487" s="5"/>
      <c r="D487" s="28"/>
      <c r="E487" s="5"/>
      <c r="F487" s="5"/>
      <c r="G487" s="5"/>
      <c r="H487" s="5"/>
      <c r="I487" s="5"/>
      <c r="J487" s="5"/>
      <c r="K487" s="5"/>
      <c r="L487" s="5"/>
      <c r="M487" s="5"/>
    </row>
    <row r="488" spans="1:13" x14ac:dyDescent="0.25">
      <c r="A488" s="23"/>
      <c r="B488" s="23"/>
      <c r="C488" s="5"/>
      <c r="D488" s="28"/>
      <c r="E488" s="5"/>
      <c r="F488" s="5"/>
      <c r="G488" s="5"/>
      <c r="H488" s="5"/>
      <c r="I488" s="5"/>
      <c r="J488" s="5"/>
      <c r="K488" s="5"/>
      <c r="L488" s="5"/>
      <c r="M488" s="5"/>
    </row>
    <row r="489" spans="1:13" x14ac:dyDescent="0.25">
      <c r="A489" s="23"/>
      <c r="B489" s="23"/>
      <c r="C489" s="5"/>
      <c r="D489" s="28"/>
      <c r="E489" s="5"/>
      <c r="F489" s="5"/>
      <c r="G489" s="5"/>
      <c r="H489" s="5"/>
      <c r="I489" s="5"/>
      <c r="J489" s="5"/>
      <c r="K489" s="5"/>
      <c r="L489" s="5"/>
      <c r="M489" s="5"/>
    </row>
    <row r="490" spans="1:13" x14ac:dyDescent="0.25">
      <c r="A490" s="23"/>
      <c r="B490" s="23"/>
      <c r="C490" s="5"/>
      <c r="D490" s="28"/>
      <c r="E490" s="5"/>
      <c r="F490" s="5"/>
      <c r="G490" s="5"/>
      <c r="H490" s="5"/>
      <c r="I490" s="5"/>
      <c r="J490" s="5"/>
      <c r="K490" s="5"/>
      <c r="L490" s="5"/>
      <c r="M490" s="5"/>
    </row>
    <row r="491" spans="1:13" x14ac:dyDescent="0.25">
      <c r="A491" s="23"/>
      <c r="B491" s="23"/>
      <c r="C491" s="5"/>
      <c r="D491" s="28"/>
      <c r="E491" s="5"/>
      <c r="F491" s="5"/>
      <c r="G491" s="5"/>
      <c r="H491" s="5"/>
      <c r="I491" s="5"/>
      <c r="J491" s="5"/>
      <c r="K491" s="5"/>
      <c r="L491" s="5"/>
      <c r="M491" s="5"/>
    </row>
    <row r="492" spans="1:13" x14ac:dyDescent="0.25">
      <c r="A492" s="23"/>
      <c r="B492" s="23"/>
      <c r="C492" s="5"/>
      <c r="D492" s="28"/>
      <c r="E492" s="5"/>
      <c r="F492" s="5"/>
      <c r="G492" s="5"/>
      <c r="H492" s="5"/>
      <c r="I492" s="5"/>
      <c r="J492" s="5"/>
      <c r="K492" s="5"/>
      <c r="L492" s="5"/>
      <c r="M492" s="5"/>
    </row>
    <row r="493" spans="1:13" x14ac:dyDescent="0.25">
      <c r="A493" s="23"/>
      <c r="B493" s="23"/>
      <c r="C493" s="5"/>
      <c r="D493" s="28"/>
      <c r="E493" s="5"/>
      <c r="F493" s="5"/>
      <c r="G493" s="5"/>
      <c r="H493" s="5"/>
      <c r="I493" s="5"/>
      <c r="J493" s="5"/>
      <c r="K493" s="5"/>
      <c r="L493" s="5"/>
      <c r="M493" s="5"/>
    </row>
    <row r="494" spans="1:13" x14ac:dyDescent="0.25">
      <c r="A494" s="23"/>
      <c r="B494" s="23"/>
      <c r="C494" s="5"/>
      <c r="D494" s="28"/>
      <c r="E494" s="5"/>
      <c r="F494" s="5"/>
      <c r="G494" s="5"/>
      <c r="H494" s="5"/>
      <c r="I494" s="5"/>
      <c r="J494" s="5"/>
      <c r="K494" s="5"/>
      <c r="L494" s="5"/>
      <c r="M494" s="5"/>
    </row>
    <row r="495" spans="1:13" x14ac:dyDescent="0.25">
      <c r="A495" s="23"/>
      <c r="B495" s="23"/>
      <c r="C495" s="5"/>
      <c r="D495" s="28"/>
      <c r="E495" s="5"/>
      <c r="F495" s="5"/>
      <c r="G495" s="5"/>
      <c r="H495" s="5"/>
      <c r="I495" s="5"/>
      <c r="J495" s="5"/>
      <c r="K495" s="5"/>
      <c r="L495" s="5"/>
      <c r="M495" s="5"/>
    </row>
    <row r="496" spans="1:13" x14ac:dyDescent="0.25">
      <c r="A496" s="23"/>
      <c r="B496" s="23"/>
      <c r="C496" s="5"/>
      <c r="D496" s="28"/>
      <c r="E496" s="5"/>
      <c r="F496" s="5"/>
      <c r="G496" s="5"/>
      <c r="H496" s="5"/>
      <c r="I496" s="5"/>
      <c r="J496" s="5"/>
      <c r="K496" s="5"/>
      <c r="L496" s="5"/>
      <c r="M496" s="5"/>
    </row>
    <row r="497" spans="1:13" x14ac:dyDescent="0.25">
      <c r="A497" s="23"/>
      <c r="B497" s="23"/>
      <c r="C497" s="5"/>
      <c r="D497" s="28"/>
      <c r="E497" s="5"/>
      <c r="F497" s="5"/>
      <c r="G497" s="5"/>
      <c r="H497" s="5"/>
      <c r="I497" s="5"/>
      <c r="J497" s="5"/>
      <c r="K497" s="5"/>
      <c r="L497" s="5"/>
      <c r="M497" s="5"/>
    </row>
    <row r="498" spans="1:13" x14ac:dyDescent="0.25">
      <c r="A498" s="23"/>
      <c r="B498" s="23"/>
      <c r="C498" s="5"/>
      <c r="D498" s="28"/>
      <c r="E498" s="5"/>
      <c r="F498" s="5"/>
      <c r="G498" s="5"/>
      <c r="H498" s="5"/>
      <c r="I498" s="5"/>
      <c r="J498" s="5"/>
      <c r="K498" s="5"/>
      <c r="L498" s="5"/>
      <c r="M498" s="5"/>
    </row>
    <row r="499" spans="1:13" x14ac:dyDescent="0.25">
      <c r="A499" s="23"/>
      <c r="B499" s="23"/>
      <c r="C499" s="5"/>
      <c r="D499" s="28"/>
      <c r="E499" s="5"/>
      <c r="F499" s="5"/>
      <c r="G499" s="5"/>
      <c r="H499" s="5"/>
      <c r="I499" s="5"/>
      <c r="J499" s="5"/>
      <c r="K499" s="5"/>
      <c r="L499" s="5"/>
      <c r="M499" s="5"/>
    </row>
    <row r="500" spans="1:13" x14ac:dyDescent="0.25">
      <c r="A500" s="23"/>
      <c r="B500" s="23"/>
      <c r="C500" s="5"/>
      <c r="D500" s="30"/>
      <c r="E500" s="5"/>
      <c r="F500" s="5"/>
      <c r="G500" s="5"/>
      <c r="H500" s="5"/>
      <c r="I500" s="5"/>
      <c r="J500" s="5"/>
      <c r="K500" s="5"/>
      <c r="L500" s="5"/>
      <c r="M500" s="5"/>
    </row>
    <row r="501" spans="1:13" x14ac:dyDescent="0.25">
      <c r="A501" s="23"/>
      <c r="B501" s="23"/>
      <c r="C501" s="5"/>
      <c r="D501" s="30"/>
      <c r="E501" s="5"/>
      <c r="F501" s="5"/>
      <c r="G501" s="5"/>
      <c r="H501" s="5"/>
      <c r="I501" s="5"/>
      <c r="J501" s="5"/>
      <c r="K501" s="5"/>
      <c r="L501" s="5"/>
      <c r="M501" s="5"/>
    </row>
    <row r="502" spans="1:13" ht="13.5" customHeight="1" x14ac:dyDescent="0.25">
      <c r="A502" s="29"/>
      <c r="B502" s="29"/>
      <c r="C502" s="5"/>
      <c r="D502" s="28"/>
      <c r="E502" s="5"/>
      <c r="F502" s="5"/>
      <c r="G502" s="5"/>
      <c r="H502" s="5"/>
      <c r="I502" s="5"/>
      <c r="J502" s="5"/>
      <c r="K502" s="5"/>
      <c r="L502" s="5"/>
      <c r="M502" s="5"/>
    </row>
    <row r="503" spans="1:13" x14ac:dyDescent="0.25">
      <c r="A503" s="29"/>
      <c r="B503" s="29"/>
      <c r="C503" s="5"/>
      <c r="D503" s="28"/>
      <c r="E503" s="5"/>
      <c r="F503" s="5"/>
      <c r="G503" s="5"/>
      <c r="H503" s="5"/>
      <c r="I503" s="5"/>
      <c r="J503" s="5"/>
      <c r="K503" s="5"/>
      <c r="L503" s="5"/>
      <c r="M503" s="5"/>
    </row>
    <row r="504" spans="1:13" x14ac:dyDescent="0.25">
      <c r="A504" s="29"/>
      <c r="B504" s="29"/>
      <c r="C504" s="5"/>
      <c r="D504" s="28"/>
      <c r="E504" s="5"/>
      <c r="F504" s="5"/>
      <c r="G504" s="5"/>
      <c r="H504" s="5"/>
      <c r="I504" s="5"/>
      <c r="J504" s="5"/>
      <c r="K504" s="5"/>
      <c r="L504" s="5"/>
      <c r="M504" s="5"/>
    </row>
    <row r="505" spans="1:13" x14ac:dyDescent="0.25">
      <c r="A505" s="29"/>
      <c r="B505" s="29"/>
      <c r="C505" s="5"/>
      <c r="D505" s="28"/>
      <c r="E505" s="5"/>
      <c r="F505" s="5"/>
      <c r="G505" s="5"/>
      <c r="H505" s="5"/>
      <c r="I505" s="5"/>
      <c r="J505" s="5"/>
      <c r="K505" s="5"/>
      <c r="L505" s="5"/>
      <c r="M505" s="5"/>
    </row>
    <row r="506" spans="1:13" x14ac:dyDescent="0.25">
      <c r="A506" s="23"/>
      <c r="B506" s="23"/>
      <c r="C506" s="5"/>
      <c r="D506" s="28"/>
      <c r="E506" s="5"/>
      <c r="F506" s="5"/>
      <c r="G506" s="5"/>
      <c r="H506" s="5"/>
      <c r="I506" s="5"/>
      <c r="J506" s="5"/>
      <c r="K506" s="5"/>
      <c r="L506" s="5"/>
      <c r="M506" s="5"/>
    </row>
    <row r="507" spans="1:13" x14ac:dyDescent="0.25">
      <c r="A507" s="23"/>
      <c r="B507" s="23"/>
      <c r="C507" s="5"/>
      <c r="D507" s="28"/>
      <c r="E507" s="5"/>
      <c r="F507" s="5"/>
      <c r="G507" s="5"/>
      <c r="H507" s="5"/>
      <c r="I507" s="5"/>
      <c r="J507" s="5"/>
      <c r="K507" s="5"/>
      <c r="L507" s="5"/>
      <c r="M507" s="5"/>
    </row>
    <row r="508" spans="1:13" x14ac:dyDescent="0.25">
      <c r="A508" s="23"/>
      <c r="B508" s="23"/>
      <c r="C508" s="5"/>
      <c r="D508" s="5"/>
      <c r="E508" s="5"/>
      <c r="F508" s="5"/>
      <c r="G508" s="5"/>
      <c r="H508" s="5"/>
      <c r="I508" s="5"/>
      <c r="J508" s="5"/>
      <c r="K508" s="5"/>
      <c r="L508" s="5"/>
      <c r="M508" s="5"/>
    </row>
    <row r="509" spans="1:13" x14ac:dyDescent="0.25">
      <c r="A509" s="23"/>
      <c r="B509" s="23"/>
      <c r="C509" s="5"/>
      <c r="D509" s="5"/>
      <c r="E509" s="5"/>
      <c r="F509" s="5"/>
      <c r="G509" s="5"/>
      <c r="H509" s="5"/>
      <c r="I509" s="5"/>
      <c r="J509" s="5"/>
      <c r="K509" s="5"/>
      <c r="L509" s="5"/>
      <c r="M509" s="5"/>
    </row>
    <row r="510" spans="1:13" x14ac:dyDescent="0.25">
      <c r="A510" s="23"/>
      <c r="B510" s="23"/>
      <c r="C510" s="5"/>
      <c r="D510" s="5"/>
      <c r="E510" s="5"/>
      <c r="F510" s="5"/>
      <c r="G510" s="5"/>
      <c r="H510" s="5"/>
      <c r="I510" s="5"/>
      <c r="J510" s="5"/>
      <c r="K510" s="5"/>
      <c r="L510" s="5"/>
      <c r="M510" s="5"/>
    </row>
    <row r="511" spans="1:13" x14ac:dyDescent="0.25">
      <c r="A511" s="23"/>
      <c r="B511" s="23"/>
      <c r="C511" s="5"/>
      <c r="D511" s="5"/>
      <c r="E511" s="5"/>
      <c r="F511" s="5"/>
      <c r="G511" s="5"/>
      <c r="H511" s="5"/>
      <c r="I511" s="5"/>
      <c r="J511" s="5"/>
      <c r="K511" s="5"/>
      <c r="L511" s="5"/>
      <c r="M511" s="5"/>
    </row>
    <row r="512" spans="1:13" x14ac:dyDescent="0.25">
      <c r="A512" s="23"/>
      <c r="B512" s="23"/>
      <c r="C512" s="5"/>
      <c r="D512" s="5"/>
      <c r="E512" s="5"/>
      <c r="F512" s="5"/>
      <c r="G512" s="5"/>
      <c r="H512" s="5"/>
      <c r="I512" s="5"/>
      <c r="J512" s="5"/>
      <c r="K512" s="5"/>
      <c r="L512" s="5"/>
      <c r="M512" s="5"/>
    </row>
    <row r="513" spans="1:13" x14ac:dyDescent="0.25">
      <c r="A513" s="23"/>
      <c r="B513" s="23"/>
      <c r="C513" s="5"/>
      <c r="D513" s="5"/>
      <c r="E513" s="5"/>
      <c r="F513" s="5"/>
      <c r="G513" s="5"/>
      <c r="H513" s="5"/>
      <c r="I513" s="5"/>
      <c r="J513" s="5"/>
      <c r="K513" s="5"/>
      <c r="L513" s="5"/>
      <c r="M513" s="5"/>
    </row>
    <row r="514" spans="1:13" x14ac:dyDescent="0.25">
      <c r="A514" s="23"/>
      <c r="B514" s="23"/>
      <c r="C514" s="5"/>
      <c r="D514" s="25"/>
      <c r="E514" s="5"/>
      <c r="F514" s="5"/>
      <c r="G514" s="5"/>
      <c r="H514" s="5"/>
      <c r="I514" s="5"/>
      <c r="J514" s="5"/>
      <c r="K514" s="5"/>
      <c r="L514" s="5"/>
      <c r="M514" s="5"/>
    </row>
    <row r="515" spans="1:13" x14ac:dyDescent="0.25">
      <c r="A515" s="23"/>
      <c r="B515" s="23"/>
      <c r="C515" s="5"/>
      <c r="D515" s="5"/>
      <c r="E515" s="5"/>
      <c r="F515" s="5"/>
      <c r="G515" s="5"/>
      <c r="H515" s="5"/>
      <c r="I515" s="5"/>
      <c r="J515" s="5"/>
      <c r="K515" s="5"/>
      <c r="L515" s="5"/>
      <c r="M515" s="5"/>
    </row>
    <row r="516" spans="1:13" x14ac:dyDescent="0.25">
      <c r="A516" s="23"/>
      <c r="B516" s="23"/>
      <c r="C516" s="5"/>
      <c r="D516" s="23"/>
      <c r="E516" s="5"/>
      <c r="F516" s="5"/>
      <c r="G516" s="5"/>
      <c r="H516" s="5"/>
      <c r="I516" s="5"/>
      <c r="J516" s="5"/>
      <c r="K516" s="5"/>
      <c r="L516" s="5"/>
      <c r="M516" s="5"/>
    </row>
    <row r="517" spans="1:13" x14ac:dyDescent="0.25">
      <c r="A517" s="23"/>
      <c r="B517" s="23"/>
      <c r="C517" s="5"/>
      <c r="D517" s="23"/>
      <c r="E517" s="5"/>
      <c r="F517" s="5"/>
      <c r="G517" s="5"/>
      <c r="H517" s="5"/>
      <c r="I517" s="5"/>
      <c r="J517" s="5"/>
      <c r="K517" s="5"/>
      <c r="L517" s="5"/>
      <c r="M517" s="5"/>
    </row>
    <row r="518" spans="1:13" x14ac:dyDescent="0.25">
      <c r="A518" s="23"/>
      <c r="B518" s="23"/>
      <c r="C518" s="5"/>
      <c r="D518" s="5"/>
      <c r="E518" s="5"/>
      <c r="F518" s="5"/>
      <c r="G518" s="5"/>
      <c r="H518" s="5"/>
      <c r="I518" s="5"/>
      <c r="J518" s="5"/>
      <c r="K518" s="5"/>
      <c r="L518" s="5"/>
      <c r="M518" s="5"/>
    </row>
    <row r="519" spans="1:13" x14ac:dyDescent="0.25">
      <c r="A519" s="23"/>
      <c r="B519" s="23"/>
      <c r="C519" s="5"/>
      <c r="D519" s="23"/>
      <c r="E519" s="5"/>
      <c r="F519" s="5"/>
      <c r="G519" s="5"/>
      <c r="H519" s="5"/>
      <c r="I519" s="5"/>
      <c r="J519" s="5"/>
      <c r="K519" s="5"/>
      <c r="L519" s="5"/>
      <c r="M519" s="5"/>
    </row>
    <row r="520" spans="1:13" ht="25.5" customHeight="1" x14ac:dyDescent="0.25">
      <c r="A520" s="23"/>
      <c r="B520" s="23"/>
      <c r="C520" s="5"/>
      <c r="D520" s="5"/>
      <c r="E520" s="5"/>
      <c r="F520" s="5"/>
      <c r="G520" s="5"/>
      <c r="H520" s="5"/>
      <c r="I520" s="5"/>
      <c r="J520" s="5"/>
      <c r="K520" s="5"/>
      <c r="L520" s="5"/>
      <c r="M520" s="5"/>
    </row>
    <row r="521" spans="1:13" ht="25.5" customHeight="1" x14ac:dyDescent="0.25">
      <c r="A521" s="23"/>
      <c r="B521" s="23"/>
      <c r="C521" s="5"/>
      <c r="D521" s="5"/>
      <c r="E521" s="5"/>
      <c r="F521" s="5"/>
      <c r="G521" s="5"/>
      <c r="H521" s="5"/>
      <c r="I521" s="5"/>
      <c r="J521" s="5"/>
      <c r="K521" s="5"/>
      <c r="L521" s="5"/>
      <c r="M521" s="5"/>
    </row>
    <row r="522" spans="1:13" x14ac:dyDescent="0.25">
      <c r="A522" s="23"/>
      <c r="B522" s="23"/>
      <c r="C522" s="5"/>
      <c r="D522" s="5"/>
      <c r="E522" s="5"/>
      <c r="F522" s="5"/>
      <c r="G522" s="5"/>
      <c r="H522" s="5"/>
      <c r="I522" s="5"/>
      <c r="J522" s="5"/>
      <c r="K522" s="5"/>
      <c r="L522" s="5"/>
      <c r="M522" s="5"/>
    </row>
    <row r="523" spans="1:13" x14ac:dyDescent="0.25">
      <c r="A523" s="23"/>
      <c r="B523" s="23"/>
      <c r="C523" s="5"/>
      <c r="D523" s="5"/>
      <c r="E523" s="5"/>
      <c r="F523" s="5"/>
      <c r="G523" s="5"/>
      <c r="H523" s="5"/>
      <c r="I523" s="5"/>
      <c r="J523" s="5"/>
      <c r="K523" s="5"/>
      <c r="L523" s="5"/>
      <c r="M523" s="5"/>
    </row>
    <row r="524" spans="1:13" x14ac:dyDescent="0.25">
      <c r="A524" s="23"/>
      <c r="B524" s="23"/>
      <c r="C524" s="5"/>
      <c r="D524" s="5"/>
      <c r="E524" s="5"/>
      <c r="F524" s="5"/>
      <c r="G524" s="5"/>
      <c r="H524" s="5"/>
      <c r="I524" s="5"/>
      <c r="J524" s="5"/>
      <c r="K524" s="5"/>
      <c r="L524" s="5"/>
      <c r="M524" s="5"/>
    </row>
    <row r="525" spans="1:13" x14ac:dyDescent="0.25">
      <c r="A525" s="23"/>
      <c r="B525" s="23"/>
      <c r="C525" s="5"/>
      <c r="D525" s="5"/>
      <c r="E525" s="5"/>
      <c r="F525" s="5"/>
      <c r="G525" s="5"/>
      <c r="H525" s="5"/>
      <c r="I525" s="5"/>
      <c r="J525" s="5"/>
      <c r="K525" s="5"/>
      <c r="L525" s="5"/>
      <c r="M525" s="5"/>
    </row>
    <row r="526" spans="1:13" x14ac:dyDescent="0.25">
      <c r="A526" s="23"/>
      <c r="B526" s="23"/>
      <c r="C526" s="5"/>
      <c r="D526" s="5"/>
      <c r="E526" s="5"/>
      <c r="F526" s="5"/>
      <c r="G526" s="5"/>
      <c r="H526" s="5"/>
      <c r="I526" s="5"/>
      <c r="J526" s="5"/>
      <c r="K526" s="5"/>
      <c r="L526" s="5"/>
      <c r="M526" s="5"/>
    </row>
    <row r="527" spans="1:13" x14ac:dyDescent="0.25">
      <c r="A527" s="25"/>
      <c r="B527" s="25"/>
      <c r="C527" s="24"/>
      <c r="D527" s="25"/>
      <c r="E527" s="24"/>
      <c r="F527" s="24"/>
      <c r="G527" s="24"/>
      <c r="H527" s="24"/>
      <c r="I527" s="24"/>
      <c r="J527" s="24"/>
      <c r="K527" s="24"/>
      <c r="L527" s="24"/>
      <c r="M527" s="24"/>
    </row>
    <row r="528" spans="1:13" x14ac:dyDescent="0.25">
      <c r="A528" s="23"/>
      <c r="B528" s="23"/>
      <c r="C528" s="5"/>
      <c r="D528" s="5"/>
      <c r="E528" s="5"/>
      <c r="F528" s="5"/>
      <c r="G528" s="5"/>
      <c r="H528" s="5"/>
      <c r="I528" s="5"/>
      <c r="J528" s="5"/>
      <c r="K528" s="5"/>
      <c r="L528" s="5"/>
      <c r="M528" s="5"/>
    </row>
    <row r="529" spans="1:13" x14ac:dyDescent="0.25">
      <c r="A529" s="27"/>
      <c r="B529" s="27"/>
      <c r="C529" s="5"/>
      <c r="D529" s="5"/>
      <c r="E529" s="5"/>
      <c r="F529" s="5"/>
      <c r="G529" s="5"/>
      <c r="H529" s="5"/>
      <c r="I529" s="5"/>
      <c r="J529" s="5"/>
      <c r="K529" s="5"/>
      <c r="L529" s="5"/>
      <c r="M529" s="5"/>
    </row>
    <row r="530" spans="1:13" x14ac:dyDescent="0.25">
      <c r="A530" s="26"/>
      <c r="B530" s="26"/>
      <c r="C530" s="5"/>
      <c r="D530" s="5"/>
      <c r="E530" s="5"/>
      <c r="F530" s="5"/>
      <c r="G530" s="5"/>
      <c r="H530" s="5"/>
      <c r="I530" s="5"/>
      <c r="J530" s="5"/>
      <c r="K530" s="5"/>
      <c r="L530" s="5"/>
      <c r="M530" s="5"/>
    </row>
    <row r="531" spans="1:13" x14ac:dyDescent="0.25">
      <c r="A531" s="26"/>
      <c r="B531" s="26"/>
      <c r="C531" s="5"/>
      <c r="D531" s="5"/>
      <c r="E531" s="5"/>
      <c r="F531" s="5"/>
      <c r="G531" s="5"/>
      <c r="H531" s="5"/>
      <c r="I531" s="5"/>
      <c r="J531" s="5"/>
      <c r="K531" s="5"/>
      <c r="L531" s="5"/>
      <c r="M531" s="5"/>
    </row>
    <row r="532" spans="1:13" x14ac:dyDescent="0.25">
      <c r="A532" s="26"/>
      <c r="B532" s="26"/>
      <c r="C532" s="5"/>
      <c r="D532" s="5"/>
      <c r="E532" s="5"/>
      <c r="F532" s="5"/>
      <c r="G532" s="5"/>
      <c r="H532" s="5"/>
      <c r="I532" s="5"/>
      <c r="J532" s="5"/>
      <c r="K532" s="5"/>
      <c r="L532" s="5"/>
      <c r="M532" s="5"/>
    </row>
    <row r="533" spans="1:13" x14ac:dyDescent="0.25">
      <c r="A533" s="26"/>
      <c r="B533" s="26"/>
      <c r="C533" s="5"/>
      <c r="D533" s="5"/>
      <c r="E533" s="5"/>
      <c r="F533" s="5"/>
      <c r="G533" s="5"/>
      <c r="H533" s="5"/>
      <c r="I533" s="5"/>
      <c r="J533" s="5"/>
      <c r="K533" s="5"/>
      <c r="L533" s="5"/>
      <c r="M533" s="5"/>
    </row>
    <row r="534" spans="1:13" x14ac:dyDescent="0.25">
      <c r="A534" s="26"/>
      <c r="B534" s="26"/>
      <c r="C534" s="5"/>
      <c r="D534" s="5"/>
      <c r="E534" s="5"/>
      <c r="F534" s="5"/>
      <c r="G534" s="5"/>
      <c r="H534" s="5"/>
      <c r="I534" s="5"/>
      <c r="J534" s="5"/>
      <c r="K534" s="5"/>
      <c r="L534" s="5"/>
      <c r="M534" s="5"/>
    </row>
    <row r="535" spans="1:13" x14ac:dyDescent="0.25">
      <c r="A535" s="23"/>
      <c r="B535" s="23"/>
      <c r="C535" s="5"/>
      <c r="D535" s="5"/>
      <c r="E535" s="5"/>
      <c r="F535" s="5"/>
      <c r="G535" s="5"/>
      <c r="H535" s="5"/>
      <c r="I535" s="5"/>
      <c r="J535" s="5"/>
      <c r="K535" s="5"/>
      <c r="L535" s="5"/>
      <c r="M535" s="5"/>
    </row>
    <row r="536" spans="1:13" x14ac:dyDescent="0.25">
      <c r="A536" s="23"/>
      <c r="B536" s="23"/>
      <c r="C536" s="5"/>
      <c r="D536" s="5"/>
      <c r="E536" s="5"/>
      <c r="F536" s="5"/>
      <c r="G536" s="5"/>
      <c r="H536" s="5"/>
      <c r="I536" s="5"/>
      <c r="J536" s="5"/>
      <c r="K536" s="5"/>
      <c r="L536" s="5"/>
      <c r="M536" s="5"/>
    </row>
    <row r="537" spans="1:13" x14ac:dyDescent="0.25">
      <c r="A537" s="23"/>
      <c r="B537" s="23"/>
      <c r="C537" s="5"/>
      <c r="D537" s="5"/>
      <c r="E537" s="5"/>
      <c r="F537" s="5"/>
      <c r="G537" s="5"/>
      <c r="H537" s="5"/>
      <c r="I537" s="5"/>
      <c r="J537" s="5"/>
      <c r="K537" s="5"/>
      <c r="L537" s="5"/>
      <c r="M537" s="5"/>
    </row>
    <row r="538" spans="1:13" x14ac:dyDescent="0.25">
      <c r="A538" s="23"/>
      <c r="B538" s="23"/>
      <c r="C538" s="5"/>
      <c r="D538" s="5"/>
      <c r="E538" s="5"/>
      <c r="F538" s="5"/>
      <c r="G538" s="5"/>
      <c r="H538" s="5"/>
      <c r="I538" s="5"/>
      <c r="J538" s="5"/>
      <c r="K538" s="5"/>
      <c r="L538" s="5"/>
      <c r="M538" s="5"/>
    </row>
    <row r="539" spans="1:13" x14ac:dyDescent="0.25">
      <c r="A539" s="23"/>
      <c r="B539" s="23"/>
      <c r="C539" s="5"/>
      <c r="D539" s="5"/>
      <c r="E539" s="5"/>
      <c r="F539" s="5"/>
      <c r="G539" s="5"/>
      <c r="H539" s="5"/>
      <c r="I539" s="5"/>
      <c r="J539" s="5"/>
      <c r="K539" s="5"/>
      <c r="L539" s="5"/>
      <c r="M539" s="5"/>
    </row>
    <row r="540" spans="1:13" x14ac:dyDescent="0.25">
      <c r="A540" s="23"/>
      <c r="B540" s="23"/>
      <c r="C540" s="5"/>
      <c r="D540" s="5"/>
      <c r="E540" s="5"/>
      <c r="F540" s="5"/>
      <c r="G540" s="5"/>
      <c r="H540" s="5"/>
      <c r="I540" s="5"/>
      <c r="J540" s="5"/>
      <c r="K540" s="5"/>
      <c r="L540" s="5"/>
      <c r="M540" s="5"/>
    </row>
    <row r="541" spans="1:13" x14ac:dyDescent="0.25">
      <c r="A541" s="23"/>
      <c r="B541" s="23"/>
      <c r="C541" s="5"/>
      <c r="D541" s="5"/>
      <c r="E541" s="5"/>
      <c r="F541" s="5"/>
      <c r="G541" s="5"/>
      <c r="H541" s="5"/>
      <c r="I541" s="5"/>
      <c r="J541" s="5"/>
      <c r="K541" s="5"/>
      <c r="L541" s="5"/>
      <c r="M541" s="5"/>
    </row>
    <row r="542" spans="1:13" x14ac:dyDescent="0.25">
      <c r="A542" s="23"/>
      <c r="B542" s="23"/>
      <c r="C542" s="5"/>
      <c r="D542" s="5"/>
      <c r="E542" s="5"/>
      <c r="F542" s="5"/>
      <c r="G542" s="5"/>
      <c r="H542" s="5"/>
      <c r="I542" s="5"/>
      <c r="J542" s="5"/>
      <c r="K542" s="5"/>
      <c r="L542" s="5"/>
      <c r="M542" s="5"/>
    </row>
    <row r="543" spans="1:13" ht="14.25" customHeight="1" x14ac:dyDescent="0.25">
      <c r="A543" s="23"/>
      <c r="B543" s="23"/>
      <c r="C543" s="5"/>
      <c r="D543" s="5"/>
      <c r="E543" s="5"/>
      <c r="F543" s="5"/>
      <c r="G543" s="5"/>
      <c r="H543" s="5"/>
      <c r="I543" s="5"/>
      <c r="J543" s="5"/>
      <c r="K543" s="5"/>
      <c r="L543" s="5"/>
      <c r="M543" s="5"/>
    </row>
    <row r="544" spans="1:13" x14ac:dyDescent="0.25">
      <c r="A544" s="23"/>
      <c r="B544" s="23"/>
      <c r="C544" s="5"/>
      <c r="D544" s="5"/>
      <c r="E544" s="5"/>
      <c r="F544" s="5"/>
      <c r="G544" s="5"/>
      <c r="H544" s="5"/>
      <c r="I544" s="5"/>
      <c r="J544" s="5"/>
      <c r="K544" s="5"/>
      <c r="L544" s="5"/>
      <c r="M544" s="5"/>
    </row>
    <row r="545" spans="1:13" x14ac:dyDescent="0.25">
      <c r="A545" s="23"/>
      <c r="B545" s="23"/>
      <c r="C545" s="5"/>
      <c r="D545" s="5"/>
      <c r="E545" s="5"/>
      <c r="F545" s="5"/>
      <c r="G545" s="5"/>
      <c r="H545" s="5"/>
      <c r="I545" s="5"/>
      <c r="J545" s="5"/>
      <c r="K545" s="5"/>
      <c r="L545" s="5"/>
      <c r="M545" s="5"/>
    </row>
    <row r="546" spans="1:13" x14ac:dyDescent="0.25">
      <c r="A546" s="23"/>
      <c r="B546" s="23"/>
      <c r="C546" s="5"/>
      <c r="D546" s="5"/>
      <c r="E546" s="5"/>
      <c r="F546" s="5"/>
      <c r="G546" s="5"/>
      <c r="H546" s="5"/>
      <c r="I546" s="5"/>
      <c r="J546" s="5"/>
      <c r="K546" s="5"/>
      <c r="L546" s="5"/>
      <c r="M546" s="5"/>
    </row>
    <row r="547" spans="1:13" x14ac:dyDescent="0.25">
      <c r="A547" s="23"/>
      <c r="B547" s="23"/>
      <c r="C547" s="5"/>
      <c r="D547" s="24"/>
      <c r="E547" s="5"/>
      <c r="F547" s="5"/>
      <c r="G547" s="5"/>
      <c r="H547" s="5"/>
      <c r="I547" s="5"/>
      <c r="J547" s="5"/>
      <c r="K547" s="5"/>
      <c r="L547" s="5"/>
      <c r="M547" s="5"/>
    </row>
    <row r="548" spans="1:13" x14ac:dyDescent="0.25">
      <c r="A548" s="23"/>
      <c r="B548" s="23"/>
      <c r="C548" s="5"/>
      <c r="D548" s="5"/>
      <c r="E548" s="5"/>
      <c r="F548" s="5"/>
      <c r="G548" s="5"/>
      <c r="H548" s="5"/>
      <c r="I548" s="5"/>
      <c r="J548" s="5"/>
      <c r="K548" s="5"/>
      <c r="L548" s="5"/>
      <c r="M548" s="5"/>
    </row>
    <row r="549" spans="1:13" x14ac:dyDescent="0.25">
      <c r="A549" s="23"/>
      <c r="B549" s="23"/>
      <c r="C549" s="5"/>
      <c r="D549" s="5"/>
      <c r="E549" s="5"/>
      <c r="F549" s="5"/>
      <c r="G549" s="5"/>
      <c r="H549" s="5"/>
      <c r="I549" s="5"/>
      <c r="J549" s="5"/>
      <c r="K549" s="5"/>
      <c r="L549" s="5"/>
      <c r="M549" s="5"/>
    </row>
    <row r="550" spans="1:13" x14ac:dyDescent="0.25">
      <c r="A550" s="23"/>
      <c r="B550" s="23"/>
      <c r="C550" s="5"/>
      <c r="D550" s="5"/>
      <c r="E550" s="5"/>
      <c r="F550" s="5"/>
      <c r="G550" s="5"/>
      <c r="H550" s="5"/>
      <c r="I550" s="5"/>
      <c r="J550" s="5"/>
      <c r="K550" s="5"/>
      <c r="L550" s="5"/>
      <c r="M550" s="5"/>
    </row>
    <row r="551" spans="1:13" x14ac:dyDescent="0.25">
      <c r="A551" s="23"/>
      <c r="B551" s="23"/>
      <c r="C551" s="5"/>
      <c r="D551" s="5"/>
      <c r="E551" s="5"/>
      <c r="F551" s="5"/>
      <c r="G551" s="5"/>
      <c r="H551" s="5"/>
      <c r="I551" s="5"/>
      <c r="J551" s="5"/>
      <c r="K551" s="5"/>
      <c r="L551" s="5"/>
      <c r="M551" s="5"/>
    </row>
    <row r="552" spans="1:13" x14ac:dyDescent="0.25">
      <c r="A552" s="23"/>
      <c r="B552" s="23"/>
      <c r="C552" s="5"/>
      <c r="D552" s="5"/>
      <c r="E552" s="5"/>
      <c r="F552" s="5"/>
      <c r="G552" s="5"/>
      <c r="H552" s="5"/>
      <c r="I552" s="5"/>
      <c r="J552" s="5"/>
      <c r="K552" s="5"/>
      <c r="L552" s="5"/>
      <c r="M552" s="5"/>
    </row>
    <row r="553" spans="1:13" x14ac:dyDescent="0.25">
      <c r="A553" s="25"/>
      <c r="B553" s="25"/>
      <c r="C553" s="24"/>
      <c r="D553" s="24"/>
      <c r="E553" s="24"/>
      <c r="F553" s="24"/>
      <c r="G553" s="24"/>
      <c r="H553" s="24"/>
      <c r="I553" s="24"/>
      <c r="J553" s="24"/>
      <c r="K553" s="24"/>
      <c r="L553" s="24"/>
      <c r="M553" s="24"/>
    </row>
    <row r="554" spans="1:13" x14ac:dyDescent="0.25">
      <c r="A554" s="23"/>
      <c r="B554" s="23"/>
      <c r="C554" s="5"/>
      <c r="D554" s="5"/>
      <c r="E554" s="5"/>
      <c r="F554" s="5"/>
      <c r="G554" s="5"/>
      <c r="H554" s="5"/>
      <c r="I554" s="5"/>
      <c r="J554" s="5"/>
      <c r="K554" s="5"/>
      <c r="L554" s="5"/>
      <c r="M554" s="5"/>
    </row>
    <row r="555" spans="1:13" x14ac:dyDescent="0.25">
      <c r="A555" s="25"/>
      <c r="B555" s="25"/>
      <c r="C555" s="24"/>
      <c r="D555" s="25"/>
      <c r="E555" s="24"/>
      <c r="F555" s="24"/>
      <c r="G555" s="24"/>
      <c r="H555" s="24"/>
      <c r="I555" s="24"/>
      <c r="J555" s="24"/>
      <c r="K555" s="24"/>
      <c r="L555" s="24"/>
      <c r="M555" s="24"/>
    </row>
    <row r="556" spans="1:13" x14ac:dyDescent="0.25">
      <c r="A556" s="23"/>
      <c r="B556" s="23"/>
      <c r="C556" s="5"/>
      <c r="D556" s="25"/>
      <c r="E556" s="5"/>
      <c r="F556" s="5"/>
      <c r="G556" s="5"/>
      <c r="H556" s="5"/>
      <c r="I556" s="5"/>
      <c r="J556" s="5"/>
      <c r="K556" s="5"/>
      <c r="L556" s="5"/>
      <c r="M556" s="5"/>
    </row>
    <row r="557" spans="1:13" x14ac:dyDescent="0.25">
      <c r="A557" s="23"/>
      <c r="B557" s="23"/>
      <c r="C557" s="5"/>
      <c r="D557" s="25"/>
      <c r="E557" s="5"/>
      <c r="F557" s="5"/>
      <c r="G557" s="5"/>
      <c r="H557" s="5"/>
      <c r="I557" s="5"/>
      <c r="J557" s="5"/>
      <c r="K557" s="5"/>
      <c r="L557" s="5"/>
      <c r="M557" s="5"/>
    </row>
    <row r="558" spans="1:13" x14ac:dyDescent="0.25">
      <c r="A558" s="23"/>
      <c r="B558" s="23"/>
      <c r="C558" s="5"/>
      <c r="D558" s="5"/>
      <c r="E558" s="5"/>
      <c r="F558" s="5"/>
      <c r="G558" s="5"/>
      <c r="H558" s="5"/>
      <c r="I558" s="5"/>
      <c r="J558" s="5"/>
      <c r="K558" s="5"/>
      <c r="L558" s="5"/>
      <c r="M558" s="5"/>
    </row>
    <row r="559" spans="1:13" x14ac:dyDescent="0.25">
      <c r="A559" s="23"/>
      <c r="B559" s="23"/>
      <c r="C559" s="5"/>
      <c r="D559" s="5"/>
      <c r="E559" s="5"/>
      <c r="F559" s="5"/>
      <c r="G559" s="5"/>
      <c r="H559" s="5"/>
      <c r="I559" s="5"/>
      <c r="J559" s="5"/>
      <c r="K559" s="5"/>
      <c r="L559" s="5"/>
      <c r="M559" s="5"/>
    </row>
    <row r="560" spans="1:13" x14ac:dyDescent="0.25">
      <c r="A560" s="23"/>
      <c r="B560" s="23"/>
      <c r="C560" s="5"/>
      <c r="D560" s="5"/>
      <c r="E560" s="5"/>
      <c r="F560" s="5"/>
      <c r="G560" s="5"/>
      <c r="H560" s="5"/>
      <c r="I560" s="5"/>
      <c r="J560" s="5"/>
      <c r="K560" s="5"/>
      <c r="L560" s="5"/>
      <c r="M560" s="5"/>
    </row>
    <row r="561" spans="1:13" x14ac:dyDescent="0.25">
      <c r="A561" s="23"/>
      <c r="B561" s="23"/>
      <c r="C561" s="5"/>
      <c r="D561" s="23"/>
      <c r="E561" s="5"/>
      <c r="F561" s="5"/>
      <c r="G561" s="5"/>
      <c r="H561" s="5"/>
      <c r="I561" s="5"/>
      <c r="J561" s="5"/>
      <c r="K561" s="5"/>
      <c r="L561" s="5"/>
      <c r="M561" s="5"/>
    </row>
    <row r="562" spans="1:13" x14ac:dyDescent="0.25">
      <c r="A562" s="23"/>
      <c r="B562" s="23"/>
      <c r="C562" s="5"/>
      <c r="D562" s="5"/>
      <c r="E562" s="5"/>
      <c r="F562" s="5"/>
      <c r="G562" s="5"/>
      <c r="H562" s="5"/>
      <c r="I562" s="5"/>
      <c r="J562" s="5"/>
      <c r="K562" s="5"/>
      <c r="L562" s="5"/>
      <c r="M562" s="5"/>
    </row>
    <row r="563" spans="1:13" x14ac:dyDescent="0.25">
      <c r="A563" s="23"/>
      <c r="B563" s="23"/>
      <c r="C563" s="5"/>
      <c r="D563" s="5"/>
      <c r="E563" s="5"/>
      <c r="F563" s="5"/>
      <c r="G563" s="5"/>
      <c r="H563" s="5"/>
      <c r="I563" s="5"/>
      <c r="J563" s="5"/>
      <c r="K563" s="5"/>
      <c r="L563" s="5"/>
      <c r="M563" s="5"/>
    </row>
    <row r="564" spans="1:13" x14ac:dyDescent="0.25">
      <c r="A564" s="23"/>
      <c r="B564" s="23"/>
      <c r="C564" s="5"/>
      <c r="D564" s="5"/>
      <c r="E564" s="5"/>
      <c r="F564" s="5"/>
      <c r="G564" s="5"/>
      <c r="H564" s="5"/>
      <c r="I564" s="5"/>
      <c r="J564" s="5"/>
      <c r="K564" s="5"/>
      <c r="L564" s="5"/>
      <c r="M564" s="5"/>
    </row>
    <row r="565" spans="1:13" x14ac:dyDescent="0.25">
      <c r="A565" s="23"/>
      <c r="B565" s="23"/>
      <c r="C565" s="5"/>
      <c r="D565" s="5"/>
      <c r="E565" s="5"/>
      <c r="F565" s="5"/>
      <c r="G565" s="5"/>
      <c r="H565" s="5"/>
      <c r="I565" s="5"/>
      <c r="J565" s="5"/>
      <c r="K565" s="5"/>
      <c r="L565" s="5"/>
      <c r="M565" s="5"/>
    </row>
    <row r="566" spans="1:13" x14ac:dyDescent="0.25">
      <c r="A566" s="23"/>
      <c r="B566" s="23"/>
      <c r="C566" s="5"/>
      <c r="D566" s="5"/>
      <c r="E566" s="5"/>
      <c r="F566" s="5"/>
      <c r="G566" s="5"/>
      <c r="H566" s="5"/>
      <c r="I566" s="5"/>
      <c r="J566" s="5"/>
      <c r="K566" s="5"/>
      <c r="L566" s="5"/>
      <c r="M566" s="5"/>
    </row>
    <row r="567" spans="1:13" x14ac:dyDescent="0.25">
      <c r="A567" s="23"/>
      <c r="B567" s="23"/>
      <c r="C567" s="5"/>
      <c r="D567" s="5"/>
      <c r="E567" s="5"/>
      <c r="F567" s="5"/>
      <c r="G567" s="5"/>
      <c r="H567" s="5"/>
      <c r="I567" s="5"/>
      <c r="J567" s="5"/>
      <c r="K567" s="5"/>
      <c r="L567" s="5"/>
      <c r="M567" s="5"/>
    </row>
    <row r="568" spans="1:13" x14ac:dyDescent="0.25">
      <c r="A568" s="23"/>
      <c r="B568" s="23"/>
      <c r="C568" s="5"/>
      <c r="D568" s="5"/>
      <c r="E568" s="5"/>
      <c r="F568" s="5"/>
      <c r="G568" s="5"/>
      <c r="H568" s="5"/>
      <c r="I568" s="5"/>
      <c r="J568" s="5"/>
      <c r="K568" s="5"/>
      <c r="L568" s="5"/>
      <c r="M568" s="5"/>
    </row>
    <row r="569" spans="1:13" x14ac:dyDescent="0.25">
      <c r="A569" s="23"/>
      <c r="B569" s="23"/>
      <c r="C569" s="5"/>
      <c r="D569" s="5"/>
      <c r="E569" s="5"/>
      <c r="F569" s="5"/>
      <c r="G569" s="5"/>
      <c r="H569" s="5"/>
      <c r="I569" s="5"/>
      <c r="J569" s="5"/>
      <c r="K569" s="5"/>
      <c r="L569" s="5"/>
      <c r="M569" s="5"/>
    </row>
    <row r="570" spans="1:13" x14ac:dyDescent="0.25">
      <c r="A570" s="23"/>
      <c r="B570" s="23"/>
      <c r="C570" s="5"/>
      <c r="D570" s="5"/>
      <c r="E570" s="5"/>
      <c r="F570" s="5"/>
      <c r="G570" s="5"/>
      <c r="H570" s="5"/>
      <c r="I570" s="5"/>
      <c r="J570" s="5"/>
      <c r="K570" s="5"/>
      <c r="L570" s="5"/>
      <c r="M570" s="5"/>
    </row>
    <row r="571" spans="1:13" x14ac:dyDescent="0.25">
      <c r="A571" s="23"/>
      <c r="B571" s="23"/>
      <c r="C571" s="5"/>
      <c r="D571" s="5"/>
      <c r="E571" s="5"/>
      <c r="F571" s="5"/>
      <c r="G571" s="5"/>
      <c r="H571" s="5"/>
      <c r="I571" s="5"/>
      <c r="J571" s="5"/>
      <c r="K571" s="5"/>
      <c r="L571" s="5"/>
      <c r="M571" s="5"/>
    </row>
    <row r="572" spans="1:13" x14ac:dyDescent="0.25">
      <c r="A572" s="23"/>
      <c r="B572" s="23"/>
      <c r="C572" s="5"/>
      <c r="D572" s="5"/>
      <c r="E572" s="5"/>
      <c r="F572" s="5"/>
      <c r="G572" s="5"/>
      <c r="H572" s="5"/>
      <c r="I572" s="5"/>
      <c r="J572" s="5"/>
      <c r="K572" s="5"/>
      <c r="L572" s="5"/>
      <c r="M572" s="5"/>
    </row>
    <row r="573" spans="1:13" x14ac:dyDescent="0.25">
      <c r="A573" s="23"/>
      <c r="B573" s="23"/>
      <c r="C573" s="5"/>
      <c r="D573" s="5"/>
      <c r="E573" s="5"/>
      <c r="F573" s="5"/>
      <c r="G573" s="5"/>
      <c r="H573" s="5"/>
      <c r="I573" s="5"/>
      <c r="J573" s="5"/>
      <c r="K573" s="5"/>
      <c r="L573" s="5"/>
      <c r="M573" s="5"/>
    </row>
    <row r="574" spans="1:13" x14ac:dyDescent="0.25">
      <c r="A574" s="23"/>
      <c r="B574" s="23"/>
      <c r="C574" s="5"/>
      <c r="D574" s="5"/>
      <c r="E574" s="5"/>
      <c r="F574" s="5"/>
      <c r="G574" s="5"/>
      <c r="H574" s="5"/>
      <c r="I574" s="5"/>
      <c r="J574" s="5"/>
      <c r="K574" s="5"/>
      <c r="L574" s="5"/>
      <c r="M574" s="5"/>
    </row>
    <row r="575" spans="1:13" x14ac:dyDescent="0.25">
      <c r="A575" s="23"/>
      <c r="B575" s="23"/>
      <c r="C575" s="5"/>
      <c r="D575" s="5"/>
      <c r="E575" s="5"/>
      <c r="F575" s="5"/>
      <c r="G575" s="5"/>
      <c r="H575" s="5"/>
      <c r="I575" s="5"/>
      <c r="J575" s="5"/>
      <c r="K575" s="5"/>
      <c r="L575" s="5"/>
      <c r="M575" s="5"/>
    </row>
    <row r="576" spans="1:13" x14ac:dyDescent="0.25">
      <c r="A576" s="23"/>
      <c r="B576" s="23"/>
      <c r="C576" s="5"/>
      <c r="D576" s="5"/>
      <c r="E576" s="5"/>
      <c r="F576" s="5"/>
      <c r="G576" s="5"/>
      <c r="H576" s="5"/>
      <c r="I576" s="5"/>
      <c r="J576" s="5"/>
      <c r="K576" s="5"/>
      <c r="L576" s="5"/>
      <c r="M576" s="5"/>
    </row>
    <row r="577" spans="1:13" x14ac:dyDescent="0.25">
      <c r="A577" s="23"/>
      <c r="B577" s="23"/>
      <c r="C577" s="5"/>
      <c r="D577" s="5"/>
      <c r="E577" s="5"/>
      <c r="F577" s="5"/>
      <c r="G577" s="5"/>
      <c r="H577" s="5"/>
      <c r="I577" s="5"/>
      <c r="J577" s="5"/>
      <c r="K577" s="5"/>
      <c r="L577" s="5"/>
      <c r="M577" s="5"/>
    </row>
    <row r="578" spans="1:13" x14ac:dyDescent="0.25">
      <c r="A578" s="23"/>
      <c r="B578" s="23"/>
      <c r="C578" s="5"/>
      <c r="D578" s="5"/>
      <c r="E578" s="5"/>
      <c r="F578" s="5"/>
      <c r="G578" s="5"/>
      <c r="H578" s="5"/>
      <c r="I578" s="5"/>
      <c r="J578" s="5"/>
      <c r="K578" s="5"/>
      <c r="L578" s="5"/>
      <c r="M578" s="5"/>
    </row>
    <row r="579" spans="1:13" x14ac:dyDescent="0.25">
      <c r="A579" s="23"/>
      <c r="B579" s="23"/>
      <c r="C579" s="5"/>
      <c r="D579" s="5"/>
      <c r="E579" s="5"/>
      <c r="F579" s="5"/>
      <c r="G579" s="5"/>
      <c r="H579" s="5"/>
      <c r="I579" s="5"/>
      <c r="J579" s="5"/>
      <c r="K579" s="5"/>
      <c r="L579" s="5"/>
      <c r="M579" s="5"/>
    </row>
    <row r="580" spans="1:13" x14ac:dyDescent="0.25">
      <c r="A580" s="23"/>
      <c r="B580" s="23"/>
      <c r="C580" s="5"/>
      <c r="D580" s="5"/>
      <c r="E580" s="5"/>
      <c r="F580" s="5"/>
      <c r="G580" s="5"/>
      <c r="H580" s="5"/>
      <c r="I580" s="5"/>
      <c r="J580" s="5"/>
      <c r="K580" s="5"/>
      <c r="L580" s="5"/>
      <c r="M580" s="5"/>
    </row>
    <row r="581" spans="1:13" x14ac:dyDescent="0.25">
      <c r="A581" s="23"/>
      <c r="B581" s="23"/>
      <c r="C581" s="5"/>
      <c r="D581" s="5"/>
      <c r="E581" s="5"/>
      <c r="F581" s="5"/>
      <c r="G581" s="5"/>
      <c r="H581" s="5"/>
      <c r="I581" s="5"/>
      <c r="J581" s="5"/>
      <c r="K581" s="5"/>
      <c r="L581" s="5"/>
      <c r="M581" s="5"/>
    </row>
    <row r="582" spans="1:13" ht="13.5" customHeight="1" x14ac:dyDescent="0.25">
      <c r="A582" s="23"/>
      <c r="B582" s="23"/>
      <c r="C582" s="5"/>
      <c r="D582" s="5"/>
      <c r="E582" s="5"/>
      <c r="F582" s="5"/>
      <c r="G582" s="5"/>
      <c r="H582" s="5"/>
      <c r="I582" s="5"/>
      <c r="J582" s="5"/>
      <c r="K582" s="5"/>
      <c r="L582" s="5"/>
      <c r="M582" s="5"/>
    </row>
    <row r="583" spans="1:13" ht="12.75" customHeight="1" x14ac:dyDescent="0.25">
      <c r="A583" s="23"/>
      <c r="B583" s="23"/>
      <c r="C583" s="5"/>
      <c r="D583" s="5"/>
      <c r="E583" s="5"/>
      <c r="F583" s="5"/>
      <c r="G583" s="5"/>
      <c r="H583" s="5"/>
      <c r="I583" s="5"/>
      <c r="J583" s="5"/>
      <c r="K583" s="5"/>
      <c r="L583" s="5"/>
      <c r="M583" s="5"/>
    </row>
    <row r="584" spans="1:13" x14ac:dyDescent="0.25">
      <c r="A584" s="23"/>
      <c r="B584" s="23"/>
      <c r="C584" s="5"/>
      <c r="D584" s="5"/>
      <c r="E584" s="5"/>
      <c r="F584" s="5"/>
      <c r="G584" s="5"/>
      <c r="H584" s="5"/>
      <c r="I584" s="5"/>
      <c r="J584" s="5"/>
      <c r="K584" s="5"/>
      <c r="L584" s="5"/>
      <c r="M584" s="5"/>
    </row>
    <row r="585" spans="1:13" x14ac:dyDescent="0.25">
      <c r="A585" s="23"/>
      <c r="B585" s="23"/>
      <c r="C585" s="5"/>
      <c r="D585" s="5"/>
      <c r="E585" s="5"/>
      <c r="F585" s="5"/>
      <c r="G585" s="5"/>
      <c r="H585" s="5"/>
      <c r="I585" s="5"/>
      <c r="J585" s="5"/>
      <c r="K585" s="5"/>
      <c r="L585" s="5"/>
      <c r="M585" s="5"/>
    </row>
    <row r="586" spans="1:13" x14ac:dyDescent="0.25">
      <c r="A586" s="23"/>
      <c r="B586" s="23"/>
      <c r="C586" s="5"/>
      <c r="D586" s="24"/>
      <c r="E586" s="5"/>
      <c r="F586" s="5"/>
      <c r="G586" s="5"/>
      <c r="H586" s="5"/>
      <c r="I586" s="5"/>
      <c r="J586" s="5"/>
      <c r="K586" s="5"/>
      <c r="L586" s="5"/>
      <c r="M586" s="5"/>
    </row>
    <row r="587" spans="1:13" x14ac:dyDescent="0.25">
      <c r="A587" s="23"/>
      <c r="B587" s="23"/>
      <c r="C587" s="5"/>
      <c r="D587" s="24"/>
      <c r="E587" s="5"/>
      <c r="F587" s="5"/>
      <c r="G587" s="5"/>
      <c r="H587" s="5"/>
      <c r="I587" s="5"/>
      <c r="J587" s="5"/>
      <c r="K587" s="5"/>
      <c r="L587" s="5"/>
      <c r="M587" s="5"/>
    </row>
    <row r="588" spans="1:13" x14ac:dyDescent="0.25">
      <c r="A588" s="23"/>
      <c r="B588" s="23"/>
      <c r="C588" s="5"/>
      <c r="D588" s="24"/>
      <c r="E588" s="5"/>
      <c r="F588" s="5"/>
      <c r="G588" s="5"/>
      <c r="H588" s="5"/>
      <c r="I588" s="5"/>
      <c r="J588" s="5"/>
      <c r="K588" s="5"/>
      <c r="L588" s="5"/>
      <c r="M588" s="5"/>
    </row>
    <row r="589" spans="1:13" x14ac:dyDescent="0.25">
      <c r="A589" s="23"/>
      <c r="B589" s="23"/>
      <c r="C589" s="5"/>
      <c r="D589" s="5"/>
      <c r="E589" s="5"/>
      <c r="F589" s="5"/>
      <c r="G589" s="5"/>
      <c r="H589" s="5"/>
      <c r="I589" s="5"/>
      <c r="J589" s="5"/>
      <c r="K589" s="5"/>
      <c r="L589" s="5"/>
      <c r="M589" s="5"/>
    </row>
    <row r="590" spans="1:13" x14ac:dyDescent="0.25">
      <c r="A590" s="23"/>
      <c r="B590" s="23"/>
      <c r="C590" s="5"/>
      <c r="D590" s="5"/>
      <c r="E590" s="5"/>
      <c r="F590" s="5"/>
      <c r="G590" s="5"/>
      <c r="H590" s="5"/>
      <c r="I590" s="5"/>
      <c r="J590" s="5"/>
      <c r="K590" s="5"/>
      <c r="L590" s="5"/>
      <c r="M590" s="5"/>
    </row>
    <row r="591" spans="1:13" x14ac:dyDescent="0.25">
      <c r="A591" s="23"/>
      <c r="B591" s="23"/>
      <c r="C591" s="5"/>
      <c r="D591" s="5"/>
      <c r="E591" s="5"/>
      <c r="F591" s="5"/>
      <c r="G591" s="5"/>
      <c r="H591" s="5"/>
      <c r="I591" s="5"/>
      <c r="J591" s="5"/>
      <c r="K591" s="5"/>
      <c r="L591" s="5"/>
      <c r="M591" s="5"/>
    </row>
    <row r="592" spans="1:13" x14ac:dyDescent="0.25">
      <c r="A592" s="23"/>
      <c r="B592" s="23"/>
      <c r="C592" s="5"/>
      <c r="D592" s="5"/>
      <c r="E592" s="5"/>
      <c r="F592" s="5"/>
      <c r="G592" s="5"/>
      <c r="H592" s="5"/>
      <c r="I592" s="5"/>
      <c r="J592" s="5"/>
      <c r="K592" s="5"/>
      <c r="L592" s="5"/>
      <c r="M592" s="5"/>
    </row>
    <row r="593" spans="1:13" x14ac:dyDescent="0.25">
      <c r="A593" s="25"/>
      <c r="B593" s="25"/>
      <c r="C593" s="24"/>
      <c r="D593" s="24"/>
      <c r="E593" s="24"/>
      <c r="F593" s="24"/>
      <c r="G593" s="24"/>
      <c r="H593" s="24"/>
      <c r="I593" s="24"/>
      <c r="J593" s="24"/>
      <c r="K593" s="24"/>
      <c r="L593" s="24"/>
      <c r="M593" s="24"/>
    </row>
    <row r="594" spans="1:13" x14ac:dyDescent="0.25">
      <c r="A594" s="23"/>
      <c r="B594" s="23"/>
      <c r="C594" s="5"/>
      <c r="D594" s="5"/>
      <c r="E594" s="5"/>
      <c r="F594" s="5"/>
      <c r="G594" s="5"/>
      <c r="H594" s="5"/>
      <c r="I594" s="5"/>
      <c r="J594" s="5"/>
      <c r="K594" s="5"/>
      <c r="L594" s="5"/>
      <c r="M594" s="5"/>
    </row>
    <row r="595" spans="1:13" x14ac:dyDescent="0.25">
      <c r="A595" s="23"/>
      <c r="B595" s="23"/>
      <c r="C595" s="5"/>
      <c r="D595" s="5"/>
      <c r="E595" s="5"/>
      <c r="F595" s="5"/>
      <c r="G595" s="5"/>
      <c r="H595" s="5"/>
      <c r="I595" s="5"/>
      <c r="J595" s="5"/>
      <c r="K595" s="5"/>
      <c r="L595" s="5"/>
      <c r="M595" s="5"/>
    </row>
    <row r="596" spans="1:13" x14ac:dyDescent="0.25">
      <c r="A596" s="23"/>
      <c r="B596" s="23"/>
      <c r="C596" s="5"/>
      <c r="D596" s="5"/>
      <c r="E596" s="5"/>
      <c r="F596" s="5"/>
      <c r="G596" s="5"/>
      <c r="H596" s="5"/>
      <c r="I596" s="5"/>
      <c r="J596" s="5"/>
      <c r="K596" s="5"/>
      <c r="L596" s="5"/>
      <c r="M596" s="5"/>
    </row>
    <row r="597" spans="1:13" x14ac:dyDescent="0.25">
      <c r="A597" s="23"/>
      <c r="B597" s="23"/>
      <c r="C597" s="5"/>
      <c r="D597" s="5"/>
      <c r="E597" s="5"/>
      <c r="F597" s="5"/>
      <c r="G597" s="5"/>
      <c r="H597" s="5"/>
      <c r="I597" s="5"/>
      <c r="J597" s="5"/>
      <c r="K597" s="5"/>
      <c r="L597" s="5"/>
      <c r="M597" s="5"/>
    </row>
    <row r="598" spans="1:13" x14ac:dyDescent="0.25">
      <c r="A598" s="23"/>
      <c r="B598" s="23"/>
      <c r="C598" s="5"/>
      <c r="D598" s="5"/>
      <c r="E598" s="5"/>
      <c r="F598" s="5"/>
      <c r="G598" s="5"/>
      <c r="H598" s="5"/>
      <c r="I598" s="5"/>
      <c r="J598" s="5"/>
      <c r="K598" s="5"/>
      <c r="L598" s="5"/>
      <c r="M598" s="5"/>
    </row>
    <row r="599" spans="1:13" x14ac:dyDescent="0.25">
      <c r="A599" s="23"/>
      <c r="B599" s="23"/>
      <c r="C599" s="5"/>
      <c r="D599" s="5"/>
      <c r="E599" s="5"/>
      <c r="F599" s="5"/>
      <c r="G599" s="5"/>
      <c r="H599" s="5"/>
      <c r="I599" s="5"/>
      <c r="J599" s="5"/>
      <c r="K599" s="5"/>
      <c r="L599" s="5"/>
      <c r="M599" s="5"/>
    </row>
    <row r="600" spans="1:13" ht="12.75" customHeight="1" x14ac:dyDescent="0.25">
      <c r="A600" s="23"/>
      <c r="B600" s="23"/>
      <c r="C600" s="5"/>
      <c r="D600" s="24"/>
      <c r="E600" s="5"/>
      <c r="F600" s="5"/>
      <c r="G600" s="5"/>
      <c r="H600" s="5"/>
      <c r="I600" s="5"/>
      <c r="J600" s="5"/>
      <c r="K600" s="5"/>
      <c r="L600" s="5"/>
      <c r="M600" s="5"/>
    </row>
    <row r="601" spans="1:13" x14ac:dyDescent="0.25">
      <c r="A601" s="23"/>
      <c r="B601" s="23"/>
      <c r="C601" s="5"/>
      <c r="D601" s="5"/>
      <c r="E601" s="5"/>
      <c r="F601" s="5"/>
      <c r="G601" s="5"/>
      <c r="H601" s="5"/>
      <c r="I601" s="5"/>
      <c r="J601" s="5"/>
      <c r="K601" s="5"/>
      <c r="L601" s="5"/>
      <c r="M601" s="5"/>
    </row>
    <row r="602" spans="1:13" x14ac:dyDescent="0.25">
      <c r="A602" s="23"/>
      <c r="B602" s="23"/>
      <c r="C602" s="5"/>
      <c r="D602" s="5"/>
      <c r="E602" s="5"/>
      <c r="F602" s="5"/>
      <c r="G602" s="5"/>
      <c r="H602" s="5"/>
      <c r="I602" s="5"/>
      <c r="J602" s="5"/>
      <c r="K602" s="5"/>
      <c r="L602" s="5"/>
      <c r="M602" s="5"/>
    </row>
    <row r="603" spans="1:13" x14ac:dyDescent="0.25">
      <c r="A603" s="23"/>
      <c r="B603" s="23"/>
      <c r="C603" s="5"/>
      <c r="D603" s="5"/>
      <c r="E603" s="5"/>
      <c r="F603" s="5"/>
      <c r="G603" s="5"/>
      <c r="H603" s="5"/>
      <c r="I603" s="5"/>
      <c r="J603" s="5"/>
      <c r="K603" s="5"/>
      <c r="L603" s="5"/>
      <c r="M603" s="5"/>
    </row>
    <row r="604" spans="1:13" x14ac:dyDescent="0.25">
      <c r="A604" s="23"/>
      <c r="B604" s="23"/>
      <c r="C604" s="5"/>
      <c r="D604" s="5"/>
      <c r="E604" s="5"/>
      <c r="F604" s="5"/>
      <c r="G604" s="5"/>
      <c r="H604" s="5"/>
      <c r="I604" s="5"/>
      <c r="J604" s="5"/>
      <c r="K604" s="5"/>
      <c r="L604" s="5"/>
      <c r="M604" s="5"/>
    </row>
    <row r="605" spans="1:13" ht="25.5" customHeight="1" x14ac:dyDescent="0.25">
      <c r="A605" s="23"/>
      <c r="B605" s="23"/>
      <c r="C605" s="5"/>
      <c r="D605" s="5"/>
      <c r="E605" s="5"/>
      <c r="F605" s="5"/>
      <c r="G605" s="5"/>
      <c r="H605" s="5"/>
      <c r="I605" s="5"/>
      <c r="J605" s="5"/>
      <c r="K605" s="5"/>
      <c r="L605" s="5"/>
      <c r="M605" s="5"/>
    </row>
    <row r="606" spans="1:13" ht="25.5" customHeight="1" x14ac:dyDescent="0.25">
      <c r="A606" s="23"/>
      <c r="B606" s="23"/>
      <c r="C606" s="5"/>
      <c r="D606" s="5"/>
      <c r="E606" s="5"/>
      <c r="F606" s="5"/>
      <c r="G606" s="5"/>
      <c r="H606" s="5"/>
      <c r="I606" s="5"/>
      <c r="J606" s="5"/>
      <c r="K606" s="5"/>
      <c r="L606" s="5"/>
      <c r="M606" s="5"/>
    </row>
    <row r="607" spans="1:13" x14ac:dyDescent="0.25">
      <c r="A607" s="23"/>
      <c r="B607" s="23"/>
      <c r="C607" s="5"/>
      <c r="D607" s="24"/>
      <c r="E607" s="5"/>
      <c r="F607" s="5"/>
      <c r="G607" s="5"/>
      <c r="H607" s="5"/>
      <c r="I607" s="5"/>
      <c r="J607" s="5"/>
      <c r="K607" s="5"/>
      <c r="L607" s="5"/>
      <c r="M607" s="5"/>
    </row>
    <row r="608" spans="1:13" x14ac:dyDescent="0.25">
      <c r="A608" s="23"/>
      <c r="B608" s="23"/>
      <c r="C608" s="5"/>
      <c r="D608" s="24"/>
      <c r="E608" s="5"/>
      <c r="F608" s="5"/>
      <c r="G608" s="5"/>
      <c r="H608" s="5"/>
      <c r="I608" s="5"/>
      <c r="J608" s="5"/>
      <c r="K608" s="5"/>
      <c r="L608" s="5"/>
      <c r="M608" s="5"/>
    </row>
    <row r="609" spans="1:13" x14ac:dyDescent="0.25">
      <c r="A609" s="23"/>
      <c r="B609" s="23"/>
      <c r="C609" s="5"/>
      <c r="D609" s="24"/>
      <c r="E609" s="5"/>
      <c r="F609" s="5"/>
      <c r="G609" s="5"/>
      <c r="H609" s="5"/>
      <c r="I609" s="5"/>
      <c r="J609" s="5"/>
      <c r="K609" s="5"/>
      <c r="L609" s="5"/>
      <c r="M609" s="5"/>
    </row>
    <row r="610" spans="1:13" x14ac:dyDescent="0.25">
      <c r="A610" s="23"/>
      <c r="B610" s="23"/>
      <c r="C610" s="5"/>
      <c r="D610" s="5"/>
      <c r="E610" s="5"/>
      <c r="F610" s="5"/>
      <c r="G610" s="5"/>
      <c r="H610" s="5"/>
      <c r="I610" s="5"/>
      <c r="J610" s="5"/>
      <c r="K610" s="5"/>
      <c r="L610" s="5"/>
      <c r="M610" s="5"/>
    </row>
    <row r="611" spans="1:13" x14ac:dyDescent="0.25">
      <c r="A611" s="23"/>
      <c r="B611" s="23"/>
      <c r="C611" s="5"/>
      <c r="D611" s="24"/>
      <c r="E611" s="5"/>
      <c r="F611" s="5"/>
      <c r="G611" s="5"/>
      <c r="H611" s="5"/>
      <c r="I611" s="5"/>
      <c r="J611" s="5"/>
      <c r="K611" s="5"/>
      <c r="L611" s="5"/>
      <c r="M611" s="5"/>
    </row>
    <row r="612" spans="1:13" x14ac:dyDescent="0.25">
      <c r="A612" s="23"/>
      <c r="B612" s="23"/>
      <c r="C612" s="5"/>
      <c r="D612" s="5"/>
      <c r="E612" s="5"/>
      <c r="F612" s="5"/>
      <c r="G612" s="5"/>
      <c r="H612" s="5"/>
      <c r="I612" s="5"/>
      <c r="J612" s="5"/>
      <c r="K612" s="5"/>
      <c r="L612" s="5"/>
      <c r="M612" s="5"/>
    </row>
    <row r="613" spans="1:13" x14ac:dyDescent="0.25">
      <c r="A613" s="23"/>
      <c r="B613" s="23"/>
      <c r="C613" s="5"/>
      <c r="D613" s="5"/>
      <c r="E613" s="5"/>
      <c r="F613" s="5"/>
      <c r="G613" s="5"/>
      <c r="H613" s="5"/>
      <c r="I613" s="5"/>
      <c r="J613" s="5"/>
      <c r="K613" s="5"/>
      <c r="L613" s="5"/>
      <c r="M613" s="5"/>
    </row>
    <row r="614" spans="1:13" x14ac:dyDescent="0.25">
      <c r="A614" s="23"/>
      <c r="B614" s="23"/>
      <c r="C614" s="5"/>
      <c r="D614" s="5"/>
      <c r="E614" s="5"/>
      <c r="F614" s="5"/>
      <c r="G614" s="5"/>
      <c r="H614" s="5"/>
      <c r="I614" s="5"/>
      <c r="J614" s="5"/>
      <c r="K614" s="5"/>
      <c r="L614" s="5"/>
      <c r="M614" s="5"/>
    </row>
  </sheetData>
  <autoFilter ref="A2:M253" xr:uid="{00000000-0009-0000-0000-000001000000}">
    <sortState ref="A3:T251">
      <sortCondition ref="I2:I249"/>
    </sortState>
  </autoFilter>
  <mergeCells count="2">
    <mergeCell ref="A1:G1"/>
    <mergeCell ref="A21:M23"/>
  </mergeCells>
  <pageMargins left="0.33" right="0.26" top="0.2" bottom="0.2" header="0.2" footer="0.2"/>
  <pageSetup paperSize="9" scale="70" fitToWidth="0"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37"/>
  <sheetViews>
    <sheetView zoomScale="80" zoomScaleNormal="80" workbookViewId="0">
      <pane xSplit="3" ySplit="2" topLeftCell="F13" activePane="bottomRight" state="frozen"/>
      <selection pane="topRight" activeCell="C1" sqref="C1"/>
      <selection pane="bottomLeft" activeCell="A4" sqref="A4"/>
      <selection pane="bottomRight" activeCell="F23" sqref="F23"/>
    </sheetView>
  </sheetViews>
  <sheetFormatPr defaultRowHeight="12.5" x14ac:dyDescent="0.25"/>
  <cols>
    <col min="1" max="1" width="44" style="22" customWidth="1"/>
    <col min="2" max="2" width="10" style="22" customWidth="1"/>
    <col min="3" max="3" width="12.81640625" customWidth="1"/>
    <col min="4" max="4" width="10.81640625" customWidth="1"/>
    <col min="5" max="5" width="13.81640625" customWidth="1"/>
    <col min="6" max="6" width="62.1796875" customWidth="1"/>
    <col min="7" max="7" width="38.08984375" customWidth="1"/>
    <col min="8" max="8" width="22.90625" customWidth="1"/>
    <col min="9" max="9" width="12.08984375" hidden="1" customWidth="1"/>
    <col min="10" max="10" width="9.90625" hidden="1" customWidth="1"/>
    <col min="11" max="11" width="2.54296875" hidden="1" customWidth="1"/>
    <col min="12" max="12" width="5.1796875" hidden="1" customWidth="1"/>
    <col min="13" max="13" width="6.36328125" hidden="1" customWidth="1"/>
    <col min="14" max="14" width="4.81640625" hidden="1" customWidth="1"/>
    <col min="15" max="15" width="4.453125" hidden="1" customWidth="1"/>
    <col min="16" max="16" width="66" customWidth="1"/>
    <col min="17" max="17" width="11.81640625" customWidth="1"/>
    <col min="18" max="18" width="17.81640625" customWidth="1"/>
    <col min="19" max="19" width="0.1796875" hidden="1" customWidth="1"/>
    <col min="20" max="20" width="0.1796875" customWidth="1"/>
    <col min="21" max="21" width="14.81640625" customWidth="1"/>
    <col min="22" max="22" width="0.1796875" customWidth="1"/>
    <col min="23" max="23" width="16" customWidth="1"/>
    <col min="24" max="24" width="0.81640625" hidden="1" customWidth="1"/>
    <col min="25" max="25" width="17" hidden="1" customWidth="1"/>
    <col min="26" max="26" width="17.81640625" hidden="1" customWidth="1"/>
    <col min="27" max="27" width="15" hidden="1" customWidth="1"/>
    <col min="28" max="28" width="0.453125" hidden="1" customWidth="1"/>
    <col min="29" max="29" width="13.1796875" hidden="1" customWidth="1"/>
    <col min="30" max="30" width="0.1796875" hidden="1" customWidth="1"/>
    <col min="31" max="31" width="6.81640625" hidden="1" customWidth="1"/>
    <col min="32" max="32" width="11.453125" hidden="1" customWidth="1"/>
    <col min="33" max="33" width="19.453125" customWidth="1"/>
    <col min="34" max="34" width="8.1796875" style="21" customWidth="1"/>
    <col min="35" max="35" width="9.54296875" style="172" customWidth="1"/>
    <col min="37" max="37" width="17" bestFit="1" customWidth="1"/>
  </cols>
  <sheetData>
    <row r="1" spans="1:37" ht="18.75" customHeight="1" x14ac:dyDescent="0.25">
      <c r="A1" s="455" t="s">
        <v>489</v>
      </c>
      <c r="B1" s="455"/>
      <c r="C1" s="455"/>
      <c r="D1" s="455"/>
      <c r="E1" s="455"/>
      <c r="F1" s="455"/>
      <c r="G1" s="455"/>
      <c r="H1" s="455"/>
      <c r="I1" s="455"/>
      <c r="J1" s="455"/>
      <c r="K1" s="455"/>
      <c r="L1" s="455"/>
      <c r="M1" s="455"/>
      <c r="N1" s="455"/>
      <c r="O1" s="455"/>
      <c r="P1" s="455"/>
      <c r="Q1" s="462" t="s">
        <v>130</v>
      </c>
      <c r="R1" s="462"/>
      <c r="S1" s="462"/>
      <c r="T1" s="462"/>
      <c r="U1" s="462"/>
      <c r="V1" s="462"/>
      <c r="W1" s="462"/>
      <c r="X1" s="462"/>
      <c r="Y1" s="462"/>
      <c r="Z1" s="462"/>
      <c r="AA1" s="462"/>
      <c r="AB1" s="462"/>
      <c r="AC1" s="462"/>
      <c r="AD1" s="462"/>
      <c r="AE1" s="462"/>
      <c r="AF1" s="462"/>
      <c r="AG1" s="462"/>
      <c r="AH1" s="462"/>
      <c r="AI1" s="462"/>
    </row>
    <row r="2" spans="1:37" ht="60.65" customHeight="1" x14ac:dyDescent="0.25">
      <c r="A2" s="110" t="s">
        <v>129</v>
      </c>
      <c r="B2" s="116" t="s">
        <v>128</v>
      </c>
      <c r="C2" s="181" t="s">
        <v>127</v>
      </c>
      <c r="D2" s="124" t="s">
        <v>312</v>
      </c>
      <c r="E2" s="124" t="s">
        <v>126</v>
      </c>
      <c r="F2" s="111" t="s">
        <v>488</v>
      </c>
      <c r="G2" s="346" t="s">
        <v>344</v>
      </c>
      <c r="H2" s="115" t="s">
        <v>486</v>
      </c>
      <c r="I2" s="113" t="s">
        <v>125</v>
      </c>
      <c r="J2" s="112" t="s">
        <v>124</v>
      </c>
      <c r="K2" s="111" t="s">
        <v>123</v>
      </c>
      <c r="L2" s="105" t="s">
        <v>122</v>
      </c>
      <c r="M2" s="105" t="s">
        <v>121</v>
      </c>
      <c r="N2" s="105" t="s">
        <v>120</v>
      </c>
      <c r="O2" s="105" t="s">
        <v>119</v>
      </c>
      <c r="P2" s="110" t="s">
        <v>483</v>
      </c>
      <c r="Q2" s="109" t="s">
        <v>515</v>
      </c>
      <c r="R2" s="109" t="s">
        <v>516</v>
      </c>
      <c r="S2" s="106" t="s">
        <v>118</v>
      </c>
      <c r="T2" s="106" t="s">
        <v>117</v>
      </c>
      <c r="U2" s="111" t="s">
        <v>428</v>
      </c>
      <c r="V2" s="108" t="s">
        <v>116</v>
      </c>
      <c r="W2" s="108" t="s">
        <v>429</v>
      </c>
      <c r="X2" s="107" t="s">
        <v>115</v>
      </c>
      <c r="Y2" s="107" t="s">
        <v>114</v>
      </c>
      <c r="Z2" s="107" t="s">
        <v>166</v>
      </c>
      <c r="AA2" s="107" t="s">
        <v>113</v>
      </c>
      <c r="AB2" s="106" t="s">
        <v>112</v>
      </c>
      <c r="AC2" s="106" t="s">
        <v>111</v>
      </c>
      <c r="AD2" s="105" t="s">
        <v>110</v>
      </c>
      <c r="AE2" s="105" t="s">
        <v>109</v>
      </c>
      <c r="AF2" s="105" t="s">
        <v>108</v>
      </c>
      <c r="AG2" s="104" t="s">
        <v>107</v>
      </c>
      <c r="AH2" s="104" t="s">
        <v>107</v>
      </c>
    </row>
    <row r="3" spans="1:37" ht="33.5" customHeight="1" x14ac:dyDescent="0.25">
      <c r="A3" s="93" t="s">
        <v>106</v>
      </c>
      <c r="B3" s="93"/>
      <c r="C3" s="92" t="s">
        <v>105</v>
      </c>
      <c r="D3" s="92" t="s">
        <v>320</v>
      </c>
      <c r="E3" s="92" t="s">
        <v>104</v>
      </c>
      <c r="F3" s="341" t="s">
        <v>103</v>
      </c>
      <c r="G3" s="344" t="s">
        <v>71</v>
      </c>
      <c r="H3" s="341" t="s">
        <v>102</v>
      </c>
      <c r="I3" s="254" t="s">
        <v>101</v>
      </c>
      <c r="J3" s="90"/>
      <c r="K3" s="252" t="str">
        <f>'srovnání účinností'!M12</f>
        <v>3. (non TNFi, IL-12/23i) s PsA  (samotná PsA nehrazena)                                                     4. (non TNFi, IL-12/23i) bez PsA</v>
      </c>
      <c r="L3" s="252" t="str">
        <f>'srovnání účinností'!M12</f>
        <v>3. (non TNFi, IL-12/23i) s PsA  (samotná PsA nehrazena)                                                     4. (non TNFi, IL-12/23i) bez PsA</v>
      </c>
      <c r="M3" s="252" t="str">
        <f>'srovnání účinností'!M12</f>
        <v>3. (non TNFi, IL-12/23i) s PsA  (samotná PsA nehrazena)                                                     4. (non TNFi, IL-12/23i) bez PsA</v>
      </c>
      <c r="N3" s="252" t="str">
        <f>'srovnání účinností'!M12</f>
        <v>3. (non TNFi, IL-12/23i) s PsA  (samotná PsA nehrazena)                                                     4. (non TNFi, IL-12/23i) bez PsA</v>
      </c>
      <c r="O3" s="252" t="str">
        <f>'srovnání účinností'!M12</f>
        <v>3. (non TNFi, IL-12/23i) s PsA  (samotná PsA nehrazena)                                                     4. (non TNFi, IL-12/23i) bez PsA</v>
      </c>
      <c r="P3" s="341" t="s">
        <v>100</v>
      </c>
      <c r="Q3" s="88">
        <v>62676.91</v>
      </c>
      <c r="R3" s="88">
        <v>61806.93</v>
      </c>
      <c r="S3" s="87">
        <f>PRODUCT(Q3, 2)</f>
        <v>125353.82</v>
      </c>
      <c r="T3" s="87">
        <f>PRODUCT(R3, 2)</f>
        <v>123613.86</v>
      </c>
      <c r="U3" s="87">
        <f>PRODUCT(R3, 3)</f>
        <v>185420.79</v>
      </c>
      <c r="V3" s="87">
        <f>PRODUCT(Q3, 4.333)</f>
        <v>271579.05103000003</v>
      </c>
      <c r="W3" s="87">
        <f>PRODUCT(R3, 4.333)</f>
        <v>267809.42769000004</v>
      </c>
      <c r="X3" s="101" t="s">
        <v>176</v>
      </c>
      <c r="Y3" s="101" t="s">
        <v>202</v>
      </c>
      <c r="Z3" s="101" t="s">
        <v>159</v>
      </c>
      <c r="AA3" s="101" t="s">
        <v>68</v>
      </c>
      <c r="AB3" s="84" t="s">
        <v>152</v>
      </c>
      <c r="AC3" s="84" t="s">
        <v>99</v>
      </c>
      <c r="AD3" s="90"/>
      <c r="AE3" s="90"/>
      <c r="AF3" s="90"/>
      <c r="AG3" s="100" t="s">
        <v>98</v>
      </c>
    </row>
    <row r="4" spans="1:37" ht="25.5" customHeight="1" x14ac:dyDescent="0.25">
      <c r="A4" s="93" t="s">
        <v>97</v>
      </c>
      <c r="B4" s="93"/>
      <c r="C4" s="92" t="s">
        <v>96</v>
      </c>
      <c r="D4" s="92" t="s">
        <v>321</v>
      </c>
      <c r="E4" s="92" t="s">
        <v>89</v>
      </c>
      <c r="F4" s="341" t="s">
        <v>95</v>
      </c>
      <c r="G4" s="344" t="s">
        <v>71</v>
      </c>
      <c r="H4" s="341" t="s">
        <v>94</v>
      </c>
      <c r="I4" s="273" t="s">
        <v>274</v>
      </c>
      <c r="J4" s="90"/>
      <c r="K4" s="252" t="s">
        <v>246</v>
      </c>
      <c r="L4" s="252" t="s">
        <v>246</v>
      </c>
      <c r="M4" s="252" t="s">
        <v>246</v>
      </c>
      <c r="N4" s="252" t="s">
        <v>246</v>
      </c>
      <c r="O4" s="252" t="s">
        <v>246</v>
      </c>
      <c r="P4" s="344" t="s">
        <v>93</v>
      </c>
      <c r="Q4" s="88">
        <v>44258.239999999998</v>
      </c>
      <c r="R4" s="88">
        <f>Q4-AI4</f>
        <v>42045.328000000001</v>
      </c>
      <c r="S4" s="87">
        <f>SUM(PRODUCT(Q4/2, 6),Q4)</f>
        <v>177032.95999999999</v>
      </c>
      <c r="T4" s="87">
        <f>SUM(PRODUCT(R4/2, 6),R4)</f>
        <v>168181.31200000001</v>
      </c>
      <c r="U4" s="87">
        <f>SUM(PRODUCT(R4/2, 7),R4)</f>
        <v>189203.97600000002</v>
      </c>
      <c r="V4" s="87">
        <f>PRODUCT(Q4, 6.5)</f>
        <v>287678.56</v>
      </c>
      <c r="W4" s="87">
        <f>PRODUCT(R4, 6.5)</f>
        <v>273294.63199999998</v>
      </c>
      <c r="X4" s="101" t="s">
        <v>213</v>
      </c>
      <c r="Y4" s="101" t="s">
        <v>207</v>
      </c>
      <c r="Z4" s="101" t="s">
        <v>149</v>
      </c>
      <c r="AA4" s="101" t="s">
        <v>68</v>
      </c>
      <c r="AB4" s="84" t="s">
        <v>153</v>
      </c>
      <c r="AC4" s="84" t="s">
        <v>92</v>
      </c>
      <c r="AD4" s="90"/>
      <c r="AE4" s="90"/>
      <c r="AF4" s="90"/>
      <c r="AG4" s="247" t="s">
        <v>520</v>
      </c>
      <c r="AH4" s="21">
        <v>0.05</v>
      </c>
      <c r="AI4" s="173">
        <f>AH4*Q4</f>
        <v>2212.9119999999998</v>
      </c>
    </row>
    <row r="5" spans="1:37" ht="24" customHeight="1" x14ac:dyDescent="0.25">
      <c r="A5" s="93" t="s">
        <v>91</v>
      </c>
      <c r="B5" s="93"/>
      <c r="C5" s="92" t="s">
        <v>90</v>
      </c>
      <c r="D5" s="92" t="s">
        <v>322</v>
      </c>
      <c r="E5" s="92" t="s">
        <v>89</v>
      </c>
      <c r="F5" s="341" t="s">
        <v>88</v>
      </c>
      <c r="G5" s="344" t="s">
        <v>87</v>
      </c>
      <c r="H5" s="341" t="s">
        <v>86</v>
      </c>
      <c r="I5" s="90" t="s">
        <v>85</v>
      </c>
      <c r="J5" s="90"/>
      <c r="K5" s="252" t="s">
        <v>209</v>
      </c>
      <c r="L5" s="252" t="s">
        <v>209</v>
      </c>
      <c r="M5" s="252" t="s">
        <v>209</v>
      </c>
      <c r="N5" s="252" t="s">
        <v>209</v>
      </c>
      <c r="O5" s="252" t="s">
        <v>209</v>
      </c>
      <c r="P5" s="341" t="s">
        <v>84</v>
      </c>
      <c r="Q5" s="88">
        <v>22487.200000000001</v>
      </c>
      <c r="R5" s="88">
        <f>Q5-AI5</f>
        <v>20688.224000000002</v>
      </c>
      <c r="S5" s="87">
        <f>PRODUCT(Q5,5)</f>
        <v>112436</v>
      </c>
      <c r="T5" s="87">
        <f>PRODUCT(R5,5)</f>
        <v>103441.12000000001</v>
      </c>
      <c r="U5" s="87">
        <f>PRODUCT(R5,7)</f>
        <v>144817.56800000003</v>
      </c>
      <c r="V5" s="87">
        <f>PRODUCT(Q5, 12)</f>
        <v>269846.40000000002</v>
      </c>
      <c r="W5" s="87">
        <f>PRODUCT(R5, 12)</f>
        <v>248258.68800000002</v>
      </c>
      <c r="X5" s="101" t="s">
        <v>175</v>
      </c>
      <c r="Y5" s="101" t="s">
        <v>205</v>
      </c>
      <c r="Z5" s="101" t="s">
        <v>160</v>
      </c>
      <c r="AA5" s="101" t="s">
        <v>68</v>
      </c>
      <c r="AB5" s="84" t="s">
        <v>154</v>
      </c>
      <c r="AC5" s="84" t="s">
        <v>83</v>
      </c>
      <c r="AD5" s="90"/>
      <c r="AE5" s="90"/>
      <c r="AF5" s="90"/>
      <c r="AG5" s="340" t="s">
        <v>518</v>
      </c>
      <c r="AH5" s="21">
        <v>0.08</v>
      </c>
      <c r="AI5" s="173">
        <f t="shared" ref="AI5:AI20" si="0">AH5*Q5</f>
        <v>1798.9760000000001</v>
      </c>
    </row>
    <row r="6" spans="1:37" ht="24" customHeight="1" x14ac:dyDescent="0.25">
      <c r="A6" s="93" t="s">
        <v>82</v>
      </c>
      <c r="B6" s="93"/>
      <c r="C6" s="92" t="s">
        <v>81</v>
      </c>
      <c r="D6" s="92" t="s">
        <v>323</v>
      </c>
      <c r="E6" s="92" t="s">
        <v>80</v>
      </c>
      <c r="F6" s="341" t="s">
        <v>72</v>
      </c>
      <c r="G6" s="344" t="s">
        <v>71</v>
      </c>
      <c r="H6" s="341" t="s">
        <v>79</v>
      </c>
      <c r="I6" s="90"/>
      <c r="J6" s="90"/>
      <c r="K6" s="252" t="s">
        <v>78</v>
      </c>
      <c r="L6" s="252" t="s">
        <v>78</v>
      </c>
      <c r="M6" s="252" t="s">
        <v>78</v>
      </c>
      <c r="N6" s="252" t="s">
        <v>78</v>
      </c>
      <c r="O6" s="252" t="s">
        <v>78</v>
      </c>
      <c r="P6" s="344" t="s">
        <v>77</v>
      </c>
      <c r="Q6" s="88">
        <v>20927.28</v>
      </c>
      <c r="R6" s="88">
        <f>Q6-AI6</f>
        <v>18248.588159999999</v>
      </c>
      <c r="S6" s="87">
        <f>PRODUCT(Q6, 1.5)</f>
        <v>31390.92</v>
      </c>
      <c r="T6" s="87">
        <f>PRODUCT(R6, 1.5)</f>
        <v>27372.882239999999</v>
      </c>
      <c r="U6" s="87">
        <f>PRODUCT(R6, 5)</f>
        <v>91242.940799999997</v>
      </c>
      <c r="V6" s="87">
        <f>PRODUCT(Q6,13)</f>
        <v>272054.64</v>
      </c>
      <c r="W6" s="87">
        <f>PRODUCT(R6,13)</f>
        <v>237231.64607999998</v>
      </c>
      <c r="X6" s="101" t="s">
        <v>212</v>
      </c>
      <c r="Y6" s="101" t="s">
        <v>206</v>
      </c>
      <c r="Z6" s="101" t="s">
        <v>151</v>
      </c>
      <c r="AA6" s="101" t="s">
        <v>150</v>
      </c>
      <c r="AB6" s="84" t="s">
        <v>155</v>
      </c>
      <c r="AC6" s="84" t="s">
        <v>76</v>
      </c>
      <c r="AD6" s="90"/>
      <c r="AE6" s="90"/>
      <c r="AF6" s="90"/>
      <c r="AG6" s="248" t="s">
        <v>519</v>
      </c>
      <c r="AH6" s="168">
        <v>0.128</v>
      </c>
      <c r="AI6" s="173">
        <f t="shared" si="0"/>
        <v>2678.69184</v>
      </c>
      <c r="AJ6" s="176">
        <v>812523.99999999977</v>
      </c>
      <c r="AK6" s="177"/>
    </row>
    <row r="7" spans="1:37" ht="23.25" customHeight="1" x14ac:dyDescent="0.25">
      <c r="A7" s="93" t="s">
        <v>75</v>
      </c>
      <c r="B7" s="93"/>
      <c r="C7" s="92" t="s">
        <v>74</v>
      </c>
      <c r="D7" s="92" t="s">
        <v>320</v>
      </c>
      <c r="E7" s="92" t="s">
        <v>73</v>
      </c>
      <c r="F7" s="341" t="s">
        <v>72</v>
      </c>
      <c r="G7" s="344" t="s">
        <v>71</v>
      </c>
      <c r="H7" s="341" t="s">
        <v>70</v>
      </c>
      <c r="I7" s="254" t="s">
        <v>275</v>
      </c>
      <c r="J7" s="90"/>
      <c r="K7" s="252" t="s">
        <v>210</v>
      </c>
      <c r="L7" s="252"/>
      <c r="M7" s="252"/>
      <c r="N7" s="252"/>
      <c r="O7" s="252" t="s">
        <v>210</v>
      </c>
      <c r="P7" s="344" t="s">
        <v>69</v>
      </c>
      <c r="Q7" s="88">
        <v>46121.61</v>
      </c>
      <c r="R7" s="88">
        <f>Q7-AI7</f>
        <v>46121.61</v>
      </c>
      <c r="S7" s="87">
        <f>PRODUCT(Q7, 2)</f>
        <v>92243.22</v>
      </c>
      <c r="T7" s="87">
        <f>PRODUCT(33974, 2)</f>
        <v>67948</v>
      </c>
      <c r="U7" s="87">
        <f>PRODUCT(R7, 3)</f>
        <v>138364.83000000002</v>
      </c>
      <c r="V7" s="87">
        <f>PRODUCT(R7, 6.7)</f>
        <v>309014.78700000001</v>
      </c>
      <c r="W7" s="345">
        <f>V7</f>
        <v>309014.78700000001</v>
      </c>
      <c r="X7" s="103" t="s">
        <v>216</v>
      </c>
      <c r="Y7" s="103" t="s">
        <v>196</v>
      </c>
      <c r="Z7" s="101" t="s">
        <v>161</v>
      </c>
      <c r="AA7" s="101" t="s">
        <v>68</v>
      </c>
      <c r="AB7" s="84" t="s">
        <v>156</v>
      </c>
      <c r="AC7" s="84" t="s">
        <v>67</v>
      </c>
      <c r="AD7" s="90"/>
      <c r="AE7" s="90"/>
      <c r="AF7" s="90"/>
      <c r="AG7" s="248"/>
      <c r="AI7" s="173">
        <f t="shared" si="0"/>
        <v>0</v>
      </c>
    </row>
    <row r="8" spans="1:37" ht="25.5" customHeight="1" x14ac:dyDescent="0.25">
      <c r="A8" s="250" t="s">
        <v>333</v>
      </c>
      <c r="B8" s="93"/>
      <c r="C8" s="348" t="s">
        <v>332</v>
      </c>
      <c r="D8" s="92" t="s">
        <v>324</v>
      </c>
      <c r="E8" s="92" t="s">
        <v>66</v>
      </c>
      <c r="F8" s="437" t="s">
        <v>475</v>
      </c>
      <c r="G8" s="98"/>
      <c r="H8" s="347" t="s">
        <v>476</v>
      </c>
      <c r="I8" s="254" t="s">
        <v>275</v>
      </c>
      <c r="J8" s="90"/>
      <c r="K8" s="252" t="s">
        <v>64</v>
      </c>
      <c r="L8" s="252"/>
      <c r="M8" s="252" t="s">
        <v>65</v>
      </c>
      <c r="N8" s="252" t="s">
        <v>65</v>
      </c>
      <c r="O8" s="252" t="s">
        <v>64</v>
      </c>
      <c r="P8" s="344" t="s">
        <v>63</v>
      </c>
      <c r="Q8" s="88">
        <v>9817.36</v>
      </c>
      <c r="R8" s="88">
        <f t="shared" ref="R8:R31" si="1">Q8-AI8</f>
        <v>9817.36</v>
      </c>
      <c r="S8" s="87">
        <f>PRODUCT(6311, 0.333)</f>
        <v>2101.5630000000001</v>
      </c>
      <c r="T8" s="87">
        <f>PRODUCT(6311, 0.333)</f>
        <v>2101.5630000000001</v>
      </c>
      <c r="U8" s="87">
        <f>6264.25+(R8*3.5)</f>
        <v>40625.01</v>
      </c>
      <c r="V8" s="87">
        <f>PRODUCT(Q8, 13.04)</f>
        <v>128018.3744</v>
      </c>
      <c r="W8" s="87">
        <f>PRODUCT(R8, 13.04)</f>
        <v>128018.3744</v>
      </c>
      <c r="X8" s="101" t="s">
        <v>177</v>
      </c>
      <c r="Y8" s="101" t="s">
        <v>197</v>
      </c>
      <c r="Z8" s="101" t="s">
        <v>162</v>
      </c>
      <c r="AA8" s="101" t="s">
        <v>158</v>
      </c>
      <c r="AB8" s="84" t="s">
        <v>157</v>
      </c>
      <c r="AC8" s="84" t="s">
        <v>62</v>
      </c>
      <c r="AD8" s="90"/>
      <c r="AE8" s="90"/>
      <c r="AF8" s="90"/>
      <c r="AG8" s="248"/>
      <c r="AI8" s="173">
        <f t="shared" si="0"/>
        <v>0</v>
      </c>
    </row>
    <row r="9" spans="1:37" ht="0.5" customHeight="1" x14ac:dyDescent="0.25">
      <c r="A9" s="250" t="s">
        <v>236</v>
      </c>
      <c r="B9" s="91" t="s">
        <v>39</v>
      </c>
      <c r="C9" s="92" t="s">
        <v>17</v>
      </c>
      <c r="D9" s="92"/>
      <c r="E9" s="92" t="s">
        <v>38</v>
      </c>
      <c r="F9" s="89" t="s">
        <v>37</v>
      </c>
      <c r="G9" s="82"/>
      <c r="H9" s="82"/>
      <c r="I9" s="90" t="s">
        <v>55</v>
      </c>
      <c r="J9" s="82"/>
      <c r="K9" s="92" t="s">
        <v>245</v>
      </c>
      <c r="L9" s="92" t="s">
        <v>245</v>
      </c>
      <c r="M9" s="92" t="s">
        <v>245</v>
      </c>
      <c r="N9" s="92" t="s">
        <v>245</v>
      </c>
      <c r="O9" s="92" t="s">
        <v>245</v>
      </c>
      <c r="P9" s="341" t="s">
        <v>54</v>
      </c>
      <c r="Q9" s="88">
        <v>4913</v>
      </c>
      <c r="R9" s="88">
        <f t="shared" si="1"/>
        <v>4913</v>
      </c>
      <c r="S9" s="87">
        <f>PRODUCT(Q9, 10.5)</f>
        <v>51586.5</v>
      </c>
      <c r="T9" s="87">
        <f>PRODUCT(R9, 10.5)</f>
        <v>51586.5</v>
      </c>
      <c r="U9" s="87">
        <f>PRODUCT(R9, 14)</f>
        <v>68782</v>
      </c>
      <c r="V9" s="87">
        <f>PRODUCT(Q9, 22.75)</f>
        <v>111770.75</v>
      </c>
      <c r="W9" s="87">
        <f>PRODUCT(R9, 22.75)</f>
        <v>111770.75</v>
      </c>
      <c r="X9" s="85" t="s">
        <v>200</v>
      </c>
      <c r="Y9" s="85" t="s">
        <v>239</v>
      </c>
      <c r="Z9" s="85" t="s">
        <v>165</v>
      </c>
      <c r="AA9" s="85" t="s">
        <v>164</v>
      </c>
      <c r="AB9" s="84" t="s">
        <v>163</v>
      </c>
      <c r="AC9" s="83" t="s">
        <v>53</v>
      </c>
      <c r="AD9" s="82"/>
      <c r="AE9" s="82"/>
      <c r="AF9" s="82"/>
      <c r="AG9" s="249"/>
      <c r="AI9" s="173">
        <f t="shared" si="0"/>
        <v>0</v>
      </c>
    </row>
    <row r="10" spans="1:37" ht="24.5" hidden="1" customHeight="1" x14ac:dyDescent="0.25">
      <c r="A10" s="250" t="s">
        <v>443</v>
      </c>
      <c r="B10" s="91" t="s">
        <v>39</v>
      </c>
      <c r="C10" s="92" t="s">
        <v>17</v>
      </c>
      <c r="D10" s="92" t="s">
        <v>325</v>
      </c>
      <c r="E10" s="92" t="s">
        <v>38</v>
      </c>
      <c r="F10" s="341" t="s">
        <v>37</v>
      </c>
      <c r="G10" s="82"/>
      <c r="H10" s="82"/>
      <c r="I10" s="90" t="s">
        <v>55</v>
      </c>
      <c r="J10" s="82"/>
      <c r="K10" s="92" t="s">
        <v>245</v>
      </c>
      <c r="L10" s="92" t="s">
        <v>245</v>
      </c>
      <c r="M10" s="92" t="s">
        <v>245</v>
      </c>
      <c r="N10" s="92" t="s">
        <v>245</v>
      </c>
      <c r="O10" s="92" t="s">
        <v>245</v>
      </c>
      <c r="P10" s="341" t="s">
        <v>54</v>
      </c>
      <c r="Q10" s="88">
        <v>3302.49</v>
      </c>
      <c r="R10" s="88">
        <f t="shared" si="1"/>
        <v>2608.9670999999998</v>
      </c>
      <c r="S10" s="87">
        <f>PRODUCT(Q10, 10.5)</f>
        <v>34676.144999999997</v>
      </c>
      <c r="T10" s="87">
        <f>PRODUCT(R10, 10.5)</f>
        <v>27394.154549999999</v>
      </c>
      <c r="U10" s="87">
        <f>(PRODUCT(R10, 16))+(4*1600)</f>
        <v>48143.473599999998</v>
      </c>
      <c r="V10" s="87">
        <f>PRODUCT(Q10, 22.75)</f>
        <v>75131.647499999992</v>
      </c>
      <c r="W10" s="87">
        <f>(PRODUCT(R10, 26.7))+(6.675*1600)</f>
        <v>80339.421569999991</v>
      </c>
      <c r="X10" s="85" t="s">
        <v>242</v>
      </c>
      <c r="Y10" s="85" t="s">
        <v>239</v>
      </c>
      <c r="Z10" s="85" t="s">
        <v>165</v>
      </c>
      <c r="AA10" s="85" t="s">
        <v>164</v>
      </c>
      <c r="AB10" s="84" t="s">
        <v>163</v>
      </c>
      <c r="AC10" s="83" t="s">
        <v>53</v>
      </c>
      <c r="AD10" s="82"/>
      <c r="AE10" s="82"/>
      <c r="AF10" s="82"/>
      <c r="AG10" s="247"/>
      <c r="AH10" s="21">
        <v>0.21</v>
      </c>
      <c r="AI10" s="173">
        <f t="shared" si="0"/>
        <v>693.52289999999994</v>
      </c>
    </row>
    <row r="11" spans="1:37" ht="23.25" customHeight="1" x14ac:dyDescent="0.25">
      <c r="A11" s="93" t="s">
        <v>253</v>
      </c>
      <c r="B11" s="91" t="s">
        <v>45</v>
      </c>
      <c r="C11" s="92" t="s">
        <v>19</v>
      </c>
      <c r="D11" s="92" t="s">
        <v>325</v>
      </c>
      <c r="E11" s="92" t="s">
        <v>38</v>
      </c>
      <c r="F11" s="341" t="s">
        <v>276</v>
      </c>
      <c r="G11" s="97"/>
      <c r="H11" s="97"/>
      <c r="I11" s="98" t="s">
        <v>59</v>
      </c>
      <c r="J11" s="90" t="s">
        <v>58</v>
      </c>
      <c r="K11" s="92" t="s">
        <v>211</v>
      </c>
      <c r="L11" s="92" t="s">
        <v>42</v>
      </c>
      <c r="M11" s="252"/>
      <c r="N11" s="92" t="s">
        <v>47</v>
      </c>
      <c r="O11" s="92" t="s">
        <v>211</v>
      </c>
      <c r="P11" s="344" t="s">
        <v>226</v>
      </c>
      <c r="Q11" s="88">
        <v>5936</v>
      </c>
      <c r="R11" s="88">
        <f t="shared" si="1"/>
        <v>5936</v>
      </c>
      <c r="S11" s="87"/>
      <c r="T11" s="87"/>
      <c r="U11" s="87">
        <f>PRODUCT(R11, 6)</f>
        <v>35616</v>
      </c>
      <c r="V11" s="87">
        <f>PRODUCT(Q11, 26)</f>
        <v>154336</v>
      </c>
      <c r="W11" s="87">
        <f>PRODUCT(R11, 13)</f>
        <v>77168</v>
      </c>
      <c r="X11" s="85" t="s">
        <v>178</v>
      </c>
      <c r="Y11" s="85" t="s">
        <v>217</v>
      </c>
      <c r="Z11" s="85" t="s">
        <v>182</v>
      </c>
      <c r="AA11" s="85" t="s">
        <v>181</v>
      </c>
      <c r="AB11" s="84" t="s">
        <v>185</v>
      </c>
      <c r="AC11" s="91" t="s">
        <v>56</v>
      </c>
      <c r="AD11" s="97"/>
      <c r="AE11" s="97"/>
      <c r="AF11" s="97"/>
      <c r="AG11" s="248" t="s">
        <v>517</v>
      </c>
      <c r="AH11" s="178">
        <v>0</v>
      </c>
      <c r="AI11" s="173">
        <f>AH11*Q11</f>
        <v>0</v>
      </c>
    </row>
    <row r="12" spans="1:37" ht="3.5" hidden="1" customHeight="1" x14ac:dyDescent="0.25">
      <c r="A12" s="93" t="s">
        <v>60</v>
      </c>
      <c r="B12" s="91" t="s">
        <v>39</v>
      </c>
      <c r="C12" s="92" t="s">
        <v>19</v>
      </c>
      <c r="D12" s="92" t="s">
        <v>328</v>
      </c>
      <c r="E12" s="92" t="s">
        <v>38</v>
      </c>
      <c r="F12" s="341" t="s">
        <v>37</v>
      </c>
      <c r="G12" s="97"/>
      <c r="H12" s="97"/>
      <c r="I12" s="98" t="s">
        <v>59</v>
      </c>
      <c r="J12" s="90" t="s">
        <v>58</v>
      </c>
      <c r="K12" s="92" t="s">
        <v>211</v>
      </c>
      <c r="L12" s="92" t="s">
        <v>42</v>
      </c>
      <c r="M12" s="252"/>
      <c r="N12" s="92" t="s">
        <v>47</v>
      </c>
      <c r="O12" s="92" t="s">
        <v>211</v>
      </c>
      <c r="P12" s="344" t="s">
        <v>57</v>
      </c>
      <c r="Q12" s="96">
        <v>12090.6</v>
      </c>
      <c r="R12" s="88">
        <f t="shared" si="1"/>
        <v>12090.6</v>
      </c>
      <c r="S12" s="87"/>
      <c r="T12" s="87"/>
      <c r="U12" s="87">
        <f>PRODUCT(R12, 8)</f>
        <v>96724.800000000003</v>
      </c>
      <c r="V12" s="87">
        <f>PRODUCT(Q12, 26)</f>
        <v>314355.60000000003</v>
      </c>
      <c r="W12" s="87">
        <f>PRODUCT(R12, 26)</f>
        <v>314355.60000000003</v>
      </c>
      <c r="X12" s="85" t="s">
        <v>179</v>
      </c>
      <c r="Y12" s="85" t="s">
        <v>180</v>
      </c>
      <c r="Z12" s="85" t="s">
        <v>182</v>
      </c>
      <c r="AA12" s="85" t="s">
        <v>181</v>
      </c>
      <c r="AB12" s="84" t="s">
        <v>185</v>
      </c>
      <c r="AC12" s="91" t="s">
        <v>56</v>
      </c>
      <c r="AD12" s="97"/>
      <c r="AE12" s="97"/>
      <c r="AF12" s="97"/>
      <c r="AG12" s="249"/>
      <c r="AI12" s="173">
        <f t="shared" si="0"/>
        <v>0</v>
      </c>
    </row>
    <row r="13" spans="1:37" ht="24.75" customHeight="1" x14ac:dyDescent="0.25">
      <c r="A13" s="250" t="s">
        <v>444</v>
      </c>
      <c r="B13" s="91" t="s">
        <v>237</v>
      </c>
      <c r="C13" s="92" t="s">
        <v>17</v>
      </c>
      <c r="D13" s="92" t="s">
        <v>326</v>
      </c>
      <c r="E13" s="92" t="s">
        <v>38</v>
      </c>
      <c r="F13" s="341" t="s">
        <v>37</v>
      </c>
      <c r="G13" s="82"/>
      <c r="H13" s="82"/>
      <c r="I13" s="90" t="s">
        <v>55</v>
      </c>
      <c r="J13" s="82"/>
      <c r="K13" s="92" t="s">
        <v>247</v>
      </c>
      <c r="L13" s="92" t="s">
        <v>247</v>
      </c>
      <c r="M13" s="92" t="s">
        <v>61</v>
      </c>
      <c r="N13" s="92" t="s">
        <v>61</v>
      </c>
      <c r="O13" s="92" t="s">
        <v>248</v>
      </c>
      <c r="P13" s="341" t="s">
        <v>331</v>
      </c>
      <c r="Q13" s="96">
        <v>1529</v>
      </c>
      <c r="R13" s="88">
        <f t="shared" si="1"/>
        <v>1529</v>
      </c>
      <c r="S13" s="87">
        <f>PRODUCT(Q13, 10.5)</f>
        <v>16054.5</v>
      </c>
      <c r="T13" s="87">
        <f>PRODUCT(R13, 10.5)</f>
        <v>16054.5</v>
      </c>
      <c r="U13" s="87">
        <f>(PRODUCT(R13, 16))+(4*1600)</f>
        <v>30864</v>
      </c>
      <c r="V13" s="87">
        <f>PRODUCT(Q13, 22.75)</f>
        <v>34784.75</v>
      </c>
      <c r="W13" s="87">
        <f>(PRODUCT(R13, 26.7))+(6.675*1600)</f>
        <v>51504.299999999996</v>
      </c>
      <c r="X13" s="85" t="s">
        <v>244</v>
      </c>
      <c r="Y13" s="85" t="s">
        <v>238</v>
      </c>
      <c r="Z13" s="85" t="s">
        <v>165</v>
      </c>
      <c r="AA13" s="85" t="s">
        <v>164</v>
      </c>
      <c r="AB13" s="84" t="s">
        <v>163</v>
      </c>
      <c r="AC13" s="83" t="s">
        <v>53</v>
      </c>
      <c r="AD13" s="82"/>
      <c r="AE13" s="82"/>
      <c r="AF13" s="82"/>
      <c r="AG13" s="248"/>
      <c r="AI13" s="173">
        <f t="shared" si="0"/>
        <v>0</v>
      </c>
    </row>
    <row r="14" spans="1:37" ht="31.5" customHeight="1" x14ac:dyDescent="0.25">
      <c r="A14" s="250" t="s">
        <v>337</v>
      </c>
      <c r="B14" s="91" t="s">
        <v>334</v>
      </c>
      <c r="C14" s="92" t="s">
        <v>17</v>
      </c>
      <c r="D14" s="92" t="s">
        <v>327</v>
      </c>
      <c r="E14" s="92" t="s">
        <v>38</v>
      </c>
      <c r="F14" s="341" t="s">
        <v>37</v>
      </c>
      <c r="G14" s="82"/>
      <c r="H14" s="82"/>
      <c r="I14" s="99" t="s">
        <v>55</v>
      </c>
      <c r="J14" s="82"/>
      <c r="K14" s="92" t="s">
        <v>201</v>
      </c>
      <c r="L14" s="92" t="s">
        <v>201</v>
      </c>
      <c r="M14" s="92" t="s">
        <v>201</v>
      </c>
      <c r="N14" s="92" t="s">
        <v>201</v>
      </c>
      <c r="O14" s="92" t="s">
        <v>201</v>
      </c>
      <c r="P14" s="341" t="s">
        <v>336</v>
      </c>
      <c r="Q14" s="96">
        <v>10388</v>
      </c>
      <c r="R14" s="88">
        <f t="shared" si="1"/>
        <v>10388</v>
      </c>
      <c r="S14" s="87">
        <f>PRODUCT(Q14, 10.5)</f>
        <v>109074</v>
      </c>
      <c r="T14" s="87">
        <f>PRODUCT(R14, 10.5)</f>
        <v>109074</v>
      </c>
      <c r="U14" s="87">
        <f>((8*R13)+(2*1600))+(2.5*R14)</f>
        <v>41402</v>
      </c>
      <c r="V14" s="87">
        <f>PRODUCT(Q14, 22.75)</f>
        <v>236327</v>
      </c>
      <c r="W14" s="87">
        <f>PRODUCT(R14, 13)</f>
        <v>135044</v>
      </c>
      <c r="X14" s="85" t="s">
        <v>170</v>
      </c>
      <c r="Y14" s="85" t="s">
        <v>240</v>
      </c>
      <c r="Z14" s="85" t="s">
        <v>165</v>
      </c>
      <c r="AA14" s="85" t="s">
        <v>164</v>
      </c>
      <c r="AB14" s="84" t="s">
        <v>163</v>
      </c>
      <c r="AC14" s="83" t="s">
        <v>53</v>
      </c>
      <c r="AD14" s="82"/>
      <c r="AE14" s="82"/>
      <c r="AF14" s="82"/>
      <c r="AG14" s="249"/>
      <c r="AI14" s="173">
        <f t="shared" si="0"/>
        <v>0</v>
      </c>
    </row>
    <row r="15" spans="1:37" ht="24" customHeight="1" x14ac:dyDescent="0.25">
      <c r="A15" s="93" t="s">
        <v>52</v>
      </c>
      <c r="B15" s="91"/>
      <c r="C15" s="92" t="s">
        <v>51</v>
      </c>
      <c r="D15" s="92" t="s">
        <v>316</v>
      </c>
      <c r="E15" s="92" t="s">
        <v>38</v>
      </c>
      <c r="F15" s="341" t="s">
        <v>50</v>
      </c>
      <c r="G15" s="97"/>
      <c r="H15" s="97"/>
      <c r="I15" s="98" t="s">
        <v>49</v>
      </c>
      <c r="J15" s="90"/>
      <c r="K15" s="92" t="s">
        <v>249</v>
      </c>
      <c r="L15" s="92" t="s">
        <v>48</v>
      </c>
      <c r="M15" s="252"/>
      <c r="N15" s="92" t="s">
        <v>47</v>
      </c>
      <c r="O15" s="92" t="s">
        <v>249</v>
      </c>
      <c r="P15" s="344" t="s">
        <v>338</v>
      </c>
      <c r="Q15" s="96">
        <v>9674.39</v>
      </c>
      <c r="R15" s="88">
        <f t="shared" si="1"/>
        <v>8735.9741699999995</v>
      </c>
      <c r="S15" s="87">
        <f>PRODUCT(Q15, 3)</f>
        <v>29023.17</v>
      </c>
      <c r="T15" s="87">
        <f>PRODUCT(R15, 3)</f>
        <v>26207.922509999997</v>
      </c>
      <c r="U15" s="87">
        <f>PRODUCT(R15, 6)</f>
        <v>52415.845019999993</v>
      </c>
      <c r="V15" s="87">
        <f t="shared" ref="V15:W20" si="2">PRODUCT(Q15, 13)</f>
        <v>125767.06999999999</v>
      </c>
      <c r="W15" s="87">
        <f t="shared" si="2"/>
        <v>113567.66420999999</v>
      </c>
      <c r="X15" s="85" t="s">
        <v>187</v>
      </c>
      <c r="Y15" s="85" t="s">
        <v>203</v>
      </c>
      <c r="Z15" s="85" t="s">
        <v>189</v>
      </c>
      <c r="AA15" s="85" t="s">
        <v>164</v>
      </c>
      <c r="AB15" s="84" t="s">
        <v>184</v>
      </c>
      <c r="AC15" s="91" t="s">
        <v>32</v>
      </c>
      <c r="AD15" s="97"/>
      <c r="AE15" s="97"/>
      <c r="AF15" s="97"/>
      <c r="AG15" s="249"/>
      <c r="AH15" s="21">
        <v>9.7000000000000003E-2</v>
      </c>
      <c r="AI15" s="173">
        <f t="shared" si="0"/>
        <v>938.41583000000003</v>
      </c>
    </row>
    <row r="16" spans="1:37" ht="23.5" customHeight="1" x14ac:dyDescent="0.25">
      <c r="A16" s="93" t="s">
        <v>52</v>
      </c>
      <c r="B16" s="91"/>
      <c r="C16" s="92" t="s">
        <v>51</v>
      </c>
      <c r="D16" s="92" t="s">
        <v>316</v>
      </c>
      <c r="E16" s="92" t="s">
        <v>38</v>
      </c>
      <c r="F16" s="119" t="s">
        <v>171</v>
      </c>
      <c r="G16" s="97"/>
      <c r="H16" s="97"/>
      <c r="I16" s="119" t="s">
        <v>171</v>
      </c>
      <c r="J16" s="90"/>
      <c r="K16" s="92" t="s">
        <v>171</v>
      </c>
      <c r="L16" s="92" t="s">
        <v>171</v>
      </c>
      <c r="M16" s="252"/>
      <c r="N16" s="92" t="s">
        <v>171</v>
      </c>
      <c r="O16" s="92" t="s">
        <v>171</v>
      </c>
      <c r="P16" s="92" t="s">
        <v>277</v>
      </c>
      <c r="Q16" s="96">
        <v>9674.39</v>
      </c>
      <c r="R16" s="88">
        <f t="shared" si="1"/>
        <v>9674.39</v>
      </c>
      <c r="S16" s="87">
        <f>PRODUCT(Q16, 3)</f>
        <v>29023.17</v>
      </c>
      <c r="T16" s="87">
        <f>PRODUCT(R16, 3)</f>
        <v>29023.17</v>
      </c>
      <c r="U16" s="87">
        <f>PRODUCT(R16, 9)</f>
        <v>87069.51</v>
      </c>
      <c r="V16" s="87">
        <f>PRODUCT(Q16, 26)</f>
        <v>251534.13999999998</v>
      </c>
      <c r="W16" s="87">
        <f>PRODUCT(R16, 26)</f>
        <v>251534.13999999998</v>
      </c>
      <c r="X16" s="119" t="s">
        <v>171</v>
      </c>
      <c r="Y16" s="91" t="s">
        <v>204</v>
      </c>
      <c r="Z16" s="119" t="s">
        <v>171</v>
      </c>
      <c r="AA16" s="119" t="s">
        <v>171</v>
      </c>
      <c r="AB16" s="91" t="s">
        <v>183</v>
      </c>
      <c r="AC16" s="119" t="s">
        <v>171</v>
      </c>
      <c r="AD16" s="97"/>
      <c r="AE16" s="97"/>
      <c r="AF16" s="97"/>
      <c r="AG16" s="249"/>
      <c r="AH16" s="21">
        <v>9.7000000000000003E-2</v>
      </c>
      <c r="AI16" s="173"/>
    </row>
    <row r="17" spans="1:38" ht="32" hidden="1" customHeight="1" x14ac:dyDescent="0.25">
      <c r="A17" s="93" t="s">
        <v>46</v>
      </c>
      <c r="B17" s="91" t="s">
        <v>39</v>
      </c>
      <c r="C17" s="92" t="s">
        <v>18</v>
      </c>
      <c r="D17" s="92"/>
      <c r="E17" s="92" t="s">
        <v>38</v>
      </c>
      <c r="F17" s="89" t="s">
        <v>37</v>
      </c>
      <c r="G17" s="82"/>
      <c r="H17" s="82"/>
      <c r="I17" s="90" t="s">
        <v>36</v>
      </c>
      <c r="J17" s="90" t="s">
        <v>35</v>
      </c>
      <c r="K17" s="92" t="s">
        <v>34</v>
      </c>
      <c r="L17" s="92" t="s">
        <v>34</v>
      </c>
      <c r="M17" s="252"/>
      <c r="N17" s="92" t="s">
        <v>34</v>
      </c>
      <c r="O17" s="92" t="s">
        <v>34</v>
      </c>
      <c r="P17" s="89" t="s">
        <v>33</v>
      </c>
      <c r="Q17" s="96">
        <v>18212</v>
      </c>
      <c r="R17" s="88">
        <f t="shared" si="1"/>
        <v>18212</v>
      </c>
      <c r="S17" s="87">
        <f t="shared" ref="S17:T20" si="3">PRODUCT(Q17, 1)</f>
        <v>18212</v>
      </c>
      <c r="T17" s="87">
        <f t="shared" si="3"/>
        <v>18212</v>
      </c>
      <c r="U17" s="87"/>
      <c r="V17" s="87">
        <f t="shared" si="2"/>
        <v>236756</v>
      </c>
      <c r="W17" s="87">
        <f t="shared" si="2"/>
        <v>236756</v>
      </c>
      <c r="X17" s="86" t="s">
        <v>191</v>
      </c>
      <c r="Y17" s="85" t="s">
        <v>192</v>
      </c>
      <c r="Z17" s="85" t="s">
        <v>190</v>
      </c>
      <c r="AA17" s="85" t="s">
        <v>188</v>
      </c>
      <c r="AB17" s="84" t="s">
        <v>186</v>
      </c>
      <c r="AC17" s="83" t="s">
        <v>32</v>
      </c>
      <c r="AD17" s="82"/>
      <c r="AE17" s="82"/>
      <c r="AF17" s="82"/>
      <c r="AG17" s="249"/>
      <c r="AI17" s="173">
        <f t="shared" si="0"/>
        <v>0</v>
      </c>
    </row>
    <row r="18" spans="1:38" ht="27.5" customHeight="1" x14ac:dyDescent="0.25">
      <c r="A18" s="93" t="s">
        <v>339</v>
      </c>
      <c r="B18" s="91" t="s">
        <v>45</v>
      </c>
      <c r="C18" s="92" t="s">
        <v>18</v>
      </c>
      <c r="D18" s="92" t="s">
        <v>347</v>
      </c>
      <c r="E18" s="92" t="s">
        <v>38</v>
      </c>
      <c r="F18" s="436" t="s">
        <v>478</v>
      </c>
      <c r="G18" s="82"/>
      <c r="H18" s="347" t="s">
        <v>476</v>
      </c>
      <c r="I18" s="90" t="s">
        <v>282</v>
      </c>
      <c r="J18" s="90" t="s">
        <v>35</v>
      </c>
      <c r="K18" s="92" t="s">
        <v>34</v>
      </c>
      <c r="L18" s="92" t="s">
        <v>34</v>
      </c>
      <c r="M18" s="252"/>
      <c r="N18" s="92" t="s">
        <v>34</v>
      </c>
      <c r="O18" s="92" t="s">
        <v>34</v>
      </c>
      <c r="P18" s="341" t="s">
        <v>341</v>
      </c>
      <c r="Q18" s="88">
        <v>10734.75</v>
      </c>
      <c r="R18" s="88">
        <f t="shared" si="1"/>
        <v>10734.75</v>
      </c>
      <c r="S18" s="87">
        <f t="shared" si="3"/>
        <v>10734.75</v>
      </c>
      <c r="T18" s="87">
        <f t="shared" si="3"/>
        <v>10734.75</v>
      </c>
      <c r="U18" s="87">
        <f>PRODUCT(R18, 5)</f>
        <v>53673.75</v>
      </c>
      <c r="V18" s="87">
        <f t="shared" si="2"/>
        <v>139551.75</v>
      </c>
      <c r="W18" s="87">
        <f t="shared" si="2"/>
        <v>139551.75</v>
      </c>
      <c r="X18" s="86" t="s">
        <v>194</v>
      </c>
      <c r="Y18" s="85" t="s">
        <v>193</v>
      </c>
      <c r="Z18" s="85" t="s">
        <v>190</v>
      </c>
      <c r="AA18" s="85" t="s">
        <v>188</v>
      </c>
      <c r="AB18" s="84" t="s">
        <v>186</v>
      </c>
      <c r="AC18" s="83" t="s">
        <v>32</v>
      </c>
      <c r="AD18" s="82"/>
      <c r="AE18" s="82"/>
      <c r="AF18" s="82"/>
      <c r="AG18" s="248"/>
      <c r="AH18" s="21">
        <v>0</v>
      </c>
      <c r="AI18" s="173">
        <f t="shared" si="0"/>
        <v>0</v>
      </c>
    </row>
    <row r="19" spans="1:38" ht="25.5" customHeight="1" x14ac:dyDescent="0.25">
      <c r="A19" s="93" t="s">
        <v>340</v>
      </c>
      <c r="B19" s="91" t="s">
        <v>39</v>
      </c>
      <c r="C19" s="92" t="s">
        <v>18</v>
      </c>
      <c r="D19" s="92" t="s">
        <v>326</v>
      </c>
      <c r="E19" s="92" t="s">
        <v>38</v>
      </c>
      <c r="F19" s="436" t="s">
        <v>478</v>
      </c>
      <c r="G19" s="82"/>
      <c r="H19" s="347" t="s">
        <v>476</v>
      </c>
      <c r="I19" s="90" t="s">
        <v>36</v>
      </c>
      <c r="J19" s="90" t="s">
        <v>35</v>
      </c>
      <c r="K19" s="253" t="s">
        <v>42</v>
      </c>
      <c r="L19" s="253" t="s">
        <v>44</v>
      </c>
      <c r="M19" s="254"/>
      <c r="N19" s="253" t="s">
        <v>43</v>
      </c>
      <c r="O19" s="253" t="s">
        <v>42</v>
      </c>
      <c r="P19" s="341" t="s">
        <v>341</v>
      </c>
      <c r="Q19" s="95">
        <v>1401.41</v>
      </c>
      <c r="R19" s="88">
        <f t="shared" si="1"/>
        <v>1401.41</v>
      </c>
      <c r="S19" s="94">
        <f t="shared" si="3"/>
        <v>1401.41</v>
      </c>
      <c r="T19" s="94">
        <f t="shared" si="3"/>
        <v>1401.41</v>
      </c>
      <c r="U19" s="94">
        <f>PRODUCT(R19, 5)</f>
        <v>7007.05</v>
      </c>
      <c r="V19" s="94">
        <f t="shared" si="2"/>
        <v>18218.330000000002</v>
      </c>
      <c r="W19" s="94">
        <f t="shared" si="2"/>
        <v>18218.330000000002</v>
      </c>
      <c r="X19" s="86" t="s">
        <v>243</v>
      </c>
      <c r="Y19" s="85" t="s">
        <v>195</v>
      </c>
      <c r="Z19" s="85" t="s">
        <v>190</v>
      </c>
      <c r="AA19" s="85" t="s">
        <v>188</v>
      </c>
      <c r="AB19" s="84" t="s">
        <v>186</v>
      </c>
      <c r="AC19" s="83" t="s">
        <v>32</v>
      </c>
      <c r="AD19" s="82"/>
      <c r="AE19" s="82"/>
      <c r="AF19" s="82"/>
      <c r="AG19" s="246" t="s">
        <v>41</v>
      </c>
      <c r="AI19" s="173">
        <f t="shared" si="0"/>
        <v>0</v>
      </c>
    </row>
    <row r="20" spans="1:38" ht="33.5" hidden="1" customHeight="1" x14ac:dyDescent="0.25">
      <c r="A20" s="93" t="s">
        <v>40</v>
      </c>
      <c r="B20" s="91" t="s">
        <v>39</v>
      </c>
      <c r="C20" s="92" t="s">
        <v>18</v>
      </c>
      <c r="D20" s="92"/>
      <c r="E20" s="92" t="s">
        <v>38</v>
      </c>
      <c r="F20" s="341" t="s">
        <v>37</v>
      </c>
      <c r="G20" s="82"/>
      <c r="H20" s="82"/>
      <c r="I20" s="90" t="s">
        <v>36</v>
      </c>
      <c r="J20" s="90" t="s">
        <v>35</v>
      </c>
      <c r="K20" s="92" t="s">
        <v>34</v>
      </c>
      <c r="L20" s="92" t="s">
        <v>34</v>
      </c>
      <c r="M20" s="252"/>
      <c r="N20" s="92" t="s">
        <v>34</v>
      </c>
      <c r="O20" s="92" t="s">
        <v>34</v>
      </c>
      <c r="P20" s="341" t="s">
        <v>33</v>
      </c>
      <c r="Q20" s="88">
        <v>10930</v>
      </c>
      <c r="R20" s="88">
        <f t="shared" si="1"/>
        <v>10930</v>
      </c>
      <c r="S20" s="87">
        <f t="shared" si="3"/>
        <v>10930</v>
      </c>
      <c r="T20" s="87">
        <f t="shared" si="3"/>
        <v>10930</v>
      </c>
      <c r="U20" s="87"/>
      <c r="V20" s="87">
        <f t="shared" si="2"/>
        <v>142090</v>
      </c>
      <c r="W20" s="87">
        <f t="shared" si="2"/>
        <v>142090</v>
      </c>
      <c r="X20" s="86" t="s">
        <v>191</v>
      </c>
      <c r="Y20" s="85" t="s">
        <v>193</v>
      </c>
      <c r="Z20" s="85" t="s">
        <v>190</v>
      </c>
      <c r="AA20" s="85" t="s">
        <v>188</v>
      </c>
      <c r="AB20" s="84" t="s">
        <v>186</v>
      </c>
      <c r="AC20" s="83" t="s">
        <v>32</v>
      </c>
      <c r="AD20" s="82"/>
      <c r="AE20" s="82"/>
      <c r="AF20" s="82"/>
      <c r="AG20" s="249"/>
      <c r="AI20" s="173">
        <f t="shared" si="0"/>
        <v>0</v>
      </c>
    </row>
    <row r="21" spans="1:38" ht="23.25" customHeight="1" x14ac:dyDescent="0.25">
      <c r="A21" s="93" t="s">
        <v>145</v>
      </c>
      <c r="B21" s="91"/>
      <c r="C21" s="92" t="s">
        <v>146</v>
      </c>
      <c r="D21" s="92" t="s">
        <v>347</v>
      </c>
      <c r="E21" s="92" t="s">
        <v>73</v>
      </c>
      <c r="F21" s="341" t="s">
        <v>72</v>
      </c>
      <c r="G21" s="344" t="s">
        <v>71</v>
      </c>
      <c r="H21" s="89" t="s">
        <v>208</v>
      </c>
      <c r="I21" s="254" t="s">
        <v>275</v>
      </c>
      <c r="J21" s="90"/>
      <c r="K21" s="252" t="s">
        <v>218</v>
      </c>
      <c r="L21" s="252"/>
      <c r="M21" s="252"/>
      <c r="N21" s="252"/>
      <c r="O21" s="252" t="s">
        <v>218</v>
      </c>
      <c r="P21" s="341" t="s">
        <v>219</v>
      </c>
      <c r="Q21" s="88">
        <v>66385.460000000006</v>
      </c>
      <c r="R21" s="88">
        <f t="shared" si="1"/>
        <v>59746.914000000004</v>
      </c>
      <c r="S21" s="94">
        <f>PRODUCT(Q21, 2)</f>
        <v>132770.92000000001</v>
      </c>
      <c r="T21" s="94">
        <f>PRODUCT(R21, 2)</f>
        <v>119493.82800000001</v>
      </c>
      <c r="U21" s="94">
        <f>PRODUCT(R21, 3)</f>
        <v>179240.74200000003</v>
      </c>
      <c r="V21" s="94">
        <f>PRODUCT(Q21, 4.35)</f>
        <v>288776.75099999999</v>
      </c>
      <c r="W21" s="94">
        <f>PRODUCT(R21, 4.33)</f>
        <v>258704.13762000002</v>
      </c>
      <c r="X21" s="85" t="s">
        <v>214</v>
      </c>
      <c r="Y21" s="85" t="s">
        <v>215</v>
      </c>
      <c r="Z21" s="85" t="s">
        <v>199</v>
      </c>
      <c r="AA21" s="85" t="s">
        <v>198</v>
      </c>
      <c r="AB21" s="84" t="s">
        <v>147</v>
      </c>
      <c r="AC21" s="83" t="s">
        <v>148</v>
      </c>
      <c r="AD21" s="82"/>
      <c r="AE21" s="82"/>
      <c r="AF21" s="82"/>
      <c r="AG21" s="249" t="s">
        <v>521</v>
      </c>
      <c r="AH21" s="179">
        <v>0.1</v>
      </c>
      <c r="AI21" s="173">
        <f t="shared" ref="AI21:AI31" si="4">AH21*Q21</f>
        <v>6638.5460000000012</v>
      </c>
    </row>
    <row r="22" spans="1:38" ht="24" hidden="1" customHeight="1" x14ac:dyDescent="0.25">
      <c r="A22" s="250" t="s">
        <v>445</v>
      </c>
      <c r="B22" s="91" t="s">
        <v>45</v>
      </c>
      <c r="C22" s="92" t="s">
        <v>17</v>
      </c>
      <c r="D22" s="92" t="s">
        <v>348</v>
      </c>
      <c r="E22" s="92" t="s">
        <v>38</v>
      </c>
      <c r="F22" s="341" t="s">
        <v>37</v>
      </c>
      <c r="G22" s="453"/>
      <c r="H22" s="82"/>
      <c r="I22" s="90" t="s">
        <v>55</v>
      </c>
      <c r="J22" s="82"/>
      <c r="K22" s="92" t="s">
        <v>245</v>
      </c>
      <c r="L22" s="92" t="s">
        <v>245</v>
      </c>
      <c r="M22" s="92" t="s">
        <v>245</v>
      </c>
      <c r="N22" s="92" t="s">
        <v>245</v>
      </c>
      <c r="O22" s="92" t="s">
        <v>245</v>
      </c>
      <c r="P22" s="341" t="s">
        <v>54</v>
      </c>
      <c r="Q22" s="88">
        <v>5086.59</v>
      </c>
      <c r="R22" s="88">
        <f t="shared" si="1"/>
        <v>3967.5402000000004</v>
      </c>
      <c r="S22" s="87">
        <f>PRODUCT(Q22, 10.5)</f>
        <v>53409.195</v>
      </c>
      <c r="T22" s="87">
        <f>PRODUCT(R22, 10.5)</f>
        <v>41659.172100000003</v>
      </c>
      <c r="U22" s="87">
        <f>(PRODUCT(R22, 16))+(4*1600)</f>
        <v>69880.643200000006</v>
      </c>
      <c r="V22" s="87">
        <f>PRODUCT(Q22, 22.75)</f>
        <v>115719.9225</v>
      </c>
      <c r="W22" s="87">
        <f>(PRODUCT(R22, 26.7))+(6.675*1600)</f>
        <v>116613.32334</v>
      </c>
      <c r="X22" s="85" t="s">
        <v>242</v>
      </c>
      <c r="Y22" s="85" t="s">
        <v>239</v>
      </c>
      <c r="Z22" s="85" t="s">
        <v>165</v>
      </c>
      <c r="AA22" s="85" t="s">
        <v>164</v>
      </c>
      <c r="AB22" s="84" t="s">
        <v>163</v>
      </c>
      <c r="AC22" s="83" t="s">
        <v>53</v>
      </c>
      <c r="AD22" s="82"/>
      <c r="AE22" s="82"/>
      <c r="AF22" s="82"/>
      <c r="AG22" s="249"/>
      <c r="AH22" s="179">
        <v>0.22</v>
      </c>
      <c r="AI22" s="173">
        <f t="shared" si="4"/>
        <v>1119.0498</v>
      </c>
    </row>
    <row r="23" spans="1:38" ht="36.75" customHeight="1" x14ac:dyDescent="0.25">
      <c r="A23" s="93" t="s">
        <v>313</v>
      </c>
      <c r="B23" s="91"/>
      <c r="C23" s="92" t="s">
        <v>317</v>
      </c>
      <c r="D23" s="92" t="s">
        <v>318</v>
      </c>
      <c r="E23" s="92" t="s">
        <v>73</v>
      </c>
      <c r="F23" s="440" t="s">
        <v>527</v>
      </c>
      <c r="G23" s="453"/>
      <c r="H23" s="344" t="s">
        <v>477</v>
      </c>
      <c r="I23" s="90"/>
      <c r="J23" s="82"/>
      <c r="K23" s="92"/>
      <c r="L23" s="92"/>
      <c r="M23" s="92"/>
      <c r="N23" s="92"/>
      <c r="O23" s="92"/>
      <c r="P23" s="341" t="s">
        <v>330</v>
      </c>
      <c r="Q23" s="88">
        <v>57409.62</v>
      </c>
      <c r="R23" s="88">
        <f t="shared" si="1"/>
        <v>51668.658000000003</v>
      </c>
      <c r="S23" s="87"/>
      <c r="T23" s="87"/>
      <c r="U23" s="94">
        <f>PRODUCT(R23, 3)</f>
        <v>155005.97400000002</v>
      </c>
      <c r="V23" s="94">
        <f>PRODUCT(Q23, 4.35)</f>
        <v>249731.84699999998</v>
      </c>
      <c r="W23" s="94">
        <f>PRODUCT(R23, 4.33)</f>
        <v>223725.28914000001</v>
      </c>
      <c r="X23" s="85"/>
      <c r="Y23" s="85"/>
      <c r="Z23" s="85"/>
      <c r="AA23" s="85"/>
      <c r="AB23" s="84"/>
      <c r="AC23" s="83"/>
      <c r="AD23" s="82"/>
      <c r="AE23" s="82"/>
      <c r="AF23" s="82"/>
      <c r="AG23" s="249"/>
      <c r="AH23" s="179">
        <v>0.1</v>
      </c>
      <c r="AI23" s="173">
        <f t="shared" si="4"/>
        <v>5740.9620000000004</v>
      </c>
    </row>
    <row r="24" spans="1:38" ht="32" customHeight="1" x14ac:dyDescent="0.25">
      <c r="A24" s="93" t="s">
        <v>314</v>
      </c>
      <c r="B24" s="91"/>
      <c r="C24" s="92" t="s">
        <v>315</v>
      </c>
      <c r="D24" s="92" t="s">
        <v>316</v>
      </c>
      <c r="E24" s="433" t="s">
        <v>319</v>
      </c>
      <c r="F24" s="341" t="s">
        <v>343</v>
      </c>
      <c r="G24" s="344" t="s">
        <v>71</v>
      </c>
      <c r="H24" s="341" t="s">
        <v>342</v>
      </c>
      <c r="I24" s="90"/>
      <c r="J24" s="82"/>
      <c r="K24" s="92"/>
      <c r="L24" s="92"/>
      <c r="M24" s="92"/>
      <c r="N24" s="92"/>
      <c r="O24" s="92"/>
      <c r="P24" s="341" t="s">
        <v>329</v>
      </c>
      <c r="Q24" s="88">
        <v>42403.96</v>
      </c>
      <c r="R24" s="88">
        <f t="shared" si="1"/>
        <v>38290.775880000001</v>
      </c>
      <c r="S24" s="87"/>
      <c r="T24" s="87"/>
      <c r="U24" s="87">
        <f>PRODUCT(R24, 5)</f>
        <v>191453.87940000001</v>
      </c>
      <c r="V24" s="87"/>
      <c r="W24" s="87">
        <f>PRODUCT(R24, 6.5)</f>
        <v>248890.04321999999</v>
      </c>
      <c r="X24" s="85"/>
      <c r="Y24" s="85"/>
      <c r="Z24" s="85"/>
      <c r="AA24" s="85"/>
      <c r="AB24" s="84"/>
      <c r="AC24" s="83"/>
      <c r="AD24" s="82"/>
      <c r="AE24" s="82"/>
      <c r="AF24" s="82"/>
      <c r="AG24" s="249"/>
      <c r="AH24" s="179">
        <v>9.7000000000000003E-2</v>
      </c>
      <c r="AI24" s="173">
        <f t="shared" si="4"/>
        <v>4113.1841199999999</v>
      </c>
    </row>
    <row r="25" spans="1:38" ht="84" customHeight="1" x14ac:dyDescent="0.25">
      <c r="A25" s="93" t="s">
        <v>504</v>
      </c>
      <c r="B25" s="91"/>
      <c r="C25" s="434" t="s">
        <v>474</v>
      </c>
      <c r="D25" s="92" t="s">
        <v>480</v>
      </c>
      <c r="E25" s="119" t="s">
        <v>481</v>
      </c>
      <c r="F25" s="438" t="s">
        <v>479</v>
      </c>
      <c r="G25" s="98"/>
      <c r="H25" s="165" t="s">
        <v>487</v>
      </c>
      <c r="I25" s="90"/>
      <c r="J25" s="82"/>
      <c r="K25" s="92"/>
      <c r="L25" s="92"/>
      <c r="M25" s="92"/>
      <c r="N25" s="92"/>
      <c r="O25" s="92"/>
      <c r="P25" s="165" t="s">
        <v>482</v>
      </c>
      <c r="Q25" s="88">
        <v>5541.61</v>
      </c>
      <c r="R25" s="88">
        <f t="shared" si="1"/>
        <v>5541.61</v>
      </c>
      <c r="S25" s="87"/>
      <c r="T25" s="87"/>
      <c r="U25" s="87">
        <f>(635+(4.28*R25))</f>
        <v>24353.090800000002</v>
      </c>
      <c r="V25" s="87"/>
      <c r="W25" s="87"/>
      <c r="X25" s="85"/>
      <c r="Y25" s="85"/>
      <c r="Z25" s="85"/>
      <c r="AA25" s="85"/>
      <c r="AB25" s="84"/>
      <c r="AC25" s="83"/>
      <c r="AD25" s="82"/>
      <c r="AE25" s="82"/>
      <c r="AF25" s="82"/>
      <c r="AG25" s="249"/>
      <c r="AI25" s="173">
        <f t="shared" si="4"/>
        <v>0</v>
      </c>
    </row>
    <row r="26" spans="1:38" ht="30" customHeight="1" x14ac:dyDescent="0.25">
      <c r="A26" s="93" t="s">
        <v>500</v>
      </c>
      <c r="B26" s="91"/>
      <c r="C26" s="434" t="s">
        <v>474</v>
      </c>
      <c r="D26" s="92" t="s">
        <v>480</v>
      </c>
      <c r="E26" s="442" t="s">
        <v>481</v>
      </c>
      <c r="F26" s="438"/>
      <c r="G26" s="98"/>
      <c r="H26" s="165"/>
      <c r="I26" s="90"/>
      <c r="J26" s="82"/>
      <c r="K26" s="92"/>
      <c r="L26" s="92"/>
      <c r="M26" s="92"/>
      <c r="N26" s="92"/>
      <c r="O26" s="92"/>
      <c r="P26" s="165"/>
      <c r="Q26" s="88">
        <v>5541.61</v>
      </c>
      <c r="R26" s="88">
        <f t="shared" si="1"/>
        <v>5541.61</v>
      </c>
      <c r="S26" s="87"/>
      <c r="T26" s="87"/>
      <c r="U26" s="87"/>
      <c r="V26" s="87"/>
      <c r="W26" s="87">
        <f>(R26*4.06)</f>
        <v>22498.936599999997</v>
      </c>
      <c r="X26" s="85"/>
      <c r="Y26" s="85"/>
      <c r="Z26" s="85"/>
      <c r="AA26" s="85"/>
      <c r="AB26" s="84"/>
      <c r="AC26" s="83"/>
      <c r="AD26" s="82"/>
      <c r="AE26" s="82"/>
      <c r="AF26" s="82"/>
      <c r="AG26" s="249"/>
      <c r="AI26" s="173">
        <f t="shared" ref="AI26:AI27" si="5">AH26*Q26</f>
        <v>0</v>
      </c>
    </row>
    <row r="27" spans="1:38" ht="29.25" customHeight="1" x14ac:dyDescent="0.25">
      <c r="A27" s="93" t="s">
        <v>501</v>
      </c>
      <c r="B27" s="91"/>
      <c r="C27" s="434" t="s">
        <v>474</v>
      </c>
      <c r="D27" s="92" t="s">
        <v>480</v>
      </c>
      <c r="E27" s="442" t="s">
        <v>481</v>
      </c>
      <c r="F27" s="438"/>
      <c r="G27" s="98"/>
      <c r="H27" s="165"/>
      <c r="I27" s="90"/>
      <c r="J27" s="82"/>
      <c r="K27" s="92"/>
      <c r="L27" s="92"/>
      <c r="M27" s="92"/>
      <c r="N27" s="92"/>
      <c r="O27" s="92"/>
      <c r="P27" s="165"/>
      <c r="Q27" s="88">
        <v>5541.61</v>
      </c>
      <c r="R27" s="88">
        <f t="shared" si="1"/>
        <v>5541.61</v>
      </c>
      <c r="S27" s="87"/>
      <c r="T27" s="87"/>
      <c r="U27" s="87"/>
      <c r="V27" s="87"/>
      <c r="W27" s="87">
        <f>(R27*16.22)</f>
        <v>89884.914199999985</v>
      </c>
      <c r="X27" s="85"/>
      <c r="Y27" s="85"/>
      <c r="Z27" s="85"/>
      <c r="AA27" s="85"/>
      <c r="AB27" s="84"/>
      <c r="AC27" s="83"/>
      <c r="AD27" s="82"/>
      <c r="AE27" s="82"/>
      <c r="AF27" s="82"/>
      <c r="AG27" s="249"/>
      <c r="AI27" s="173">
        <f t="shared" si="5"/>
        <v>0</v>
      </c>
    </row>
    <row r="28" spans="1:38" ht="24.75" customHeight="1" x14ac:dyDescent="0.25">
      <c r="A28" s="93" t="s">
        <v>283</v>
      </c>
      <c r="B28" s="92" t="s">
        <v>285</v>
      </c>
      <c r="C28" s="441" t="s">
        <v>284</v>
      </c>
      <c r="D28" s="92" t="s">
        <v>349</v>
      </c>
      <c r="E28" s="342"/>
      <c r="F28" s="436" t="s">
        <v>286</v>
      </c>
      <c r="G28" s="82"/>
      <c r="H28" s="119" t="s">
        <v>287</v>
      </c>
      <c r="I28" s="90"/>
      <c r="J28" s="82"/>
      <c r="K28" s="92"/>
      <c r="L28" s="92"/>
      <c r="M28" s="92"/>
      <c r="N28" s="92"/>
      <c r="O28" s="92"/>
      <c r="P28" s="165" t="s">
        <v>289</v>
      </c>
      <c r="Q28" s="88">
        <v>240.21</v>
      </c>
      <c r="R28" s="88">
        <f t="shared" si="1"/>
        <v>240.21</v>
      </c>
      <c r="S28" s="87"/>
      <c r="T28" s="87"/>
      <c r="U28" s="87">
        <f>PRODUCT(R28, 11.2)</f>
        <v>2690.3519999999999</v>
      </c>
      <c r="V28" s="87"/>
      <c r="W28" s="87">
        <f>PRODUCT(R28, 36.5)</f>
        <v>8767.6650000000009</v>
      </c>
      <c r="X28" s="85"/>
      <c r="Y28" s="85"/>
      <c r="Z28" s="85"/>
      <c r="AA28" s="85"/>
      <c r="AB28" s="84"/>
      <c r="AC28" s="83"/>
      <c r="AD28" s="82"/>
      <c r="AE28" s="82"/>
      <c r="AF28" s="82"/>
      <c r="AG28" s="249"/>
      <c r="AH28" s="179"/>
      <c r="AI28" s="173">
        <f t="shared" si="4"/>
        <v>0</v>
      </c>
    </row>
    <row r="29" spans="1:38" ht="24.75" customHeight="1" x14ac:dyDescent="0.25">
      <c r="A29" s="93" t="s">
        <v>290</v>
      </c>
      <c r="B29" s="92" t="s">
        <v>285</v>
      </c>
      <c r="C29" s="441" t="s">
        <v>288</v>
      </c>
      <c r="D29" s="92" t="s">
        <v>350</v>
      </c>
      <c r="E29" s="92"/>
      <c r="F29" s="435" t="s">
        <v>287</v>
      </c>
      <c r="G29" s="82"/>
      <c r="H29" s="119" t="s">
        <v>287</v>
      </c>
      <c r="I29" s="90"/>
      <c r="J29" s="82"/>
      <c r="K29" s="92"/>
      <c r="L29" s="92"/>
      <c r="M29" s="92"/>
      <c r="N29" s="92"/>
      <c r="O29" s="92"/>
      <c r="P29" s="165" t="s">
        <v>291</v>
      </c>
      <c r="Q29" s="88">
        <v>228.79</v>
      </c>
      <c r="R29" s="88">
        <f t="shared" si="1"/>
        <v>228.79</v>
      </c>
      <c r="S29" s="87"/>
      <c r="T29" s="87"/>
      <c r="U29" s="87">
        <f>PRODUCT(R29, 2.24)</f>
        <v>512.4896</v>
      </c>
      <c r="V29" s="87"/>
      <c r="W29" s="87"/>
      <c r="X29" s="85"/>
      <c r="Y29" s="85"/>
      <c r="Z29" s="85"/>
      <c r="AA29" s="85"/>
      <c r="AB29" s="84"/>
      <c r="AC29" s="83"/>
      <c r="AD29" s="82"/>
      <c r="AE29" s="82"/>
      <c r="AF29" s="82"/>
      <c r="AG29" s="249"/>
      <c r="AH29" s="179"/>
      <c r="AI29" s="173">
        <f t="shared" si="4"/>
        <v>0</v>
      </c>
    </row>
    <row r="30" spans="1:38" ht="25.5" customHeight="1" x14ac:dyDescent="0.25">
      <c r="A30" s="93" t="s">
        <v>484</v>
      </c>
      <c r="B30" s="92" t="s">
        <v>285</v>
      </c>
      <c r="C30" s="441" t="s">
        <v>288</v>
      </c>
      <c r="D30" s="92" t="s">
        <v>485</v>
      </c>
      <c r="E30" s="92"/>
      <c r="F30" s="435" t="s">
        <v>287</v>
      </c>
      <c r="G30" s="82"/>
      <c r="H30" s="119" t="s">
        <v>287</v>
      </c>
      <c r="I30" s="90"/>
      <c r="J30" s="82"/>
      <c r="K30" s="92"/>
      <c r="L30" s="92"/>
      <c r="M30" s="92"/>
      <c r="N30" s="92"/>
      <c r="O30" s="92"/>
      <c r="P30" s="165" t="s">
        <v>292</v>
      </c>
      <c r="Q30" s="88">
        <v>1227.08</v>
      </c>
      <c r="R30" s="88">
        <f t="shared" si="1"/>
        <v>1227.08</v>
      </c>
      <c r="S30" s="87"/>
      <c r="T30" s="87"/>
      <c r="U30" s="87"/>
      <c r="V30" s="87"/>
      <c r="W30" s="87">
        <f>PRODUCT((R30/2), 2.08)</f>
        <v>1276.1632</v>
      </c>
      <c r="X30" s="85"/>
      <c r="Y30" s="85"/>
      <c r="Z30" s="85"/>
      <c r="AA30" s="85"/>
      <c r="AB30" s="84"/>
      <c r="AC30" s="83"/>
      <c r="AD30" s="82"/>
      <c r="AE30" s="82"/>
      <c r="AF30" s="82"/>
      <c r="AG30" s="249"/>
      <c r="AH30" s="179"/>
      <c r="AI30" s="173">
        <f t="shared" si="4"/>
        <v>0</v>
      </c>
    </row>
    <row r="31" spans="1:38" ht="27" customHeight="1" x14ac:dyDescent="0.25">
      <c r="A31" s="93" t="s">
        <v>295</v>
      </c>
      <c r="B31" s="92" t="s">
        <v>285</v>
      </c>
      <c r="C31" s="441" t="s">
        <v>294</v>
      </c>
      <c r="D31" s="92" t="s">
        <v>351</v>
      </c>
      <c r="E31" s="92"/>
      <c r="F31" s="435" t="s">
        <v>287</v>
      </c>
      <c r="G31" s="82"/>
      <c r="H31" s="119" t="s">
        <v>287</v>
      </c>
      <c r="I31" s="90"/>
      <c r="J31" s="82"/>
      <c r="K31" s="92"/>
      <c r="L31" s="92"/>
      <c r="M31" s="92"/>
      <c r="N31" s="92"/>
      <c r="O31" s="92"/>
      <c r="P31" s="165" t="s">
        <v>293</v>
      </c>
      <c r="Q31" s="88">
        <v>1198.06</v>
      </c>
      <c r="R31" s="88">
        <f t="shared" si="1"/>
        <v>1198.06</v>
      </c>
      <c r="S31" s="87"/>
      <c r="T31" s="87"/>
      <c r="U31" s="87">
        <f>PRODUCT(R31, 4.48)</f>
        <v>5367.3088000000007</v>
      </c>
      <c r="V31" s="87"/>
      <c r="W31" s="87">
        <f>PRODUCT(R31, 14.6)</f>
        <v>17491.675999999999</v>
      </c>
      <c r="X31" s="85"/>
      <c r="Y31" s="85"/>
      <c r="Z31" s="85"/>
      <c r="AA31" s="85"/>
      <c r="AB31" s="84"/>
      <c r="AC31" s="83"/>
      <c r="AD31" s="82"/>
      <c r="AE31" s="82"/>
      <c r="AF31" s="82"/>
      <c r="AG31" s="249"/>
      <c r="AH31" s="179"/>
      <c r="AI31" s="173">
        <f t="shared" si="4"/>
        <v>0</v>
      </c>
    </row>
    <row r="32" spans="1:38" ht="24" customHeight="1" x14ac:dyDescent="0.25">
      <c r="A32" s="80" t="s">
        <v>490</v>
      </c>
      <c r="B32" s="81"/>
      <c r="C32" s="80"/>
      <c r="D32" s="79"/>
      <c r="E32" s="79"/>
      <c r="F32" s="4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7"/>
      <c r="AH32" s="76"/>
      <c r="AI32" s="174"/>
      <c r="AJ32" s="5"/>
      <c r="AK32" s="5"/>
      <c r="AL32" s="5"/>
    </row>
    <row r="33" spans="1:33" ht="15.75" customHeight="1" x14ac:dyDescent="0.25">
      <c r="A33" s="257" t="s">
        <v>491</v>
      </c>
      <c r="B33" s="26"/>
      <c r="C33" s="34"/>
      <c r="D33" s="39"/>
      <c r="E33" s="39"/>
      <c r="F33" s="67"/>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28"/>
    </row>
    <row r="34" spans="1:33" ht="9.75" customHeight="1" x14ac:dyDescent="0.45">
      <c r="A34" s="445" t="s">
        <v>492</v>
      </c>
      <c r="B34" s="57"/>
      <c r="C34" s="37"/>
      <c r="D34" s="56"/>
      <c r="E34" s="39"/>
      <c r="F34" s="67"/>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28"/>
    </row>
    <row r="35" spans="1:33" ht="15" customHeight="1" x14ac:dyDescent="0.25">
      <c r="A35" s="257" t="s">
        <v>493</v>
      </c>
      <c r="B35" s="26"/>
      <c r="C35" s="37"/>
      <c r="D35" s="39"/>
      <c r="E35" s="39"/>
      <c r="F35" s="67"/>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8"/>
    </row>
    <row r="36" spans="1:33" ht="0.75" customHeight="1" x14ac:dyDescent="0.25">
      <c r="A36" s="257" t="s">
        <v>494</v>
      </c>
      <c r="B36" s="26"/>
      <c r="C36" s="37"/>
      <c r="D36" s="39"/>
      <c r="E36" s="39"/>
      <c r="F36" s="67"/>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8"/>
    </row>
    <row r="37" spans="1:33" ht="13.5" customHeight="1" x14ac:dyDescent="0.25">
      <c r="A37" s="257" t="s">
        <v>495</v>
      </c>
      <c r="B37" s="26"/>
      <c r="C37" s="37"/>
      <c r="D37" s="39"/>
      <c r="E37" s="39"/>
      <c r="F37" s="67"/>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8"/>
    </row>
    <row r="38" spans="1:33" ht="14.25" customHeight="1" x14ac:dyDescent="0.25">
      <c r="A38" s="443" t="s">
        <v>496</v>
      </c>
      <c r="B38" s="26"/>
      <c r="C38" s="37"/>
      <c r="D38" s="39"/>
      <c r="E38" s="39"/>
      <c r="F38" s="67"/>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8"/>
    </row>
    <row r="39" spans="1:33" ht="14.25" customHeight="1" x14ac:dyDescent="0.3">
      <c r="A39" s="443" t="s">
        <v>497</v>
      </c>
      <c r="B39" s="26"/>
      <c r="C39" s="37"/>
      <c r="D39" s="39"/>
      <c r="E39" s="39"/>
      <c r="F39" s="67"/>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8"/>
    </row>
    <row r="40" spans="1:33" ht="14.25" customHeight="1" x14ac:dyDescent="0.3">
      <c r="A40" s="443" t="s">
        <v>498</v>
      </c>
      <c r="B40" s="26"/>
      <c r="C40" s="37"/>
      <c r="D40" s="39"/>
      <c r="E40" s="39"/>
      <c r="F40" s="67"/>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8"/>
    </row>
    <row r="41" spans="1:33" ht="14.25" customHeight="1" x14ac:dyDescent="0.3">
      <c r="A41" s="443" t="s">
        <v>499</v>
      </c>
      <c r="B41" s="26"/>
      <c r="C41" s="37"/>
      <c r="D41" s="39"/>
      <c r="E41" s="39"/>
      <c r="F41" s="67"/>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8"/>
    </row>
    <row r="42" spans="1:33" ht="14.25" customHeight="1" x14ac:dyDescent="0.25">
      <c r="A42" s="443"/>
      <c r="B42" s="26"/>
      <c r="C42" s="37"/>
      <c r="D42" s="39"/>
      <c r="E42" s="39"/>
      <c r="F42" s="67"/>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8"/>
    </row>
    <row r="43" spans="1:33" ht="14.25" customHeight="1" x14ac:dyDescent="0.25">
      <c r="A43" s="443"/>
      <c r="B43" s="26"/>
      <c r="C43" s="37"/>
      <c r="D43" s="39"/>
      <c r="E43" s="39"/>
      <c r="F43" s="67"/>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8"/>
    </row>
    <row r="44" spans="1:33" ht="14.25" customHeight="1" x14ac:dyDescent="0.25">
      <c r="A44" s="443"/>
      <c r="B44" s="26"/>
      <c r="C44" s="37"/>
      <c r="D44" s="39"/>
      <c r="E44" s="39"/>
      <c r="F44" s="67"/>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8"/>
    </row>
    <row r="45" spans="1:33" ht="15.75" customHeight="1" x14ac:dyDescent="0.25">
      <c r="A45" s="444"/>
      <c r="B45" s="26"/>
      <c r="C45" s="37"/>
      <c r="D45" s="39"/>
      <c r="E45" s="39"/>
      <c r="F45" s="67"/>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8"/>
    </row>
    <row r="46" spans="1:33" ht="53.25" customHeight="1" x14ac:dyDescent="0.25">
      <c r="A46" s="274"/>
      <c r="B46" s="26"/>
      <c r="C46" s="37"/>
      <c r="D46" s="39"/>
      <c r="E46" s="39"/>
      <c r="F46" s="67"/>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8"/>
    </row>
    <row r="47" spans="1:33" ht="75.75" customHeight="1" x14ac:dyDescent="0.25">
      <c r="A47" s="274"/>
      <c r="B47" s="75"/>
      <c r="C47" s="75"/>
      <c r="D47" s="75"/>
      <c r="E47" s="75"/>
      <c r="F47" s="75"/>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8"/>
    </row>
    <row r="48" spans="1:33" ht="31.5" customHeight="1" x14ac:dyDescent="0.25">
      <c r="A48" s="26"/>
      <c r="B48" s="26"/>
      <c r="C48" s="37"/>
      <c r="D48" s="39"/>
      <c r="E48" s="39"/>
      <c r="F48" s="39"/>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8"/>
    </row>
    <row r="49" spans="1:34" ht="44.25" customHeight="1" x14ac:dyDescent="0.25">
      <c r="A49" s="55"/>
      <c r="B49" s="55"/>
      <c r="C49" s="37"/>
      <c r="D49" s="41"/>
      <c r="E49" s="41"/>
      <c r="F49" s="39"/>
      <c r="G49" s="463" t="s">
        <v>167</v>
      </c>
      <c r="H49" s="463"/>
      <c r="I49" s="463"/>
      <c r="J49" s="60"/>
      <c r="K49" s="60"/>
      <c r="L49" s="60"/>
      <c r="M49" s="60"/>
      <c r="N49" s="60"/>
      <c r="O49" s="60"/>
      <c r="P49" s="60"/>
      <c r="Q49" s="60"/>
      <c r="R49" s="60"/>
      <c r="S49" s="60"/>
      <c r="T49" s="60"/>
      <c r="U49" s="60"/>
      <c r="V49" s="60"/>
      <c r="W49" s="60"/>
      <c r="X49" s="60"/>
      <c r="Y49" s="60"/>
      <c r="Z49" s="60"/>
      <c r="AA49" s="60"/>
      <c r="AB49" s="60"/>
      <c r="AC49" s="60"/>
      <c r="AD49" s="60"/>
      <c r="AE49" s="60"/>
      <c r="AF49" s="60"/>
      <c r="AG49" s="28"/>
    </row>
    <row r="50" spans="1:34" ht="24" customHeight="1" x14ac:dyDescent="0.25">
      <c r="A50" s="26"/>
      <c r="B50" s="26"/>
      <c r="C50" s="37"/>
      <c r="D50" s="39"/>
      <c r="E50" s="39"/>
      <c r="F50" s="39"/>
      <c r="G50" s="463"/>
      <c r="H50" s="463"/>
      <c r="I50" s="463"/>
      <c r="J50" s="44"/>
      <c r="K50" s="44"/>
      <c r="L50" s="44"/>
      <c r="M50" s="44"/>
      <c r="N50" s="44"/>
      <c r="O50" s="44"/>
      <c r="P50" s="44"/>
      <c r="Q50" s="44"/>
      <c r="R50" s="44"/>
      <c r="S50" s="44"/>
      <c r="T50" s="44"/>
      <c r="U50" s="44"/>
      <c r="V50" s="44"/>
      <c r="W50" s="44"/>
      <c r="X50" s="44"/>
      <c r="Y50" s="44"/>
      <c r="Z50" s="44"/>
      <c r="AA50" s="44"/>
      <c r="AB50" s="44"/>
      <c r="AC50" s="44"/>
      <c r="AD50" s="44"/>
      <c r="AE50" s="44"/>
      <c r="AF50" s="44"/>
      <c r="AG50" s="28"/>
    </row>
    <row r="51" spans="1:34" ht="31.5" customHeight="1" x14ac:dyDescent="0.25">
      <c r="A51" s="26"/>
      <c r="B51" s="26"/>
      <c r="C51" s="37"/>
      <c r="D51" s="39"/>
      <c r="E51" s="39"/>
      <c r="F51" s="39"/>
      <c r="G51" s="465" t="s">
        <v>169</v>
      </c>
      <c r="H51" s="465"/>
      <c r="I51" s="465"/>
      <c r="J51" s="465"/>
      <c r="K51" s="26"/>
      <c r="L51" s="26"/>
      <c r="M51" s="26"/>
      <c r="N51" s="26"/>
      <c r="O51" s="26"/>
      <c r="P51" s="26"/>
      <c r="Q51" s="26"/>
      <c r="R51" s="26"/>
      <c r="S51" s="26"/>
      <c r="T51" s="26"/>
      <c r="U51" s="26"/>
      <c r="V51" s="26"/>
      <c r="W51" s="26"/>
      <c r="X51" s="26"/>
      <c r="Y51" s="26"/>
      <c r="Z51" s="26"/>
      <c r="AA51" s="26"/>
      <c r="AB51" s="26"/>
      <c r="AC51" s="26"/>
      <c r="AD51" s="26"/>
      <c r="AE51" s="26"/>
      <c r="AF51" s="26"/>
      <c r="AG51" s="28"/>
    </row>
    <row r="52" spans="1:34" x14ac:dyDescent="0.25">
      <c r="A52" s="26"/>
      <c r="B52" s="26"/>
      <c r="C52" s="37"/>
      <c r="D52" s="39"/>
      <c r="E52" s="39"/>
      <c r="F52" s="39"/>
      <c r="G52" s="465"/>
      <c r="H52" s="465"/>
      <c r="I52" s="465"/>
      <c r="J52" s="465"/>
      <c r="K52" s="44"/>
      <c r="L52" s="44"/>
      <c r="M52" s="44"/>
      <c r="N52" s="44"/>
      <c r="O52" s="44"/>
      <c r="P52" s="44"/>
      <c r="Q52" s="44"/>
      <c r="R52" s="44"/>
      <c r="S52" s="44"/>
      <c r="T52" s="44"/>
      <c r="U52" s="44"/>
      <c r="V52" s="44"/>
      <c r="W52" s="44"/>
      <c r="X52" s="44"/>
      <c r="Y52" s="44"/>
      <c r="Z52" s="44"/>
      <c r="AA52" s="44"/>
      <c r="AB52" s="44"/>
      <c r="AC52" s="44"/>
      <c r="AD52" s="44"/>
      <c r="AE52" s="44"/>
      <c r="AF52" s="44"/>
      <c r="AG52" s="28"/>
    </row>
    <row r="53" spans="1:34" ht="6" customHeight="1" x14ac:dyDescent="0.25">
      <c r="A53" s="26"/>
      <c r="B53" s="26"/>
      <c r="C53" s="37"/>
      <c r="D53" s="41"/>
      <c r="E53" s="39"/>
      <c r="F53" s="39"/>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28"/>
    </row>
    <row r="54" spans="1:34" ht="29.25" customHeight="1" x14ac:dyDescent="0.25">
      <c r="A54" s="26"/>
      <c r="B54" s="26"/>
      <c r="C54" s="34"/>
      <c r="D54" s="41"/>
      <c r="E54" s="39"/>
      <c r="F54" s="39"/>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28"/>
    </row>
    <row r="55" spans="1:34" ht="17.25" customHeight="1" x14ac:dyDescent="0.3">
      <c r="A55" s="464" t="s">
        <v>168</v>
      </c>
      <c r="B55" s="464"/>
      <c r="C55" s="464"/>
      <c r="D55" s="464"/>
      <c r="E55" s="464"/>
      <c r="F55" s="464"/>
      <c r="G55" s="464"/>
      <c r="H55" s="464"/>
      <c r="I55" s="464"/>
      <c r="J55" s="464"/>
      <c r="K55" s="26"/>
      <c r="L55" s="26"/>
      <c r="M55" s="26"/>
      <c r="N55" s="26"/>
      <c r="O55" s="26"/>
      <c r="P55" s="26"/>
      <c r="Q55" s="26"/>
      <c r="R55" s="26"/>
      <c r="S55" s="26"/>
      <c r="T55" s="26"/>
      <c r="U55" s="26"/>
      <c r="V55" s="26"/>
      <c r="W55" s="26"/>
      <c r="X55" s="26"/>
      <c r="Y55" s="26"/>
      <c r="Z55" s="26"/>
      <c r="AA55" s="26"/>
      <c r="AB55" s="26"/>
      <c r="AC55" s="26"/>
      <c r="AD55" s="26"/>
      <c r="AE55" s="26"/>
      <c r="AF55" s="26"/>
      <c r="AG55" s="41"/>
      <c r="AH55"/>
    </row>
    <row r="56" spans="1:34" ht="17.25" customHeight="1" x14ac:dyDescent="0.25">
      <c r="A56" s="27"/>
      <c r="B56" s="27"/>
      <c r="C56" s="37"/>
      <c r="D56" s="41"/>
      <c r="E56" s="55"/>
      <c r="F56" s="41"/>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41"/>
      <c r="AH56"/>
    </row>
    <row r="57" spans="1:34" ht="18" customHeight="1" x14ac:dyDescent="0.25">
      <c r="A57" s="26"/>
      <c r="B57" s="26"/>
      <c r="C57" s="37"/>
      <c r="D57" s="39"/>
      <c r="E57" s="39"/>
      <c r="F57" s="39"/>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28"/>
      <c r="AH57"/>
    </row>
    <row r="58" spans="1:34" ht="33.75" customHeight="1" x14ac:dyDescent="0.25">
      <c r="A58" s="26"/>
      <c r="B58" s="26"/>
      <c r="C58" s="37"/>
      <c r="D58" s="39"/>
      <c r="E58" s="39"/>
      <c r="F58" s="39"/>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28"/>
      <c r="AH58"/>
    </row>
    <row r="59" spans="1:34" ht="46.5" customHeight="1" x14ac:dyDescent="0.25">
      <c r="A59" s="26"/>
      <c r="B59" s="26"/>
      <c r="C59" s="34"/>
      <c r="D59" s="41"/>
      <c r="E59" s="39"/>
      <c r="F59" s="39"/>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28"/>
      <c r="AH59"/>
    </row>
    <row r="60" spans="1:34" ht="36" customHeight="1" x14ac:dyDescent="0.25">
      <c r="A60" s="43"/>
      <c r="B60" s="43"/>
      <c r="C60" s="34"/>
      <c r="D60" s="41"/>
      <c r="E60" s="39"/>
      <c r="F60" s="39"/>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28"/>
      <c r="AH60"/>
    </row>
    <row r="61" spans="1:34" ht="52.5" customHeight="1" x14ac:dyDescent="0.45">
      <c r="A61" s="46"/>
      <c r="B61" s="46"/>
      <c r="C61" s="37"/>
      <c r="D61" s="56"/>
      <c r="E61" s="28"/>
      <c r="F61" s="39"/>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28"/>
      <c r="AH61"/>
    </row>
    <row r="62" spans="1:34" ht="44.25" customHeight="1" x14ac:dyDescent="0.45">
      <c r="A62" s="46"/>
      <c r="B62" s="46"/>
      <c r="C62" s="37"/>
      <c r="D62" s="56"/>
      <c r="E62" s="39"/>
      <c r="F62" s="39"/>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28"/>
      <c r="AH62"/>
    </row>
    <row r="63" spans="1:34" ht="42.75" customHeight="1" x14ac:dyDescent="0.45">
      <c r="A63" s="57"/>
      <c r="B63" s="57"/>
      <c r="C63" s="37"/>
      <c r="D63" s="56"/>
      <c r="E63" s="39"/>
      <c r="F63" s="39"/>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28"/>
      <c r="AH63"/>
    </row>
    <row r="64" spans="1:34" ht="40.5" customHeight="1" x14ac:dyDescent="0.45">
      <c r="A64" s="57"/>
      <c r="B64" s="57"/>
      <c r="C64" s="37"/>
      <c r="D64" s="56"/>
      <c r="E64" s="39"/>
      <c r="F64" s="39"/>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28"/>
      <c r="AH64"/>
    </row>
    <row r="65" spans="1:34" x14ac:dyDescent="0.25">
      <c r="A65" s="26"/>
      <c r="B65" s="26"/>
      <c r="C65" s="37"/>
      <c r="D65" s="41"/>
      <c r="E65" s="39"/>
      <c r="F65" s="39"/>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28"/>
      <c r="AH65"/>
    </row>
    <row r="66" spans="1:34" ht="28.5" customHeight="1" x14ac:dyDescent="0.25">
      <c r="A66" s="26"/>
      <c r="B66" s="26"/>
      <c r="C66" s="37"/>
      <c r="D66" s="41"/>
      <c r="E66" s="39"/>
      <c r="F66" s="39"/>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28"/>
      <c r="AH66"/>
    </row>
    <row r="67" spans="1:34" ht="40.5" customHeight="1" x14ac:dyDescent="0.25">
      <c r="A67" s="26"/>
      <c r="B67" s="26"/>
      <c r="C67" s="37"/>
      <c r="D67" s="39"/>
      <c r="E67" s="39"/>
      <c r="F67" s="39"/>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8"/>
      <c r="AH67"/>
    </row>
    <row r="68" spans="1:34" ht="29.25" customHeight="1" x14ac:dyDescent="0.25">
      <c r="A68" s="26"/>
      <c r="B68" s="26"/>
      <c r="C68" s="37"/>
      <c r="D68" s="41"/>
      <c r="E68" s="39"/>
      <c r="F68" s="39"/>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8"/>
      <c r="AH68"/>
    </row>
    <row r="69" spans="1:34" x14ac:dyDescent="0.25">
      <c r="A69" s="26"/>
      <c r="B69" s="26"/>
      <c r="C69" s="37"/>
      <c r="D69" s="39"/>
      <c r="E69" s="39"/>
      <c r="F69" s="39"/>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8"/>
      <c r="AH69"/>
    </row>
    <row r="70" spans="1:34" x14ac:dyDescent="0.25">
      <c r="A70" s="26"/>
      <c r="B70" s="26"/>
      <c r="C70" s="34"/>
      <c r="D70" s="41"/>
      <c r="E70" s="39"/>
      <c r="F70" s="39"/>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28"/>
      <c r="AH70"/>
    </row>
    <row r="71" spans="1:34" ht="30" customHeight="1" x14ac:dyDescent="0.25">
      <c r="A71" s="26"/>
      <c r="B71" s="26"/>
      <c r="C71" s="37"/>
      <c r="D71" s="41"/>
      <c r="E71" s="39"/>
      <c r="F71" s="39"/>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28"/>
      <c r="AH71"/>
    </row>
    <row r="72" spans="1:34" ht="20.25" customHeight="1" x14ac:dyDescent="0.25">
      <c r="A72" s="26"/>
      <c r="B72" s="26"/>
      <c r="C72" s="37"/>
      <c r="D72" s="39"/>
      <c r="E72" s="39"/>
      <c r="F72" s="39"/>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28"/>
      <c r="AH72"/>
    </row>
    <row r="73" spans="1:34" x14ac:dyDescent="0.25">
      <c r="A73" s="26"/>
      <c r="B73" s="26"/>
      <c r="C73" s="37"/>
      <c r="D73" s="41"/>
      <c r="E73" s="39"/>
      <c r="F73" s="3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28"/>
      <c r="AH73"/>
    </row>
    <row r="74" spans="1:34" x14ac:dyDescent="0.25">
      <c r="A74" s="23"/>
      <c r="B74" s="23"/>
      <c r="C74" s="37"/>
      <c r="D74" s="73"/>
      <c r="E74" s="28"/>
      <c r="F74" s="39"/>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28"/>
      <c r="AH74"/>
    </row>
    <row r="75" spans="1:34" ht="45" customHeight="1" x14ac:dyDescent="0.25">
      <c r="A75" s="26"/>
      <c r="B75" s="26"/>
      <c r="C75" s="37"/>
      <c r="D75" s="41"/>
      <c r="E75" s="55"/>
      <c r="F75" s="74"/>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28"/>
      <c r="AH75"/>
    </row>
    <row r="76" spans="1:34" x14ac:dyDescent="0.25">
      <c r="A76" s="23"/>
      <c r="B76" s="23"/>
      <c r="C76" s="37"/>
      <c r="D76" s="73"/>
      <c r="E76" s="28"/>
      <c r="F76" s="39"/>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28"/>
      <c r="AH76"/>
    </row>
    <row r="77" spans="1:34" x14ac:dyDescent="0.25">
      <c r="A77" s="26"/>
      <c r="B77" s="26"/>
      <c r="C77" s="37"/>
      <c r="D77" s="41"/>
      <c r="E77" s="39"/>
      <c r="F77" s="3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28"/>
      <c r="AH77"/>
    </row>
    <row r="78" spans="1:34" x14ac:dyDescent="0.25">
      <c r="A78" s="26"/>
      <c r="B78" s="26"/>
      <c r="C78" s="37"/>
      <c r="D78" s="41"/>
      <c r="E78" s="39"/>
      <c r="F78" s="39"/>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28"/>
      <c r="AH78"/>
    </row>
    <row r="79" spans="1:34" ht="28.5" customHeight="1" x14ac:dyDescent="0.25">
      <c r="A79" s="26"/>
      <c r="B79" s="26"/>
      <c r="C79" s="37"/>
      <c r="D79" s="39"/>
      <c r="E79" s="39"/>
      <c r="F79" s="39"/>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28"/>
      <c r="AH79"/>
    </row>
    <row r="80" spans="1:34" ht="32.25" customHeight="1" x14ac:dyDescent="0.25">
      <c r="A80" s="43"/>
      <c r="B80" s="43"/>
      <c r="C80" s="37"/>
      <c r="D80" s="41"/>
      <c r="E80" s="39"/>
      <c r="F80" s="39"/>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28"/>
      <c r="AH80"/>
    </row>
    <row r="81" spans="1:34" ht="24.75" customHeight="1" x14ac:dyDescent="0.25">
      <c r="A81" s="26"/>
      <c r="B81" s="26"/>
      <c r="C81" s="37"/>
      <c r="D81" s="39"/>
      <c r="E81" s="39"/>
      <c r="F81" s="39"/>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28"/>
      <c r="AH81"/>
    </row>
    <row r="82" spans="1:34" ht="29.25" customHeight="1" x14ac:dyDescent="0.25">
      <c r="A82" s="43"/>
      <c r="B82" s="43"/>
      <c r="C82" s="37"/>
      <c r="D82" s="41"/>
      <c r="E82" s="39"/>
      <c r="F82" s="39"/>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28"/>
      <c r="AH82"/>
    </row>
    <row r="83" spans="1:34" ht="29.25" customHeight="1" x14ac:dyDescent="0.25">
      <c r="A83" s="26"/>
      <c r="B83" s="26"/>
      <c r="C83" s="37"/>
      <c r="D83" s="41"/>
      <c r="E83" s="39"/>
      <c r="F83" s="39"/>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28"/>
      <c r="AH83"/>
    </row>
    <row r="84" spans="1:34" ht="36" customHeight="1" x14ac:dyDescent="0.25">
      <c r="A84" s="26"/>
      <c r="B84" s="26"/>
      <c r="C84" s="37"/>
      <c r="D84" s="41"/>
      <c r="E84" s="39"/>
      <c r="F84" s="39"/>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28"/>
      <c r="AH84"/>
    </row>
    <row r="85" spans="1:34" ht="27" customHeight="1" x14ac:dyDescent="0.25">
      <c r="A85" s="26"/>
      <c r="B85" s="26"/>
      <c r="C85" s="37"/>
      <c r="D85" s="39"/>
      <c r="E85" s="39"/>
      <c r="F85" s="39"/>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28"/>
      <c r="AH85"/>
    </row>
    <row r="86" spans="1:34" ht="36" customHeight="1" x14ac:dyDescent="0.25">
      <c r="A86" s="26"/>
      <c r="B86" s="26"/>
      <c r="C86" s="37"/>
      <c r="D86" s="41"/>
      <c r="E86" s="39"/>
      <c r="F86" s="39"/>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28"/>
      <c r="AH86"/>
    </row>
    <row r="87" spans="1:34" ht="32.25" customHeight="1" x14ac:dyDescent="0.25">
      <c r="A87" s="43"/>
      <c r="B87" s="43"/>
      <c r="C87" s="37"/>
      <c r="D87" s="41"/>
      <c r="E87" s="41"/>
      <c r="F87" s="39"/>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28"/>
      <c r="AH87"/>
    </row>
    <row r="88" spans="1:34" ht="27.75" customHeight="1" x14ac:dyDescent="0.25">
      <c r="A88" s="26"/>
      <c r="B88" s="26"/>
      <c r="C88" s="37"/>
      <c r="D88" s="41"/>
      <c r="E88" s="39"/>
      <c r="F88" s="39"/>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28"/>
      <c r="AH88"/>
    </row>
    <row r="89" spans="1:34" ht="39.75" customHeight="1" x14ac:dyDescent="0.25">
      <c r="A89" s="43"/>
      <c r="B89" s="43"/>
      <c r="C89" s="37"/>
      <c r="D89" s="41"/>
      <c r="E89" s="39"/>
      <c r="F89" s="39"/>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28"/>
      <c r="AH89"/>
    </row>
    <row r="90" spans="1:34" ht="26.25" customHeight="1" x14ac:dyDescent="0.25">
      <c r="A90" s="26"/>
      <c r="B90" s="26"/>
      <c r="C90" s="37"/>
      <c r="D90" s="41"/>
      <c r="E90" s="39"/>
      <c r="F90" s="39"/>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28"/>
      <c r="AH90"/>
    </row>
    <row r="91" spans="1:34" ht="31.5" customHeight="1" x14ac:dyDescent="0.25">
      <c r="A91" s="23"/>
      <c r="B91" s="23"/>
      <c r="C91" s="37"/>
      <c r="D91" s="39"/>
      <c r="E91" s="39"/>
      <c r="F91" s="39"/>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28"/>
      <c r="AH91"/>
    </row>
    <row r="92" spans="1:34" x14ac:dyDescent="0.25">
      <c r="A92" s="23"/>
      <c r="B92" s="23"/>
      <c r="C92" s="37"/>
      <c r="D92" s="39"/>
      <c r="E92" s="39"/>
      <c r="F92" s="39"/>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28"/>
      <c r="AH92"/>
    </row>
    <row r="93" spans="1:34" ht="54.75" customHeight="1" x14ac:dyDescent="0.25">
      <c r="A93" s="26"/>
      <c r="B93" s="26"/>
      <c r="C93" s="37"/>
      <c r="D93" s="26"/>
      <c r="E93" s="39"/>
      <c r="F93" s="39"/>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8"/>
      <c r="AH93"/>
    </row>
    <row r="94" spans="1:34" ht="25.5" customHeight="1" x14ac:dyDescent="0.25">
      <c r="A94" s="23"/>
      <c r="B94" s="23"/>
      <c r="C94" s="37"/>
      <c r="D94" s="39"/>
      <c r="E94" s="39"/>
      <c r="F94" s="39"/>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28"/>
      <c r="AH94"/>
    </row>
    <row r="95" spans="1:34" ht="46.5" customHeight="1" x14ac:dyDescent="0.25">
      <c r="A95" s="55"/>
      <c r="B95" s="55"/>
      <c r="C95" s="37"/>
      <c r="D95" s="39"/>
      <c r="E95" s="39"/>
      <c r="F95" s="39"/>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28"/>
      <c r="AH95"/>
    </row>
    <row r="96" spans="1:34" ht="33.75" customHeight="1" x14ac:dyDescent="0.25">
      <c r="A96" s="55"/>
      <c r="B96" s="55"/>
      <c r="C96" s="37"/>
      <c r="D96" s="41"/>
      <c r="E96" s="39"/>
      <c r="F96" s="39"/>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8"/>
      <c r="AH96"/>
    </row>
    <row r="97" spans="1:34" ht="36.75" customHeight="1" x14ac:dyDescent="0.25">
      <c r="A97" s="23"/>
      <c r="B97" s="23"/>
      <c r="C97" s="37"/>
      <c r="D97" s="41"/>
      <c r="E97" s="39"/>
      <c r="F97" s="39"/>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8"/>
      <c r="AH97"/>
    </row>
    <row r="98" spans="1:34" ht="36.75" customHeight="1" x14ac:dyDescent="0.45">
      <c r="A98" s="46"/>
      <c r="B98" s="46"/>
      <c r="C98" s="37"/>
      <c r="D98" s="56"/>
      <c r="E98" s="39"/>
      <c r="F98" s="39"/>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72"/>
      <c r="AH98"/>
    </row>
    <row r="99" spans="1:34" x14ac:dyDescent="0.25">
      <c r="A99" s="43"/>
      <c r="B99" s="43"/>
      <c r="C99" s="37"/>
      <c r="D99" s="41"/>
      <c r="E99" s="41"/>
      <c r="F99" s="39"/>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72"/>
      <c r="AH99"/>
    </row>
    <row r="100" spans="1:34" ht="32.25" customHeight="1" x14ac:dyDescent="0.35">
      <c r="A100" s="51"/>
      <c r="B100" s="51"/>
      <c r="C100" s="37"/>
      <c r="D100" s="58"/>
      <c r="E100" s="39"/>
      <c r="F100" s="39"/>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28"/>
      <c r="AH100"/>
    </row>
    <row r="101" spans="1:34" ht="35.25" customHeight="1" x14ac:dyDescent="0.25">
      <c r="A101" s="26"/>
      <c r="B101" s="26"/>
      <c r="C101" s="37"/>
      <c r="D101" s="41"/>
      <c r="E101" s="41"/>
      <c r="F101" s="39"/>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28"/>
      <c r="AH101"/>
    </row>
    <row r="102" spans="1:34" x14ac:dyDescent="0.25">
      <c r="A102" s="26"/>
      <c r="B102" s="26"/>
      <c r="C102" s="37"/>
      <c r="D102" s="41"/>
      <c r="E102" s="39"/>
      <c r="F102" s="39"/>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28"/>
      <c r="AH102"/>
    </row>
    <row r="103" spans="1:34" x14ac:dyDescent="0.25">
      <c r="A103" s="43"/>
      <c r="B103" s="43"/>
      <c r="C103" s="37"/>
      <c r="D103" s="41"/>
      <c r="E103" s="39"/>
      <c r="F103" s="39"/>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28"/>
      <c r="AH103"/>
    </row>
    <row r="104" spans="1:34" ht="24.75" customHeight="1" x14ac:dyDescent="0.25">
      <c r="A104" s="26"/>
      <c r="B104" s="26"/>
      <c r="C104" s="37"/>
      <c r="D104" s="39"/>
      <c r="E104" s="39"/>
      <c r="F104" s="39"/>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8"/>
      <c r="AH104"/>
    </row>
    <row r="105" spans="1:34" ht="27.75" customHeight="1" x14ac:dyDescent="0.25">
      <c r="A105" s="26"/>
      <c r="B105" s="26"/>
      <c r="C105" s="37"/>
      <c r="D105" s="41"/>
      <c r="E105" s="39"/>
      <c r="F105" s="39"/>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8"/>
      <c r="AH105"/>
    </row>
    <row r="106" spans="1:34" ht="27.75" customHeight="1" x14ac:dyDescent="0.25">
      <c r="A106" s="26"/>
      <c r="B106" s="26"/>
      <c r="C106" s="37"/>
      <c r="D106" s="39"/>
      <c r="E106" s="39"/>
      <c r="F106" s="39"/>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8"/>
      <c r="AH106"/>
    </row>
    <row r="107" spans="1:34" ht="27.75" customHeight="1" x14ac:dyDescent="0.25">
      <c r="A107" s="43"/>
      <c r="B107" s="43"/>
      <c r="C107" s="37"/>
      <c r="D107" s="41"/>
      <c r="E107" s="39"/>
      <c r="F107" s="39"/>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28"/>
      <c r="AH107"/>
    </row>
    <row r="108" spans="1:34" x14ac:dyDescent="0.25">
      <c r="A108" s="26"/>
      <c r="B108" s="26"/>
      <c r="C108" s="37"/>
      <c r="D108" s="41"/>
      <c r="E108" s="39"/>
      <c r="F108" s="39"/>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28"/>
      <c r="AH108"/>
    </row>
    <row r="109" spans="1:34" ht="25.5" customHeight="1" x14ac:dyDescent="0.25">
      <c r="A109" s="53"/>
      <c r="B109" s="53"/>
      <c r="C109" s="37"/>
      <c r="D109" s="52"/>
      <c r="E109" s="39"/>
      <c r="F109" s="39"/>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28"/>
      <c r="AH109"/>
    </row>
    <row r="110" spans="1:34" x14ac:dyDescent="0.25">
      <c r="A110" s="26"/>
      <c r="B110" s="26"/>
      <c r="C110" s="37"/>
      <c r="D110" s="39"/>
      <c r="E110" s="39"/>
      <c r="F110" s="39"/>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28"/>
      <c r="AH110"/>
    </row>
    <row r="111" spans="1:34" x14ac:dyDescent="0.25">
      <c r="A111" s="26"/>
      <c r="B111" s="26"/>
      <c r="C111" s="37"/>
      <c r="D111" s="41"/>
      <c r="E111" s="39"/>
      <c r="F111" s="39"/>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28"/>
      <c r="AH111"/>
    </row>
    <row r="112" spans="1:34" ht="42" customHeight="1" x14ac:dyDescent="0.45">
      <c r="A112" s="57"/>
      <c r="B112" s="57"/>
      <c r="C112" s="37"/>
      <c r="D112" s="56"/>
      <c r="E112" s="48"/>
      <c r="F112" s="39"/>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28"/>
      <c r="AH112"/>
    </row>
    <row r="113" spans="1:34" ht="15.5" x14ac:dyDescent="0.45">
      <c r="A113" s="46"/>
      <c r="B113" s="46"/>
      <c r="C113" s="37"/>
      <c r="D113" s="56"/>
      <c r="E113" s="39"/>
      <c r="F113" s="39"/>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28"/>
      <c r="AH113"/>
    </row>
    <row r="114" spans="1:34" x14ac:dyDescent="0.25">
      <c r="A114" s="43"/>
      <c r="B114" s="43"/>
      <c r="C114" s="37"/>
      <c r="D114" s="41"/>
      <c r="E114" s="39"/>
      <c r="F114" s="39"/>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28"/>
      <c r="AH114"/>
    </row>
    <row r="115" spans="1:34" x14ac:dyDescent="0.25">
      <c r="A115" s="26"/>
      <c r="B115" s="26"/>
      <c r="C115" s="37"/>
      <c r="D115" s="41"/>
      <c r="E115" s="39"/>
      <c r="F115" s="39"/>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28"/>
      <c r="AH115"/>
    </row>
    <row r="116" spans="1:34" x14ac:dyDescent="0.25">
      <c r="A116" s="26"/>
      <c r="B116" s="26"/>
      <c r="C116" s="37"/>
      <c r="D116" s="39"/>
      <c r="E116" s="39"/>
      <c r="F116" s="39"/>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28"/>
      <c r="AH116"/>
    </row>
    <row r="117" spans="1:34" x14ac:dyDescent="0.25">
      <c r="A117" s="26"/>
      <c r="B117" s="26"/>
      <c r="C117" s="37"/>
      <c r="D117" s="39"/>
      <c r="E117" s="39"/>
      <c r="F117" s="39"/>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28"/>
      <c r="AH117"/>
    </row>
    <row r="118" spans="1:34" x14ac:dyDescent="0.25">
      <c r="A118" s="43"/>
      <c r="B118" s="43"/>
      <c r="C118" s="37"/>
      <c r="D118" s="39"/>
      <c r="E118" s="39"/>
      <c r="F118" s="39"/>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28"/>
      <c r="AH118"/>
    </row>
    <row r="119" spans="1:34" x14ac:dyDescent="0.25">
      <c r="A119" s="26"/>
      <c r="B119" s="26"/>
      <c r="C119" s="37"/>
      <c r="D119" s="39"/>
      <c r="E119" s="39"/>
      <c r="F119" s="39"/>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28"/>
      <c r="AH119"/>
    </row>
    <row r="120" spans="1:34" ht="47.25" customHeight="1" x14ac:dyDescent="0.25">
      <c r="A120" s="26"/>
      <c r="B120" s="26"/>
      <c r="C120" s="37"/>
      <c r="D120" s="39"/>
      <c r="E120" s="39"/>
      <c r="F120" s="39"/>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28"/>
      <c r="AH120"/>
    </row>
    <row r="121" spans="1:34" ht="45.75" customHeight="1" x14ac:dyDescent="0.25">
      <c r="A121" s="43"/>
      <c r="B121" s="43"/>
      <c r="C121" s="37"/>
      <c r="D121" s="39"/>
      <c r="E121" s="39"/>
      <c r="F121" s="39"/>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28"/>
      <c r="AH121"/>
    </row>
    <row r="122" spans="1:34" ht="28.5" customHeight="1" x14ac:dyDescent="0.25">
      <c r="A122" s="26"/>
      <c r="B122" s="26"/>
      <c r="C122" s="37"/>
      <c r="D122" s="41"/>
      <c r="E122" s="39"/>
      <c r="F122" s="39"/>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28"/>
      <c r="AH122"/>
    </row>
    <row r="123" spans="1:34" ht="42.75" customHeight="1" x14ac:dyDescent="0.25">
      <c r="A123" s="43"/>
      <c r="B123" s="43"/>
      <c r="C123" s="37"/>
      <c r="D123" s="41"/>
      <c r="E123" s="39"/>
      <c r="F123" s="39"/>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28"/>
      <c r="AH123"/>
    </row>
    <row r="124" spans="1:34" ht="24" customHeight="1" x14ac:dyDescent="0.25">
      <c r="A124" s="26"/>
      <c r="B124" s="26"/>
      <c r="C124" s="37"/>
      <c r="D124" s="41"/>
      <c r="E124" s="39"/>
      <c r="F124" s="39"/>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28"/>
      <c r="AH124"/>
    </row>
    <row r="125" spans="1:34" x14ac:dyDescent="0.25">
      <c r="A125" s="26"/>
      <c r="B125" s="26"/>
      <c r="C125" s="37"/>
      <c r="D125" s="39"/>
      <c r="E125" s="39"/>
      <c r="F125" s="39"/>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28"/>
      <c r="AH125"/>
    </row>
    <row r="126" spans="1:34" ht="13.5" x14ac:dyDescent="0.35">
      <c r="A126" s="50"/>
      <c r="B126" s="50"/>
      <c r="C126" s="37"/>
      <c r="D126" s="71"/>
      <c r="E126" s="39"/>
      <c r="F126" s="39"/>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28"/>
      <c r="AH126"/>
    </row>
    <row r="127" spans="1:34" ht="13.5" x14ac:dyDescent="0.35">
      <c r="A127" s="51"/>
      <c r="B127" s="51"/>
      <c r="C127" s="37"/>
      <c r="D127" s="71"/>
      <c r="E127" s="39"/>
      <c r="F127" s="39"/>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28"/>
      <c r="AH127"/>
    </row>
    <row r="128" spans="1:34" ht="13.5" x14ac:dyDescent="0.35">
      <c r="A128" s="50"/>
      <c r="B128" s="50"/>
      <c r="C128" s="37"/>
      <c r="D128" s="71"/>
      <c r="E128" s="39"/>
      <c r="F128" s="39"/>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28"/>
      <c r="AH128"/>
    </row>
    <row r="129" spans="1:34" ht="45.75" customHeight="1" x14ac:dyDescent="0.25">
      <c r="A129" s="26"/>
      <c r="B129" s="26"/>
      <c r="C129" s="37"/>
      <c r="D129" s="41"/>
      <c r="E129" s="39"/>
      <c r="F129" s="39"/>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28"/>
      <c r="AH129"/>
    </row>
    <row r="130" spans="1:34" ht="57" customHeight="1" x14ac:dyDescent="0.25">
      <c r="A130" s="26"/>
      <c r="B130" s="26"/>
      <c r="C130" s="37"/>
      <c r="D130" s="39"/>
      <c r="E130" s="39"/>
      <c r="F130" s="39"/>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28"/>
      <c r="AH130"/>
    </row>
    <row r="131" spans="1:34" ht="47.25" customHeight="1" x14ac:dyDescent="0.25">
      <c r="A131" s="26"/>
      <c r="B131" s="26"/>
      <c r="C131" s="37"/>
      <c r="D131" s="39"/>
      <c r="E131" s="39"/>
      <c r="F131" s="39"/>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28"/>
      <c r="AH131"/>
    </row>
    <row r="132" spans="1:34" ht="47.25" customHeight="1" x14ac:dyDescent="0.25">
      <c r="A132" s="26"/>
      <c r="B132" s="26"/>
      <c r="C132" s="37"/>
      <c r="D132" s="39"/>
      <c r="E132" s="39"/>
      <c r="F132" s="39"/>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28"/>
      <c r="AH132"/>
    </row>
    <row r="133" spans="1:34" ht="49.5" customHeight="1" x14ac:dyDescent="0.45">
      <c r="A133" s="70"/>
      <c r="B133" s="70"/>
      <c r="C133" s="37"/>
      <c r="D133" s="56"/>
      <c r="E133" s="48"/>
      <c r="F133" s="39"/>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28"/>
      <c r="AH133"/>
    </row>
    <row r="134" spans="1:34" ht="34.5" customHeight="1" x14ac:dyDescent="0.25">
      <c r="A134" s="26"/>
      <c r="B134" s="26"/>
      <c r="C134" s="37"/>
      <c r="D134" s="39"/>
      <c r="E134" s="48"/>
      <c r="F134" s="39"/>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28"/>
      <c r="AH134"/>
    </row>
    <row r="135" spans="1:34" ht="39.75" customHeight="1" x14ac:dyDescent="0.25">
      <c r="A135" s="26"/>
      <c r="B135" s="26"/>
      <c r="C135" s="37"/>
      <c r="D135" s="41"/>
      <c r="E135" s="67"/>
      <c r="F135" s="67"/>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28"/>
      <c r="AH135"/>
    </row>
    <row r="136" spans="1:34" ht="29.25" customHeight="1" x14ac:dyDescent="0.25">
      <c r="A136" s="53"/>
      <c r="B136" s="53"/>
      <c r="C136" s="37"/>
      <c r="D136" s="64"/>
      <c r="E136" s="39"/>
      <c r="F136" s="39"/>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28"/>
      <c r="AH136"/>
    </row>
    <row r="137" spans="1:34" ht="13.5" x14ac:dyDescent="0.35">
      <c r="A137" s="50"/>
      <c r="B137" s="50"/>
      <c r="C137" s="37"/>
      <c r="D137" s="49"/>
      <c r="E137" s="39"/>
      <c r="F137" s="39"/>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28"/>
      <c r="AH137"/>
    </row>
    <row r="138" spans="1:34" ht="42" customHeight="1" x14ac:dyDescent="0.35">
      <c r="A138" s="51"/>
      <c r="B138" s="51"/>
      <c r="C138" s="37"/>
      <c r="D138" s="49"/>
      <c r="E138" s="39"/>
      <c r="F138" s="39"/>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28"/>
      <c r="AH138"/>
    </row>
    <row r="139" spans="1:34" x14ac:dyDescent="0.25">
      <c r="A139" s="26"/>
      <c r="B139" s="26"/>
      <c r="C139" s="37"/>
      <c r="D139" s="39"/>
      <c r="E139" s="39"/>
      <c r="F139" s="39"/>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28"/>
      <c r="AH139"/>
    </row>
    <row r="140" spans="1:34" x14ac:dyDescent="0.25">
      <c r="A140" s="54"/>
      <c r="B140" s="54"/>
      <c r="C140" s="37"/>
      <c r="D140" s="52"/>
      <c r="E140" s="41"/>
      <c r="F140" s="41"/>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row>
    <row r="141" spans="1:34" x14ac:dyDescent="0.25">
      <c r="A141" s="54"/>
      <c r="B141" s="54"/>
      <c r="C141" s="37"/>
      <c r="D141" s="52"/>
      <c r="E141" s="41"/>
      <c r="F141" s="41"/>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row>
    <row r="142" spans="1:34" x14ac:dyDescent="0.25">
      <c r="A142" s="26"/>
      <c r="B142" s="26"/>
      <c r="C142" s="37"/>
      <c r="D142" s="41"/>
      <c r="E142" s="48"/>
      <c r="F142" s="39"/>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7"/>
      <c r="AH142"/>
    </row>
    <row r="143" spans="1:34" x14ac:dyDescent="0.25">
      <c r="A143" s="43"/>
      <c r="B143" s="43"/>
      <c r="C143" s="37"/>
      <c r="D143" s="41"/>
      <c r="E143" s="48"/>
      <c r="F143" s="39"/>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7"/>
      <c r="AH143"/>
    </row>
    <row r="144" spans="1:34" x14ac:dyDescent="0.25">
      <c r="A144" s="26"/>
      <c r="B144" s="26"/>
      <c r="C144" s="37"/>
      <c r="D144" s="39"/>
      <c r="E144" s="39"/>
      <c r="F144" s="39"/>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28"/>
      <c r="AH144"/>
    </row>
    <row r="145" spans="1:34" x14ac:dyDescent="0.25">
      <c r="A145" s="43"/>
      <c r="B145" s="43"/>
      <c r="C145" s="37"/>
      <c r="D145" s="41"/>
      <c r="E145" s="39"/>
      <c r="F145" s="39"/>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28"/>
      <c r="AH145"/>
    </row>
    <row r="146" spans="1:34" ht="24.75" customHeight="1" x14ac:dyDescent="0.25">
      <c r="A146" s="26"/>
      <c r="B146" s="26"/>
      <c r="C146" s="37"/>
      <c r="D146" s="41"/>
      <c r="E146" s="39"/>
      <c r="F146" s="39"/>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28"/>
      <c r="AH146"/>
    </row>
    <row r="147" spans="1:34" x14ac:dyDescent="0.25">
      <c r="A147" s="26"/>
      <c r="B147" s="26"/>
      <c r="C147" s="37"/>
      <c r="D147" s="39"/>
      <c r="E147" s="39"/>
      <c r="F147" s="39"/>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28"/>
      <c r="AH147"/>
    </row>
    <row r="148" spans="1:34" x14ac:dyDescent="0.25">
      <c r="A148" s="43"/>
      <c r="B148" s="43"/>
      <c r="C148" s="37"/>
      <c r="D148" s="39"/>
      <c r="E148" s="39"/>
      <c r="F148" s="39"/>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8"/>
      <c r="AH148"/>
    </row>
    <row r="149" spans="1:34" x14ac:dyDescent="0.25">
      <c r="A149" s="26"/>
      <c r="B149" s="26"/>
      <c r="C149" s="37"/>
      <c r="D149" s="39"/>
      <c r="E149" s="39"/>
      <c r="F149" s="39"/>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28"/>
      <c r="AH149"/>
    </row>
    <row r="150" spans="1:34" x14ac:dyDescent="0.25">
      <c r="A150" s="26"/>
      <c r="B150" s="26"/>
      <c r="C150" s="37"/>
      <c r="D150" s="39"/>
      <c r="E150" s="39"/>
      <c r="F150" s="39"/>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28"/>
      <c r="AH150"/>
    </row>
    <row r="151" spans="1:34" x14ac:dyDescent="0.25">
      <c r="A151" s="26"/>
      <c r="B151" s="26"/>
      <c r="C151" s="37"/>
      <c r="D151" s="39"/>
      <c r="E151" s="39"/>
      <c r="F151" s="39"/>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28"/>
      <c r="AH151"/>
    </row>
    <row r="152" spans="1:34" x14ac:dyDescent="0.25">
      <c r="A152" s="26"/>
      <c r="B152" s="26"/>
      <c r="C152" s="37"/>
      <c r="D152" s="39"/>
      <c r="E152" s="39"/>
      <c r="F152" s="39"/>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28"/>
      <c r="AH152"/>
    </row>
    <row r="153" spans="1:34" ht="31.5" customHeight="1" x14ac:dyDescent="0.25">
      <c r="A153" s="26"/>
      <c r="B153" s="26"/>
      <c r="C153" s="37"/>
      <c r="D153" s="39"/>
      <c r="E153" s="39"/>
      <c r="F153" s="39"/>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28"/>
      <c r="AH153"/>
    </row>
    <row r="154" spans="1:34" x14ac:dyDescent="0.25">
      <c r="A154" s="43"/>
      <c r="B154" s="43"/>
      <c r="C154" s="37"/>
      <c r="D154" s="39"/>
      <c r="E154" s="39"/>
      <c r="F154" s="39"/>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28"/>
      <c r="AH154"/>
    </row>
    <row r="155" spans="1:34" ht="13.5" x14ac:dyDescent="0.35">
      <c r="A155" s="69"/>
      <c r="B155" s="69"/>
      <c r="C155" s="37"/>
      <c r="D155" s="68"/>
      <c r="E155" s="67"/>
      <c r="F155" s="67"/>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28"/>
      <c r="AH155"/>
    </row>
    <row r="156" spans="1:34" x14ac:dyDescent="0.25">
      <c r="A156" s="65"/>
      <c r="B156" s="65"/>
      <c r="C156" s="37"/>
      <c r="D156" s="64"/>
      <c r="E156" s="39"/>
      <c r="F156" s="39"/>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28"/>
      <c r="AH156"/>
    </row>
    <row r="157" spans="1:34" ht="35.25" customHeight="1" x14ac:dyDescent="0.25">
      <c r="A157" s="53"/>
      <c r="B157" s="53"/>
      <c r="C157" s="37"/>
      <c r="D157" s="52"/>
      <c r="E157" s="39"/>
      <c r="F157" s="39"/>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28"/>
      <c r="AH157"/>
    </row>
    <row r="158" spans="1:34" ht="39.75" customHeight="1" x14ac:dyDescent="0.25">
      <c r="A158" s="53"/>
      <c r="B158" s="53"/>
      <c r="C158" s="37"/>
      <c r="D158" s="64"/>
      <c r="E158" s="39"/>
      <c r="F158" s="39"/>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28"/>
      <c r="AH158"/>
    </row>
    <row r="159" spans="1:34" ht="38.25" customHeight="1" x14ac:dyDescent="0.25">
      <c r="A159" s="65"/>
      <c r="B159" s="65"/>
      <c r="C159" s="37"/>
      <c r="D159" s="64"/>
      <c r="E159" s="39"/>
      <c r="F159" s="39"/>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28"/>
      <c r="AH159"/>
    </row>
    <row r="160" spans="1:34" x14ac:dyDescent="0.25">
      <c r="A160" s="65"/>
      <c r="B160" s="65"/>
      <c r="C160" s="37"/>
      <c r="D160" s="64"/>
      <c r="E160" s="39"/>
      <c r="F160" s="39"/>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28"/>
      <c r="AH160"/>
    </row>
    <row r="161" spans="1:34" ht="36" customHeight="1" x14ac:dyDescent="0.25">
      <c r="A161" s="26"/>
      <c r="B161" s="26"/>
      <c r="C161" s="37"/>
      <c r="D161" s="39"/>
      <c r="E161" s="39"/>
      <c r="F161" s="39"/>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28"/>
      <c r="AH161"/>
    </row>
    <row r="162" spans="1:34" ht="24.75" customHeight="1" x14ac:dyDescent="0.25">
      <c r="A162" s="26"/>
      <c r="B162" s="26"/>
      <c r="C162" s="37"/>
      <c r="D162" s="39"/>
      <c r="E162" s="39"/>
      <c r="F162" s="39"/>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28"/>
      <c r="AH162"/>
    </row>
    <row r="163" spans="1:34" ht="33" customHeight="1" x14ac:dyDescent="0.25">
      <c r="A163" s="26"/>
      <c r="B163" s="26"/>
      <c r="C163" s="37"/>
      <c r="D163" s="39"/>
      <c r="E163" s="39"/>
      <c r="F163" s="39"/>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28"/>
      <c r="AH163"/>
    </row>
    <row r="164" spans="1:34" x14ac:dyDescent="0.25">
      <c r="A164" s="43"/>
      <c r="B164" s="43"/>
      <c r="C164" s="37"/>
      <c r="D164" s="39"/>
      <c r="E164" s="39"/>
      <c r="F164" s="39"/>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28"/>
      <c r="AH164"/>
    </row>
    <row r="165" spans="1:34" x14ac:dyDescent="0.25">
      <c r="A165" s="26"/>
      <c r="B165" s="26"/>
      <c r="C165" s="37"/>
      <c r="D165" s="39"/>
      <c r="E165" s="39"/>
      <c r="F165" s="39"/>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8"/>
      <c r="AH165"/>
    </row>
    <row r="166" spans="1:34" x14ac:dyDescent="0.25">
      <c r="A166" s="43"/>
      <c r="B166" s="43"/>
      <c r="C166" s="37"/>
      <c r="D166" s="41"/>
      <c r="E166" s="41"/>
      <c r="F166" s="39"/>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28"/>
      <c r="AH166"/>
    </row>
    <row r="167" spans="1:34" ht="33.75" customHeight="1" x14ac:dyDescent="0.25">
      <c r="A167" s="63"/>
      <c r="B167" s="63"/>
      <c r="C167" s="37"/>
      <c r="D167" s="52"/>
      <c r="E167" s="41"/>
      <c r="F167" s="39"/>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28"/>
      <c r="AH167"/>
    </row>
    <row r="168" spans="1:34" ht="34.5" customHeight="1" x14ac:dyDescent="0.25">
      <c r="A168" s="26"/>
      <c r="B168" s="26"/>
      <c r="C168" s="37"/>
      <c r="D168" s="41"/>
      <c r="E168" s="41"/>
      <c r="F168" s="39"/>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8"/>
      <c r="AH168"/>
    </row>
    <row r="169" spans="1:34" x14ac:dyDescent="0.25">
      <c r="A169" s="62"/>
      <c r="B169" s="62"/>
      <c r="C169" s="37"/>
      <c r="D169" s="52"/>
      <c r="E169" s="41"/>
      <c r="F169" s="39"/>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28"/>
      <c r="AH169"/>
    </row>
    <row r="170" spans="1:34" ht="44.25" customHeight="1" x14ac:dyDescent="0.25">
      <c r="A170" s="43"/>
      <c r="B170" s="43"/>
      <c r="C170" s="37"/>
      <c r="D170" s="41"/>
      <c r="E170" s="39"/>
      <c r="F170" s="39"/>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28"/>
      <c r="AH170"/>
    </row>
    <row r="171" spans="1:34" ht="44.25" customHeight="1" x14ac:dyDescent="0.25">
      <c r="A171" s="26"/>
      <c r="B171" s="26"/>
      <c r="C171" s="37"/>
      <c r="D171" s="41"/>
      <c r="E171" s="39"/>
      <c r="F171" s="39"/>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28"/>
      <c r="AH171"/>
    </row>
    <row r="172" spans="1:34" x14ac:dyDescent="0.25">
      <c r="A172" s="43"/>
      <c r="B172" s="43"/>
      <c r="C172" s="37"/>
      <c r="D172" s="41"/>
      <c r="E172" s="39"/>
      <c r="F172" s="39"/>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28"/>
      <c r="AH172"/>
    </row>
    <row r="173" spans="1:34" ht="37.5" customHeight="1" x14ac:dyDescent="0.25">
      <c r="A173" s="26"/>
      <c r="B173" s="26"/>
      <c r="C173" s="37"/>
      <c r="D173" s="41"/>
      <c r="E173" s="39"/>
      <c r="F173" s="39"/>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8"/>
      <c r="AH173"/>
    </row>
    <row r="174" spans="1:34" ht="33.75" customHeight="1" x14ac:dyDescent="0.25">
      <c r="A174" s="26"/>
      <c r="B174" s="26"/>
      <c r="C174" s="37"/>
      <c r="D174" s="41"/>
      <c r="E174" s="39"/>
      <c r="F174" s="39"/>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28"/>
      <c r="AH174"/>
    </row>
    <row r="175" spans="1:34" ht="35.25" customHeight="1" x14ac:dyDescent="0.25">
      <c r="A175" s="26"/>
      <c r="B175" s="26"/>
      <c r="C175" s="37"/>
      <c r="D175" s="41"/>
      <c r="E175" s="39"/>
      <c r="F175" s="39"/>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28"/>
      <c r="AH175"/>
    </row>
    <row r="176" spans="1:34" ht="35.25" customHeight="1" x14ac:dyDescent="0.25">
      <c r="A176" s="43"/>
      <c r="B176" s="43"/>
      <c r="C176" s="37"/>
      <c r="D176" s="39"/>
      <c r="E176" s="39"/>
      <c r="F176" s="39"/>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28"/>
      <c r="AH176"/>
    </row>
    <row r="177" spans="1:34" x14ac:dyDescent="0.25">
      <c r="A177" s="26"/>
      <c r="B177" s="26"/>
      <c r="C177" s="37"/>
      <c r="D177" s="39"/>
      <c r="E177" s="39"/>
      <c r="F177" s="39"/>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28"/>
      <c r="AH177"/>
    </row>
    <row r="178" spans="1:34" ht="30.75" customHeight="1" x14ac:dyDescent="0.25">
      <c r="A178" s="27"/>
      <c r="B178" s="27"/>
      <c r="C178" s="37"/>
      <c r="D178" s="41"/>
      <c r="E178" s="61"/>
      <c r="F178" s="41"/>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28"/>
      <c r="AH178"/>
    </row>
    <row r="179" spans="1:34" ht="27" customHeight="1" x14ac:dyDescent="0.25">
      <c r="A179" s="26"/>
      <c r="B179" s="26"/>
      <c r="C179" s="37"/>
      <c r="D179" s="41"/>
      <c r="E179" s="39"/>
      <c r="F179" s="39"/>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28"/>
      <c r="AH179"/>
    </row>
    <row r="180" spans="1:34" x14ac:dyDescent="0.25">
      <c r="A180" s="26"/>
      <c r="B180" s="26"/>
      <c r="C180" s="37"/>
      <c r="D180" s="39"/>
      <c r="E180" s="39"/>
      <c r="F180" s="39"/>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28"/>
      <c r="AH180"/>
    </row>
    <row r="181" spans="1:34" x14ac:dyDescent="0.25">
      <c r="A181" s="55"/>
      <c r="B181" s="55"/>
      <c r="C181" s="37"/>
      <c r="D181" s="41"/>
      <c r="E181" s="41"/>
      <c r="F181" s="39"/>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28"/>
      <c r="AH181"/>
    </row>
    <row r="182" spans="1:34" x14ac:dyDescent="0.25">
      <c r="A182" s="26"/>
      <c r="B182" s="26"/>
      <c r="C182" s="37"/>
      <c r="D182" s="39"/>
      <c r="E182" s="39"/>
      <c r="F182" s="39"/>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28"/>
      <c r="AH182"/>
    </row>
    <row r="183" spans="1:34" x14ac:dyDescent="0.25">
      <c r="A183" s="26"/>
      <c r="B183" s="26"/>
      <c r="C183" s="37"/>
      <c r="D183" s="39"/>
      <c r="E183" s="39"/>
      <c r="F183" s="39"/>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28"/>
      <c r="AH183"/>
    </row>
    <row r="184" spans="1:34" x14ac:dyDescent="0.25">
      <c r="A184" s="53"/>
      <c r="B184" s="53"/>
      <c r="C184" s="37"/>
      <c r="D184" s="41"/>
      <c r="E184" s="28"/>
      <c r="F184" s="39"/>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28"/>
      <c r="AH184"/>
    </row>
    <row r="185" spans="1:34" x14ac:dyDescent="0.25">
      <c r="A185" s="26"/>
      <c r="B185" s="26"/>
      <c r="C185" s="37"/>
      <c r="D185" s="41"/>
      <c r="E185" s="39"/>
      <c r="F185" s="39"/>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28"/>
      <c r="AH185"/>
    </row>
    <row r="186" spans="1:34" x14ac:dyDescent="0.25">
      <c r="A186" s="59"/>
      <c r="B186" s="59"/>
      <c r="C186" s="37"/>
      <c r="D186" s="39"/>
      <c r="E186" s="39"/>
      <c r="F186" s="39"/>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28"/>
      <c r="AH186"/>
    </row>
    <row r="187" spans="1:34" x14ac:dyDescent="0.25">
      <c r="A187" s="59"/>
      <c r="B187" s="59"/>
      <c r="C187" s="37"/>
      <c r="D187" s="39"/>
      <c r="E187" s="39"/>
      <c r="F187" s="39"/>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8"/>
      <c r="AH187"/>
    </row>
    <row r="188" spans="1:34" ht="28.5" customHeight="1" x14ac:dyDescent="0.25">
      <c r="A188" s="26"/>
      <c r="B188" s="26"/>
      <c r="C188" s="37"/>
      <c r="D188" s="39"/>
      <c r="E188" s="39"/>
      <c r="F188" s="39"/>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8"/>
      <c r="AH188"/>
    </row>
    <row r="189" spans="1:34" x14ac:dyDescent="0.25">
      <c r="A189" s="23"/>
      <c r="B189" s="23"/>
      <c r="C189" s="37"/>
      <c r="D189" s="39"/>
      <c r="E189" s="39"/>
      <c r="F189" s="39"/>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28"/>
      <c r="AH189"/>
    </row>
    <row r="190" spans="1:34" ht="43.5" customHeight="1" x14ac:dyDescent="0.25">
      <c r="A190" s="43"/>
      <c r="B190" s="43"/>
      <c r="C190" s="37"/>
      <c r="D190" s="39"/>
      <c r="E190" s="39"/>
      <c r="F190" s="39"/>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28"/>
      <c r="AH190"/>
    </row>
    <row r="191" spans="1:34" x14ac:dyDescent="0.25">
      <c r="A191" s="26"/>
      <c r="B191" s="26"/>
      <c r="C191" s="37"/>
      <c r="D191" s="39"/>
      <c r="E191" s="39"/>
      <c r="F191" s="39"/>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8"/>
      <c r="AH191"/>
    </row>
    <row r="192" spans="1:34" x14ac:dyDescent="0.25">
      <c r="A192" s="26"/>
      <c r="B192" s="26"/>
      <c r="C192" s="37"/>
      <c r="D192" s="39"/>
      <c r="E192" s="39"/>
      <c r="F192" s="39"/>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28"/>
      <c r="AH192"/>
    </row>
    <row r="193" spans="1:34" x14ac:dyDescent="0.25">
      <c r="A193" s="26"/>
      <c r="B193" s="26"/>
      <c r="C193" s="37"/>
      <c r="D193" s="39"/>
      <c r="E193" s="39"/>
      <c r="F193" s="39"/>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28"/>
      <c r="AH193"/>
    </row>
    <row r="194" spans="1:34" x14ac:dyDescent="0.25">
      <c r="A194" s="26"/>
      <c r="B194" s="26"/>
      <c r="C194" s="37"/>
      <c r="D194" s="39"/>
      <c r="E194" s="39"/>
      <c r="F194" s="39"/>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28"/>
      <c r="AH194"/>
    </row>
    <row r="195" spans="1:34" ht="31.5" customHeight="1" x14ac:dyDescent="0.25">
      <c r="A195" s="26"/>
      <c r="B195" s="26"/>
      <c r="C195" s="37"/>
      <c r="D195" s="39"/>
      <c r="E195" s="39"/>
      <c r="F195" s="39"/>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28"/>
      <c r="AH195"/>
    </row>
    <row r="196" spans="1:34" ht="27" customHeight="1" x14ac:dyDescent="0.25">
      <c r="A196" s="26"/>
      <c r="B196" s="26"/>
      <c r="C196" s="37"/>
      <c r="D196" s="39"/>
      <c r="E196" s="39"/>
      <c r="F196" s="39"/>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8"/>
      <c r="AH196"/>
    </row>
    <row r="197" spans="1:34" x14ac:dyDescent="0.25">
      <c r="A197" s="26"/>
      <c r="B197" s="26"/>
      <c r="C197" s="37"/>
      <c r="D197" s="41"/>
      <c r="E197" s="39"/>
      <c r="F197" s="39"/>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8"/>
      <c r="AH197"/>
    </row>
    <row r="198" spans="1:34" ht="27.75" customHeight="1" x14ac:dyDescent="0.25">
      <c r="A198" s="26"/>
      <c r="B198" s="26"/>
      <c r="C198" s="37"/>
      <c r="D198" s="41"/>
      <c r="E198" s="39"/>
      <c r="F198" s="39"/>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28"/>
      <c r="AH198"/>
    </row>
    <row r="199" spans="1:34" ht="34.5" customHeight="1" x14ac:dyDescent="0.35">
      <c r="A199" s="50"/>
      <c r="B199" s="50"/>
      <c r="C199" s="37"/>
      <c r="D199" s="58"/>
      <c r="E199" s="39"/>
      <c r="F199" s="39"/>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28"/>
      <c r="AH199"/>
    </row>
    <row r="200" spans="1:34" ht="13.5" x14ac:dyDescent="0.35">
      <c r="A200" s="51"/>
      <c r="B200" s="51"/>
      <c r="C200" s="37"/>
      <c r="D200" s="58"/>
      <c r="E200" s="39"/>
      <c r="F200" s="39"/>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28"/>
      <c r="AH200"/>
    </row>
    <row r="201" spans="1:34" x14ac:dyDescent="0.25">
      <c r="A201" s="53"/>
      <c r="B201" s="53"/>
      <c r="C201" s="37"/>
      <c r="D201" s="41"/>
      <c r="E201" s="39"/>
      <c r="F201" s="39"/>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28"/>
      <c r="AH201"/>
    </row>
    <row r="202" spans="1:34" x14ac:dyDescent="0.25">
      <c r="A202" s="26"/>
      <c r="B202" s="26"/>
      <c r="C202" s="37"/>
      <c r="D202" s="41"/>
      <c r="E202" s="39"/>
      <c r="F202" s="39"/>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8"/>
      <c r="AH202"/>
    </row>
    <row r="203" spans="1:34" ht="33" customHeight="1" x14ac:dyDescent="0.35">
      <c r="A203" s="50"/>
      <c r="B203" s="50"/>
      <c r="C203" s="37"/>
      <c r="D203" s="49"/>
      <c r="E203" s="39"/>
      <c r="F203" s="39"/>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28"/>
      <c r="AH203"/>
    </row>
    <row r="204" spans="1:34" ht="40.5" customHeight="1" x14ac:dyDescent="0.45">
      <c r="A204" s="46"/>
      <c r="B204" s="46"/>
      <c r="C204" s="37"/>
      <c r="D204" s="56"/>
      <c r="E204" s="39"/>
      <c r="F204" s="39"/>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28"/>
      <c r="AH204"/>
    </row>
    <row r="205" spans="1:34" ht="48" customHeight="1" x14ac:dyDescent="0.45">
      <c r="A205" s="57"/>
      <c r="B205" s="57"/>
      <c r="C205" s="37"/>
      <c r="D205" s="56"/>
      <c r="E205" s="39"/>
      <c r="F205" s="39"/>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28"/>
      <c r="AH205"/>
    </row>
    <row r="206" spans="1:34" x14ac:dyDescent="0.25">
      <c r="A206" s="26"/>
      <c r="B206" s="26"/>
      <c r="C206" s="37"/>
      <c r="D206" s="41"/>
      <c r="E206" s="39"/>
      <c r="F206" s="39"/>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28"/>
      <c r="AH206"/>
    </row>
    <row r="207" spans="1:34" x14ac:dyDescent="0.25">
      <c r="A207" s="26"/>
      <c r="B207" s="26"/>
      <c r="C207" s="37"/>
      <c r="D207" s="41"/>
      <c r="E207" s="39"/>
      <c r="F207" s="39"/>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28"/>
      <c r="AH207"/>
    </row>
    <row r="208" spans="1:34" ht="37.5" customHeight="1" x14ac:dyDescent="0.25">
      <c r="A208" s="26"/>
      <c r="B208" s="26"/>
      <c r="C208" s="37"/>
      <c r="D208" s="39"/>
      <c r="E208" s="39"/>
      <c r="F208" s="39"/>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28"/>
      <c r="AH208"/>
    </row>
    <row r="209" spans="1:34" ht="39.75" customHeight="1" x14ac:dyDescent="0.25">
      <c r="A209" s="26"/>
      <c r="B209" s="26"/>
      <c r="C209" s="37"/>
      <c r="D209" s="41"/>
      <c r="E209" s="39"/>
      <c r="F209" s="39"/>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8"/>
      <c r="AH209"/>
    </row>
    <row r="210" spans="1:34" x14ac:dyDescent="0.25">
      <c r="A210" s="26"/>
      <c r="B210" s="26"/>
      <c r="C210" s="37"/>
      <c r="D210" s="41"/>
      <c r="E210" s="39"/>
      <c r="F210" s="39"/>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8"/>
      <c r="AH210"/>
    </row>
    <row r="211" spans="1:34" x14ac:dyDescent="0.25">
      <c r="A211" s="26"/>
      <c r="B211" s="26"/>
      <c r="C211" s="37"/>
      <c r="D211" s="41"/>
      <c r="E211" s="39"/>
      <c r="F211" s="39"/>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8"/>
      <c r="AH211"/>
    </row>
    <row r="212" spans="1:34" x14ac:dyDescent="0.25">
      <c r="A212" s="43"/>
      <c r="B212" s="43"/>
      <c r="C212" s="37"/>
      <c r="D212" s="41"/>
      <c r="E212" s="39"/>
      <c r="F212" s="39"/>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28"/>
      <c r="AH212"/>
    </row>
    <row r="213" spans="1:34" x14ac:dyDescent="0.25">
      <c r="A213" s="26"/>
      <c r="B213" s="26"/>
      <c r="C213" s="37"/>
      <c r="D213" s="41"/>
      <c r="E213" s="39"/>
      <c r="F213" s="39"/>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28"/>
      <c r="AH213"/>
    </row>
    <row r="214" spans="1:34" x14ac:dyDescent="0.25">
      <c r="A214" s="26"/>
      <c r="B214" s="26"/>
      <c r="C214" s="37"/>
      <c r="D214" s="41"/>
      <c r="E214" s="48"/>
      <c r="F214" s="39"/>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7"/>
      <c r="AH214"/>
    </row>
    <row r="215" spans="1:34" x14ac:dyDescent="0.25">
      <c r="A215" s="26"/>
      <c r="B215" s="26"/>
      <c r="C215" s="37"/>
      <c r="D215" s="41"/>
      <c r="E215" s="39"/>
      <c r="F215" s="39"/>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28"/>
      <c r="AH215"/>
    </row>
    <row r="216" spans="1:34" ht="39.75" customHeight="1" x14ac:dyDescent="0.25">
      <c r="A216" s="26"/>
      <c r="B216" s="26"/>
      <c r="C216" s="37"/>
      <c r="D216" s="41"/>
      <c r="E216" s="48"/>
      <c r="F216" s="39"/>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7"/>
      <c r="AH216"/>
    </row>
    <row r="217" spans="1:34" ht="35.25" customHeight="1" x14ac:dyDescent="0.25">
      <c r="A217" s="26"/>
      <c r="B217" s="26"/>
      <c r="C217" s="37"/>
      <c r="D217" s="41"/>
      <c r="E217" s="39"/>
      <c r="F217" s="39"/>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28"/>
      <c r="AH217"/>
    </row>
    <row r="218" spans="1:34" ht="33" customHeight="1" x14ac:dyDescent="0.25">
      <c r="A218" s="26"/>
      <c r="B218" s="26"/>
      <c r="C218" s="37"/>
      <c r="D218" s="41"/>
      <c r="E218" s="39"/>
      <c r="F218" s="39"/>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28"/>
      <c r="AH218"/>
    </row>
    <row r="219" spans="1:34" ht="36" customHeight="1" x14ac:dyDescent="0.25">
      <c r="A219" s="26"/>
      <c r="B219" s="26"/>
      <c r="C219" s="37"/>
      <c r="D219" s="41"/>
      <c r="E219" s="39"/>
      <c r="F219" s="39"/>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28"/>
      <c r="AH219"/>
    </row>
    <row r="220" spans="1:34" ht="49.5" customHeight="1" x14ac:dyDescent="0.25">
      <c r="A220" s="55"/>
      <c r="B220" s="55"/>
      <c r="C220" s="37"/>
      <c r="D220" s="41"/>
      <c r="E220" s="41"/>
      <c r="F220" s="39"/>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8"/>
      <c r="AH220"/>
    </row>
    <row r="221" spans="1:34" ht="48.75" customHeight="1" x14ac:dyDescent="0.25">
      <c r="A221" s="55"/>
      <c r="B221" s="55"/>
      <c r="C221" s="37"/>
      <c r="D221" s="41"/>
      <c r="E221" s="41"/>
      <c r="F221" s="39"/>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8"/>
      <c r="AH221"/>
    </row>
    <row r="222" spans="1:34" ht="50.25" customHeight="1" x14ac:dyDescent="0.25">
      <c r="A222" s="55"/>
      <c r="B222" s="55"/>
      <c r="C222" s="37"/>
      <c r="D222" s="41"/>
      <c r="E222" s="41"/>
      <c r="F222" s="39"/>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8"/>
      <c r="AH222"/>
    </row>
    <row r="223" spans="1:34" ht="33" customHeight="1" x14ac:dyDescent="0.25">
      <c r="A223" s="54"/>
      <c r="B223" s="54"/>
      <c r="C223" s="37"/>
      <c r="D223" s="52"/>
      <c r="E223" s="39"/>
      <c r="F223" s="39"/>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28"/>
      <c r="AH223"/>
    </row>
    <row r="224" spans="1:34" ht="27" customHeight="1" x14ac:dyDescent="0.25">
      <c r="A224" s="54"/>
      <c r="B224" s="54"/>
      <c r="C224" s="37"/>
      <c r="D224" s="52"/>
      <c r="E224" s="39"/>
      <c r="F224" s="39"/>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28"/>
      <c r="AH224"/>
    </row>
    <row r="225" spans="1:34" ht="33" customHeight="1" x14ac:dyDescent="0.25">
      <c r="A225" s="54"/>
      <c r="B225" s="54"/>
      <c r="C225" s="37"/>
      <c r="D225" s="52"/>
      <c r="E225" s="39"/>
      <c r="F225" s="39"/>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28"/>
      <c r="AH225"/>
    </row>
    <row r="226" spans="1:34" x14ac:dyDescent="0.25">
      <c r="A226" s="54"/>
      <c r="B226" s="54"/>
      <c r="C226" s="37"/>
      <c r="D226" s="52"/>
      <c r="E226" s="39"/>
      <c r="F226" s="39"/>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28"/>
      <c r="AH226"/>
    </row>
    <row r="227" spans="1:34" x14ac:dyDescent="0.25">
      <c r="A227" s="23"/>
      <c r="B227" s="23"/>
      <c r="C227" s="37"/>
      <c r="D227" s="39"/>
      <c r="E227" s="39"/>
      <c r="F227" s="39"/>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28"/>
      <c r="AH227"/>
    </row>
    <row r="228" spans="1:34" ht="33" customHeight="1" x14ac:dyDescent="0.25">
      <c r="A228" s="23"/>
      <c r="B228" s="23"/>
      <c r="C228" s="37"/>
      <c r="D228" s="41"/>
      <c r="E228" s="39"/>
      <c r="F228" s="39"/>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28"/>
      <c r="AH228"/>
    </row>
    <row r="229" spans="1:34" ht="41.25" customHeight="1" x14ac:dyDescent="0.25">
      <c r="A229" s="26"/>
      <c r="B229" s="26"/>
      <c r="C229" s="37"/>
      <c r="D229" s="39"/>
      <c r="E229" s="39"/>
      <c r="F229" s="39"/>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28"/>
      <c r="AH229"/>
    </row>
    <row r="230" spans="1:34" x14ac:dyDescent="0.25">
      <c r="A230" s="23"/>
      <c r="B230" s="23"/>
      <c r="C230" s="37"/>
      <c r="D230" s="41"/>
      <c r="E230" s="39"/>
      <c r="F230" s="39"/>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8"/>
      <c r="AH230"/>
    </row>
    <row r="231" spans="1:34" x14ac:dyDescent="0.25">
      <c r="A231" s="26"/>
      <c r="B231" s="26"/>
      <c r="C231" s="37"/>
      <c r="D231" s="39"/>
      <c r="E231" s="39"/>
      <c r="F231" s="39"/>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28"/>
      <c r="AH231"/>
    </row>
    <row r="232" spans="1:34" x14ac:dyDescent="0.25">
      <c r="A232" s="26"/>
      <c r="B232" s="26"/>
      <c r="C232" s="37"/>
      <c r="D232" s="39"/>
      <c r="E232" s="39"/>
      <c r="F232" s="39"/>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28"/>
      <c r="AH232"/>
    </row>
    <row r="233" spans="1:34" x14ac:dyDescent="0.25">
      <c r="A233" s="26"/>
      <c r="B233" s="26"/>
      <c r="C233" s="37"/>
      <c r="D233" s="39"/>
      <c r="E233" s="39"/>
      <c r="F233" s="39"/>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28"/>
      <c r="AH233"/>
    </row>
    <row r="234" spans="1:34" x14ac:dyDescent="0.25">
      <c r="A234" s="26"/>
      <c r="B234" s="26"/>
      <c r="C234" s="37"/>
      <c r="D234" s="41"/>
      <c r="E234" s="39"/>
      <c r="F234" s="39"/>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28"/>
      <c r="AH234"/>
    </row>
    <row r="235" spans="1:34" ht="48" customHeight="1" x14ac:dyDescent="0.25">
      <c r="A235" s="26"/>
      <c r="B235" s="26"/>
      <c r="C235" s="37"/>
      <c r="D235" s="41"/>
      <c r="E235" s="39"/>
      <c r="F235" s="39"/>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28"/>
      <c r="AH235"/>
    </row>
    <row r="236" spans="1:34" ht="44.25" customHeight="1" x14ac:dyDescent="0.25">
      <c r="A236" s="53"/>
      <c r="B236" s="53"/>
      <c r="C236" s="37"/>
      <c r="D236" s="52"/>
      <c r="E236" s="41"/>
      <c r="F236" s="39"/>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28"/>
      <c r="AH236"/>
    </row>
    <row r="237" spans="1:34" x14ac:dyDescent="0.25">
      <c r="A237" s="26"/>
      <c r="B237" s="26"/>
      <c r="C237" s="37"/>
      <c r="D237" s="41"/>
      <c r="E237" s="39"/>
      <c r="F237" s="39"/>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28"/>
      <c r="AH237"/>
    </row>
    <row r="238" spans="1:34" ht="35.25" customHeight="1" x14ac:dyDescent="0.25">
      <c r="A238" s="26"/>
      <c r="B238" s="26"/>
      <c r="C238" s="37"/>
      <c r="D238" s="39"/>
      <c r="E238" s="39"/>
      <c r="F238" s="39"/>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28"/>
      <c r="AH238"/>
    </row>
    <row r="239" spans="1:34" x14ac:dyDescent="0.25">
      <c r="A239" s="26"/>
      <c r="B239" s="26"/>
      <c r="C239" s="37"/>
      <c r="D239" s="41"/>
      <c r="E239" s="48"/>
      <c r="F239" s="39"/>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39"/>
      <c r="AH239"/>
    </row>
    <row r="240" spans="1:34" x14ac:dyDescent="0.25">
      <c r="A240" s="43"/>
      <c r="B240" s="43"/>
      <c r="C240" s="37"/>
      <c r="D240" s="41"/>
      <c r="E240" s="48"/>
      <c r="F240" s="39"/>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7"/>
      <c r="AH240"/>
    </row>
    <row r="241" spans="1:34" ht="30.75" customHeight="1" x14ac:dyDescent="0.25">
      <c r="A241" s="26"/>
      <c r="B241" s="26"/>
      <c r="C241" s="37"/>
      <c r="D241" s="26"/>
      <c r="E241" s="39"/>
      <c r="F241" s="39"/>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8"/>
      <c r="AH241"/>
    </row>
    <row r="242" spans="1:34" ht="32.25" customHeight="1" x14ac:dyDescent="0.25">
      <c r="A242" s="26"/>
      <c r="B242" s="26"/>
      <c r="C242" s="37"/>
      <c r="D242" s="39"/>
      <c r="E242" s="39"/>
      <c r="F242" s="39"/>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28"/>
      <c r="AH242"/>
    </row>
    <row r="243" spans="1:34" ht="22.5" customHeight="1" x14ac:dyDescent="0.25">
      <c r="A243" s="26"/>
      <c r="B243" s="26"/>
      <c r="C243" s="37"/>
      <c r="D243" s="39"/>
      <c r="E243" s="39"/>
      <c r="F243" s="39"/>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28"/>
      <c r="AH243"/>
    </row>
    <row r="244" spans="1:34" ht="25.5" customHeight="1" x14ac:dyDescent="0.25">
      <c r="A244" s="26"/>
      <c r="B244" s="26"/>
      <c r="C244" s="37"/>
      <c r="D244" s="39"/>
      <c r="E244" s="39"/>
      <c r="F244" s="39"/>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28"/>
      <c r="AH244"/>
    </row>
    <row r="245" spans="1:34" ht="30" customHeight="1" x14ac:dyDescent="0.25">
      <c r="A245" s="26"/>
      <c r="B245" s="26"/>
      <c r="C245" s="37"/>
      <c r="D245" s="39"/>
      <c r="E245" s="39"/>
      <c r="F245" s="39"/>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28"/>
      <c r="AH245"/>
    </row>
    <row r="246" spans="1:34" x14ac:dyDescent="0.25">
      <c r="A246" s="43"/>
      <c r="B246" s="43"/>
      <c r="C246" s="37"/>
      <c r="D246" s="39"/>
      <c r="E246" s="39"/>
      <c r="F246" s="39"/>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8"/>
      <c r="AH246"/>
    </row>
    <row r="247" spans="1:34" x14ac:dyDescent="0.25">
      <c r="A247" s="26"/>
      <c r="B247" s="26"/>
      <c r="C247" s="37"/>
      <c r="D247" s="39"/>
      <c r="E247" s="39"/>
      <c r="F247" s="39"/>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28"/>
      <c r="AH247"/>
    </row>
    <row r="248" spans="1:34" ht="42" customHeight="1" x14ac:dyDescent="0.25">
      <c r="A248" s="26"/>
      <c r="B248" s="26"/>
      <c r="C248" s="37"/>
      <c r="D248" s="41"/>
      <c r="E248" s="39"/>
      <c r="F248" s="39"/>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8"/>
      <c r="AH248"/>
    </row>
    <row r="249" spans="1:34" ht="13.5" x14ac:dyDescent="0.35">
      <c r="A249" s="50"/>
      <c r="B249" s="50"/>
      <c r="C249" s="37"/>
      <c r="D249" s="49"/>
      <c r="E249" s="39"/>
      <c r="F249" s="39"/>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28"/>
      <c r="AH249"/>
    </row>
    <row r="250" spans="1:34" ht="39" customHeight="1" x14ac:dyDescent="0.35">
      <c r="A250" s="51"/>
      <c r="B250" s="51"/>
      <c r="C250" s="37"/>
      <c r="D250" s="49"/>
      <c r="E250" s="39"/>
      <c r="F250" s="39"/>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28"/>
      <c r="AH250"/>
    </row>
    <row r="251" spans="1:34" x14ac:dyDescent="0.25">
      <c r="A251" s="26"/>
      <c r="B251" s="26"/>
      <c r="C251" s="37"/>
      <c r="D251" s="41"/>
      <c r="E251" s="48"/>
      <c r="F251" s="39"/>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7"/>
      <c r="AH251"/>
    </row>
    <row r="252" spans="1:34" ht="30" customHeight="1" x14ac:dyDescent="0.25">
      <c r="A252" s="43"/>
      <c r="B252" s="43"/>
      <c r="C252" s="37"/>
      <c r="D252" s="41"/>
      <c r="E252" s="39"/>
      <c r="F252" s="39"/>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28"/>
      <c r="AH252"/>
    </row>
    <row r="253" spans="1:34" ht="35.25" customHeight="1" x14ac:dyDescent="0.25">
      <c r="A253" s="26"/>
      <c r="B253" s="26"/>
      <c r="C253" s="37"/>
      <c r="D253" s="41"/>
      <c r="E253" s="39"/>
      <c r="F253" s="39"/>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28"/>
      <c r="AH253"/>
    </row>
    <row r="254" spans="1:34" x14ac:dyDescent="0.25">
      <c r="A254" s="43"/>
      <c r="B254" s="43"/>
      <c r="C254" s="37"/>
      <c r="D254" s="41"/>
      <c r="E254" s="39"/>
      <c r="F254" s="39"/>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28"/>
      <c r="AH254"/>
    </row>
    <row r="255" spans="1:34" x14ac:dyDescent="0.25">
      <c r="A255" s="26"/>
      <c r="B255" s="26"/>
      <c r="C255" s="37"/>
      <c r="D255" s="41"/>
      <c r="E255" s="39"/>
      <c r="F255" s="39"/>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28"/>
      <c r="AH255"/>
    </row>
    <row r="256" spans="1:34" ht="24.75" customHeight="1" x14ac:dyDescent="0.35">
      <c r="A256" s="50"/>
      <c r="B256" s="50"/>
      <c r="C256" s="37"/>
      <c r="D256" s="49"/>
      <c r="E256" s="39"/>
      <c r="F256" s="39"/>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28"/>
      <c r="AH256"/>
    </row>
    <row r="257" spans="1:34" x14ac:dyDescent="0.25">
      <c r="A257" s="26"/>
      <c r="B257" s="26"/>
      <c r="C257" s="37"/>
      <c r="D257" s="39"/>
      <c r="E257" s="39"/>
      <c r="F257" s="39"/>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28"/>
      <c r="AH257"/>
    </row>
    <row r="258" spans="1:34" x14ac:dyDescent="0.25">
      <c r="A258" s="26"/>
      <c r="B258" s="26"/>
      <c r="C258" s="37"/>
      <c r="D258" s="41"/>
      <c r="E258" s="48"/>
      <c r="F258" s="39"/>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39"/>
      <c r="AH258"/>
    </row>
    <row r="259" spans="1:34" x14ac:dyDescent="0.25">
      <c r="A259" s="26"/>
      <c r="B259" s="26"/>
      <c r="C259" s="37"/>
      <c r="D259" s="41"/>
      <c r="E259" s="48"/>
      <c r="F259" s="39"/>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39"/>
      <c r="AH259"/>
    </row>
    <row r="260" spans="1:34" x14ac:dyDescent="0.25">
      <c r="A260" s="26"/>
      <c r="B260" s="26"/>
      <c r="C260" s="37"/>
      <c r="D260" s="39"/>
      <c r="E260" s="39"/>
      <c r="F260" s="39"/>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28"/>
      <c r="AH260"/>
    </row>
    <row r="261" spans="1:34" x14ac:dyDescent="0.25">
      <c r="A261" s="43"/>
      <c r="B261" s="43"/>
      <c r="C261" s="37"/>
      <c r="D261" s="39"/>
      <c r="E261" s="39"/>
      <c r="F261" s="39"/>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8"/>
      <c r="AH261"/>
    </row>
    <row r="262" spans="1:34" x14ac:dyDescent="0.25">
      <c r="A262" s="43"/>
      <c r="B262" s="43"/>
      <c r="C262" s="37"/>
      <c r="D262" s="39"/>
      <c r="E262" s="39"/>
      <c r="F262" s="39"/>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28"/>
      <c r="AH262"/>
    </row>
    <row r="263" spans="1:34" x14ac:dyDescent="0.25">
      <c r="A263" s="26"/>
      <c r="B263" s="26"/>
      <c r="C263" s="37"/>
      <c r="D263" s="39"/>
      <c r="E263" s="39"/>
      <c r="F263" s="39"/>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8"/>
    </row>
    <row r="264" spans="1:34" x14ac:dyDescent="0.25">
      <c r="A264" s="26"/>
      <c r="B264" s="26"/>
      <c r="C264" s="37"/>
      <c r="D264" s="39"/>
      <c r="E264" s="39"/>
      <c r="F264" s="39"/>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28"/>
    </row>
    <row r="265" spans="1:34" x14ac:dyDescent="0.25">
      <c r="A265" s="26"/>
      <c r="B265" s="26"/>
      <c r="C265" s="37"/>
      <c r="D265" s="39"/>
      <c r="E265" s="39"/>
      <c r="F265" s="39"/>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28"/>
    </row>
    <row r="266" spans="1:34" x14ac:dyDescent="0.25">
      <c r="A266" s="26"/>
      <c r="B266" s="26"/>
      <c r="C266" s="37"/>
      <c r="D266" s="39"/>
      <c r="E266" s="39"/>
      <c r="F266" s="39"/>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8"/>
    </row>
    <row r="267" spans="1:34" x14ac:dyDescent="0.25">
      <c r="A267" s="26"/>
      <c r="B267" s="26"/>
      <c r="C267" s="37"/>
      <c r="D267" s="39"/>
      <c r="E267" s="48"/>
      <c r="F267" s="39"/>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7"/>
    </row>
    <row r="268" spans="1:34" x14ac:dyDescent="0.25">
      <c r="A268" s="26"/>
      <c r="B268" s="26"/>
      <c r="C268" s="37"/>
      <c r="D268" s="39"/>
      <c r="E268" s="48"/>
      <c r="F268" s="39"/>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47"/>
    </row>
    <row r="269" spans="1:34" ht="15.5" x14ac:dyDescent="0.45">
      <c r="A269" s="46"/>
      <c r="B269" s="46"/>
      <c r="C269" s="37"/>
      <c r="D269" s="45"/>
      <c r="E269" s="39"/>
      <c r="F269" s="39"/>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28"/>
    </row>
    <row r="270" spans="1:34" x14ac:dyDescent="0.25">
      <c r="A270" s="26"/>
      <c r="B270" s="26"/>
      <c r="C270" s="37"/>
      <c r="D270" s="41"/>
      <c r="E270" s="39"/>
      <c r="F270" s="39"/>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28"/>
    </row>
    <row r="271" spans="1:34" x14ac:dyDescent="0.25">
      <c r="A271" s="43"/>
      <c r="B271" s="43"/>
      <c r="C271" s="37"/>
      <c r="D271" s="39"/>
      <c r="E271" s="39"/>
      <c r="F271" s="39"/>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8"/>
    </row>
    <row r="272" spans="1:34" x14ac:dyDescent="0.25">
      <c r="A272" s="26"/>
      <c r="B272" s="26"/>
      <c r="C272" s="37"/>
      <c r="D272" s="41"/>
      <c r="E272" s="39"/>
      <c r="F272" s="39"/>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28"/>
    </row>
    <row r="273" spans="1:39" x14ac:dyDescent="0.25">
      <c r="A273" s="26"/>
      <c r="B273" s="26"/>
      <c r="C273" s="37"/>
      <c r="D273" s="39"/>
      <c r="E273" s="39"/>
      <c r="F273" s="39"/>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28"/>
    </row>
    <row r="274" spans="1:39" x14ac:dyDescent="0.25">
      <c r="A274" s="43"/>
      <c r="B274" s="43"/>
      <c r="C274" s="37"/>
      <c r="D274" s="39"/>
      <c r="E274" s="39"/>
      <c r="F274" s="39"/>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28"/>
    </row>
    <row r="275" spans="1:39" x14ac:dyDescent="0.25">
      <c r="A275" s="26"/>
      <c r="B275" s="26"/>
      <c r="C275" s="37"/>
      <c r="D275" s="41"/>
      <c r="E275" s="39"/>
      <c r="F275" s="39"/>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28"/>
      <c r="AH275" s="42"/>
      <c r="AI275" s="175"/>
      <c r="AJ275" s="26"/>
      <c r="AK275" s="29"/>
      <c r="AL275" s="40"/>
      <c r="AM275" s="23"/>
    </row>
    <row r="276" spans="1:39" x14ac:dyDescent="0.25">
      <c r="A276" s="43"/>
      <c r="B276" s="43"/>
      <c r="C276" s="37"/>
      <c r="D276" s="41"/>
      <c r="E276" s="39"/>
      <c r="F276" s="39"/>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8"/>
      <c r="AH276" s="42"/>
      <c r="AI276" s="175"/>
      <c r="AJ276" s="26"/>
      <c r="AK276" s="29"/>
      <c r="AL276" s="40"/>
      <c r="AM276" s="23"/>
    </row>
    <row r="277" spans="1:39" x14ac:dyDescent="0.25">
      <c r="A277" s="26"/>
      <c r="B277" s="26"/>
      <c r="C277" s="37"/>
      <c r="D277" s="39"/>
      <c r="E277" s="39"/>
      <c r="F277" s="39"/>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8"/>
    </row>
    <row r="278" spans="1:39" x14ac:dyDescent="0.25">
      <c r="A278" s="23"/>
      <c r="B278" s="23"/>
      <c r="C278" s="37"/>
      <c r="D278" s="28"/>
      <c r="E278" s="28"/>
      <c r="F278" s="28"/>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31"/>
    </row>
    <row r="279" spans="1:39" x14ac:dyDescent="0.25">
      <c r="A279" s="23"/>
      <c r="B279" s="23"/>
      <c r="C279" s="37"/>
      <c r="D279" s="28"/>
      <c r="E279" s="28"/>
      <c r="F279" s="28"/>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31"/>
      <c r="AH279"/>
    </row>
    <row r="280" spans="1:39" x14ac:dyDescent="0.25">
      <c r="A280" s="23"/>
      <c r="B280" s="23"/>
      <c r="C280" s="37"/>
      <c r="D280" s="28"/>
      <c r="E280" s="28"/>
      <c r="F280" s="28"/>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31"/>
      <c r="AH280"/>
    </row>
    <row r="281" spans="1:39" x14ac:dyDescent="0.25">
      <c r="A281" s="23"/>
      <c r="B281" s="23"/>
      <c r="C281" s="37"/>
      <c r="D281" s="28"/>
      <c r="E281" s="28"/>
      <c r="F281" s="28"/>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31"/>
      <c r="AH281"/>
    </row>
    <row r="282" spans="1:39" x14ac:dyDescent="0.25">
      <c r="A282" s="23"/>
      <c r="B282" s="23"/>
      <c r="C282" s="37"/>
      <c r="D282" s="28"/>
      <c r="E282" s="28"/>
      <c r="F282" s="28"/>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31"/>
      <c r="AH282"/>
    </row>
    <row r="283" spans="1:39" x14ac:dyDescent="0.25">
      <c r="A283" s="23"/>
      <c r="B283" s="23"/>
      <c r="C283" s="37"/>
      <c r="D283" s="28"/>
      <c r="E283" s="28"/>
      <c r="F283" s="28"/>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31"/>
      <c r="AH283"/>
    </row>
    <row r="284" spans="1:39" x14ac:dyDescent="0.25">
      <c r="A284" s="23"/>
      <c r="B284" s="23"/>
      <c r="C284" s="37"/>
      <c r="D284" s="28"/>
      <c r="E284" s="28"/>
      <c r="F284" s="28"/>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31"/>
      <c r="AH284"/>
    </row>
    <row r="285" spans="1:39" x14ac:dyDescent="0.25">
      <c r="A285" s="23"/>
      <c r="B285" s="23"/>
      <c r="C285" s="37"/>
      <c r="D285" s="28"/>
      <c r="E285" s="28"/>
      <c r="F285" s="28"/>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31"/>
      <c r="AH285"/>
    </row>
    <row r="286" spans="1:39" x14ac:dyDescent="0.25">
      <c r="A286" s="23"/>
      <c r="B286" s="23"/>
      <c r="C286" s="37"/>
      <c r="D286" s="28"/>
      <c r="E286" s="28"/>
      <c r="F286" s="28"/>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31"/>
      <c r="AH286"/>
    </row>
    <row r="287" spans="1:39" x14ac:dyDescent="0.25">
      <c r="A287" s="23"/>
      <c r="B287" s="23"/>
      <c r="C287" s="37"/>
      <c r="D287" s="28"/>
      <c r="E287" s="28"/>
      <c r="F287" s="28"/>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31"/>
      <c r="AH287"/>
    </row>
    <row r="288" spans="1:39" x14ac:dyDescent="0.25">
      <c r="A288" s="23"/>
      <c r="B288" s="23"/>
      <c r="C288" s="37"/>
      <c r="D288" s="28"/>
      <c r="E288" s="28"/>
      <c r="F288" s="28"/>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31"/>
      <c r="AH288"/>
    </row>
    <row r="289" spans="1:34" x14ac:dyDescent="0.25">
      <c r="A289" s="23"/>
      <c r="B289" s="23"/>
      <c r="C289" s="37"/>
      <c r="D289" s="28"/>
      <c r="E289" s="28"/>
      <c r="F289" s="28"/>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31"/>
      <c r="AH289"/>
    </row>
    <row r="290" spans="1:34" x14ac:dyDescent="0.25">
      <c r="A290" s="23"/>
      <c r="B290" s="23"/>
      <c r="C290" s="37"/>
      <c r="D290" s="28"/>
      <c r="E290" s="28"/>
      <c r="F290" s="28"/>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31"/>
      <c r="AH290"/>
    </row>
    <row r="291" spans="1:34" x14ac:dyDescent="0.25">
      <c r="A291" s="23"/>
      <c r="B291" s="23"/>
      <c r="C291" s="37"/>
      <c r="D291" s="28"/>
      <c r="E291" s="28"/>
      <c r="F291" s="28"/>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31"/>
      <c r="AH291"/>
    </row>
    <row r="292" spans="1:34" x14ac:dyDescent="0.25">
      <c r="A292" s="23"/>
      <c r="B292" s="23"/>
      <c r="C292" s="37"/>
      <c r="D292" s="28"/>
      <c r="E292" s="28"/>
      <c r="F292" s="28"/>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31"/>
      <c r="AH292"/>
    </row>
    <row r="293" spans="1:34" x14ac:dyDescent="0.25">
      <c r="A293" s="23"/>
      <c r="B293" s="23"/>
      <c r="C293" s="37"/>
      <c r="D293" s="28"/>
      <c r="E293" s="28"/>
      <c r="F293" s="28"/>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31"/>
      <c r="AH293"/>
    </row>
    <row r="294" spans="1:34" x14ac:dyDescent="0.25">
      <c r="A294" s="23"/>
      <c r="B294" s="23"/>
      <c r="C294" s="37"/>
      <c r="D294" s="28"/>
      <c r="E294" s="28"/>
      <c r="F294" s="28"/>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31"/>
      <c r="AH294"/>
    </row>
    <row r="295" spans="1:34" x14ac:dyDescent="0.25">
      <c r="A295" s="23"/>
      <c r="B295" s="23"/>
      <c r="C295" s="37"/>
      <c r="D295" s="28"/>
      <c r="E295" s="28"/>
      <c r="F295" s="28"/>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31"/>
      <c r="AH295"/>
    </row>
    <row r="296" spans="1:34" x14ac:dyDescent="0.25">
      <c r="A296" s="23"/>
      <c r="B296" s="23"/>
      <c r="C296" s="37"/>
      <c r="D296" s="28"/>
      <c r="E296" s="28"/>
      <c r="F296" s="28"/>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31"/>
      <c r="AH296"/>
    </row>
    <row r="297" spans="1:34" x14ac:dyDescent="0.25">
      <c r="A297" s="23"/>
      <c r="B297" s="23"/>
      <c r="C297" s="37"/>
      <c r="D297" s="32"/>
      <c r="E297" s="28"/>
      <c r="F297" s="28"/>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31"/>
      <c r="AH297"/>
    </row>
    <row r="298" spans="1:34" x14ac:dyDescent="0.25">
      <c r="A298" s="23"/>
      <c r="B298" s="23"/>
      <c r="C298" s="37"/>
      <c r="D298" s="28"/>
      <c r="E298" s="28"/>
      <c r="F298" s="28"/>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31"/>
      <c r="AH298"/>
    </row>
    <row r="299" spans="1:34" x14ac:dyDescent="0.25">
      <c r="A299" s="25"/>
      <c r="B299" s="25"/>
      <c r="C299" s="38"/>
      <c r="D299" s="32"/>
      <c r="E299" s="32"/>
      <c r="F299" s="32"/>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31"/>
      <c r="AH299"/>
    </row>
    <row r="300" spans="1:34" x14ac:dyDescent="0.25">
      <c r="A300" s="23"/>
      <c r="B300" s="23"/>
      <c r="C300" s="37"/>
      <c r="D300" s="28"/>
      <c r="E300" s="28"/>
      <c r="F300" s="28"/>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31"/>
      <c r="AH300"/>
    </row>
    <row r="301" spans="1:34" x14ac:dyDescent="0.25">
      <c r="A301" s="23"/>
      <c r="B301" s="23"/>
      <c r="C301" s="37"/>
      <c r="D301" s="28"/>
      <c r="E301" s="28"/>
      <c r="F301" s="28"/>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31"/>
      <c r="AH301"/>
    </row>
    <row r="302" spans="1:34" x14ac:dyDescent="0.25">
      <c r="A302" s="23"/>
      <c r="B302" s="23"/>
      <c r="C302" s="37"/>
      <c r="D302" s="28"/>
      <c r="E302" s="28"/>
      <c r="F302" s="28"/>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31"/>
      <c r="AH302"/>
    </row>
    <row r="303" spans="1:34" x14ac:dyDescent="0.25">
      <c r="A303" s="23"/>
      <c r="B303" s="23"/>
      <c r="C303" s="37"/>
      <c r="D303" s="28"/>
      <c r="E303" s="28"/>
      <c r="F303" s="28"/>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31"/>
      <c r="AH303"/>
    </row>
    <row r="304" spans="1:34" x14ac:dyDescent="0.25">
      <c r="A304" s="23"/>
      <c r="B304" s="23"/>
      <c r="C304" s="37"/>
      <c r="D304" s="28"/>
      <c r="E304" s="28"/>
      <c r="F304" s="28"/>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31"/>
      <c r="AH304"/>
    </row>
    <row r="305" spans="1:34" x14ac:dyDescent="0.25">
      <c r="A305" s="23"/>
      <c r="B305" s="23"/>
      <c r="C305" s="37"/>
      <c r="D305" s="28"/>
      <c r="E305" s="28"/>
      <c r="F305" s="28"/>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31"/>
      <c r="AH305"/>
    </row>
    <row r="306" spans="1:34" x14ac:dyDescent="0.25">
      <c r="A306" s="23"/>
      <c r="B306" s="23"/>
      <c r="C306" s="37"/>
      <c r="D306" s="28"/>
      <c r="E306" s="28"/>
      <c r="F306" s="28"/>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31"/>
      <c r="AH306"/>
    </row>
    <row r="307" spans="1:34" x14ac:dyDescent="0.25">
      <c r="A307" s="23"/>
      <c r="B307" s="23"/>
      <c r="C307" s="37"/>
      <c r="D307" s="28"/>
      <c r="E307" s="28"/>
      <c r="F307" s="28"/>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31"/>
      <c r="AH307"/>
    </row>
    <row r="308" spans="1:34" x14ac:dyDescent="0.25">
      <c r="A308" s="23"/>
      <c r="B308" s="23"/>
      <c r="C308" s="37"/>
      <c r="D308" s="28"/>
      <c r="E308" s="28"/>
      <c r="F308" s="28"/>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31"/>
      <c r="AH308"/>
    </row>
    <row r="309" spans="1:34" x14ac:dyDescent="0.25">
      <c r="A309" s="23"/>
      <c r="B309" s="23"/>
      <c r="C309" s="37"/>
      <c r="D309" s="28"/>
      <c r="E309" s="28"/>
      <c r="F309" s="28"/>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31"/>
      <c r="AH309"/>
    </row>
    <row r="310" spans="1:34" x14ac:dyDescent="0.25">
      <c r="A310" s="23"/>
      <c r="B310" s="23"/>
      <c r="C310" s="37"/>
      <c r="D310" s="28"/>
      <c r="E310" s="28"/>
      <c r="F310" s="28"/>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31"/>
      <c r="AH310"/>
    </row>
    <row r="311" spans="1:34" x14ac:dyDescent="0.25">
      <c r="A311" s="23"/>
      <c r="B311" s="23"/>
      <c r="C311" s="37"/>
      <c r="D311" s="28"/>
      <c r="E311" s="28"/>
      <c r="F311" s="28"/>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31"/>
      <c r="AH311"/>
    </row>
    <row r="312" spans="1:34" x14ac:dyDescent="0.25">
      <c r="A312" s="23"/>
      <c r="B312" s="23"/>
      <c r="C312" s="37"/>
      <c r="D312" s="28"/>
      <c r="E312" s="28"/>
      <c r="F312" s="28"/>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31"/>
      <c r="AH312"/>
    </row>
    <row r="313" spans="1:34" x14ac:dyDescent="0.25">
      <c r="A313" s="23"/>
      <c r="B313" s="23"/>
      <c r="C313" s="37"/>
      <c r="D313" s="28"/>
      <c r="E313" s="28"/>
      <c r="F313" s="28"/>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31"/>
      <c r="AH313"/>
    </row>
    <row r="314" spans="1:34" x14ac:dyDescent="0.25">
      <c r="A314" s="23"/>
      <c r="B314" s="23"/>
      <c r="C314" s="37"/>
      <c r="D314" s="28"/>
      <c r="E314" s="28"/>
      <c r="F314" s="28"/>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31"/>
      <c r="AH314"/>
    </row>
    <row r="315" spans="1:34" x14ac:dyDescent="0.25">
      <c r="A315" s="23"/>
      <c r="B315" s="23"/>
      <c r="C315" s="37"/>
      <c r="D315" s="28"/>
      <c r="E315" s="28"/>
      <c r="F315" s="28"/>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31"/>
      <c r="AH315"/>
    </row>
    <row r="316" spans="1:34" x14ac:dyDescent="0.25">
      <c r="A316" s="23"/>
      <c r="B316" s="23"/>
      <c r="C316" s="37"/>
      <c r="D316" s="28"/>
      <c r="E316" s="28"/>
      <c r="F316" s="28"/>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31"/>
      <c r="AH316"/>
    </row>
    <row r="317" spans="1:34" x14ac:dyDescent="0.25">
      <c r="A317" s="23"/>
      <c r="B317" s="23"/>
      <c r="C317" s="37"/>
      <c r="D317" s="28"/>
      <c r="E317" s="28"/>
      <c r="F317" s="28"/>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31"/>
      <c r="AH317"/>
    </row>
    <row r="318" spans="1:34" x14ac:dyDescent="0.25">
      <c r="A318" s="23"/>
      <c r="B318" s="23"/>
      <c r="C318" s="37"/>
      <c r="D318" s="28"/>
      <c r="E318" s="28"/>
      <c r="F318" s="28"/>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31"/>
      <c r="AH318"/>
    </row>
    <row r="319" spans="1:34" x14ac:dyDescent="0.25">
      <c r="A319" s="23"/>
      <c r="B319" s="23"/>
      <c r="C319" s="37"/>
      <c r="D319" s="28"/>
      <c r="E319" s="28"/>
      <c r="F319" s="28"/>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31"/>
      <c r="AH319"/>
    </row>
    <row r="320" spans="1:34" x14ac:dyDescent="0.25">
      <c r="A320" s="23"/>
      <c r="B320" s="23"/>
      <c r="C320" s="37"/>
      <c r="D320" s="28"/>
      <c r="E320" s="28"/>
      <c r="F320" s="28"/>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31"/>
      <c r="AH320"/>
    </row>
    <row r="321" spans="1:34" x14ac:dyDescent="0.25">
      <c r="A321" s="23"/>
      <c r="B321" s="23"/>
      <c r="C321" s="37"/>
      <c r="D321" s="28"/>
      <c r="E321" s="28"/>
      <c r="F321" s="28"/>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31"/>
      <c r="AH321"/>
    </row>
    <row r="322" spans="1:34" x14ac:dyDescent="0.25">
      <c r="A322" s="23"/>
      <c r="B322" s="23"/>
      <c r="C322" s="37"/>
      <c r="D322" s="28"/>
      <c r="E322" s="28"/>
      <c r="F322" s="28"/>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31"/>
      <c r="AH322"/>
    </row>
    <row r="323" spans="1:34" x14ac:dyDescent="0.25">
      <c r="A323" s="23"/>
      <c r="B323" s="23"/>
      <c r="C323" s="37"/>
      <c r="D323" s="28"/>
      <c r="E323" s="28"/>
      <c r="F323" s="28"/>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31"/>
      <c r="AH323"/>
    </row>
    <row r="324" spans="1:34" x14ac:dyDescent="0.25">
      <c r="A324" s="23"/>
      <c r="B324" s="23"/>
      <c r="C324" s="37"/>
      <c r="D324" s="28"/>
      <c r="E324" s="28"/>
      <c r="F324" s="28"/>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31"/>
      <c r="AH324"/>
    </row>
    <row r="325" spans="1:34" x14ac:dyDescent="0.25">
      <c r="A325" s="23"/>
      <c r="B325" s="23"/>
      <c r="C325" s="37"/>
      <c r="D325" s="28"/>
      <c r="E325" s="28"/>
      <c r="F325" s="28"/>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31"/>
      <c r="AH325"/>
    </row>
    <row r="326" spans="1:34" x14ac:dyDescent="0.25">
      <c r="A326" s="23"/>
      <c r="B326" s="23"/>
      <c r="C326" s="37"/>
      <c r="D326" s="28"/>
      <c r="E326" s="28"/>
      <c r="F326" s="28"/>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31"/>
      <c r="AH326"/>
    </row>
    <row r="327" spans="1:34" x14ac:dyDescent="0.25">
      <c r="A327" s="23"/>
      <c r="B327" s="23"/>
      <c r="C327" s="37"/>
      <c r="D327" s="28"/>
      <c r="E327" s="28"/>
      <c r="F327" s="28"/>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31"/>
      <c r="AH327"/>
    </row>
    <row r="328" spans="1:34" x14ac:dyDescent="0.25">
      <c r="A328" s="23"/>
      <c r="B328" s="23"/>
      <c r="C328" s="37"/>
      <c r="D328" s="28"/>
      <c r="E328" s="28"/>
      <c r="F328" s="28"/>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31"/>
      <c r="AH328"/>
    </row>
    <row r="329" spans="1:34" x14ac:dyDescent="0.25">
      <c r="A329" s="23"/>
      <c r="B329" s="23"/>
      <c r="C329" s="37"/>
      <c r="D329" s="28"/>
      <c r="E329" s="28"/>
      <c r="F329" s="28"/>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31"/>
      <c r="AH329"/>
    </row>
    <row r="330" spans="1:34" x14ac:dyDescent="0.25">
      <c r="A330" s="23"/>
      <c r="B330" s="23"/>
      <c r="C330" s="37"/>
      <c r="D330" s="28"/>
      <c r="E330" s="28"/>
      <c r="F330" s="28"/>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31"/>
      <c r="AH330"/>
    </row>
    <row r="331" spans="1:34" x14ac:dyDescent="0.25">
      <c r="A331" s="23"/>
      <c r="B331" s="23"/>
      <c r="C331" s="37"/>
      <c r="D331" s="28"/>
      <c r="E331" s="28"/>
      <c r="F331" s="28"/>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31"/>
      <c r="AH331"/>
    </row>
    <row r="332" spans="1:34" x14ac:dyDescent="0.25">
      <c r="A332" s="23"/>
      <c r="B332" s="23"/>
      <c r="C332" s="37"/>
      <c r="D332" s="28"/>
      <c r="E332" s="28"/>
      <c r="F332" s="28"/>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31"/>
      <c r="AH332"/>
    </row>
    <row r="333" spans="1:34" x14ac:dyDescent="0.25">
      <c r="A333" s="23"/>
      <c r="B333" s="23"/>
      <c r="C333" s="37"/>
      <c r="D333" s="32"/>
      <c r="E333" s="28"/>
      <c r="F333" s="28"/>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31"/>
      <c r="AH333"/>
    </row>
    <row r="334" spans="1:34" x14ac:dyDescent="0.25">
      <c r="A334" s="23"/>
      <c r="B334" s="23"/>
      <c r="C334" s="37"/>
      <c r="D334" s="30"/>
      <c r="E334" s="28"/>
      <c r="F334" s="28"/>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31"/>
      <c r="AH334"/>
    </row>
    <row r="335" spans="1:34" x14ac:dyDescent="0.25">
      <c r="A335" s="23"/>
      <c r="B335" s="23"/>
      <c r="C335" s="37"/>
      <c r="D335" s="28"/>
      <c r="E335" s="28"/>
      <c r="F335" s="28"/>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31"/>
      <c r="AH335"/>
    </row>
    <row r="336" spans="1:34" x14ac:dyDescent="0.25">
      <c r="A336" s="23"/>
      <c r="B336" s="23"/>
      <c r="C336" s="37"/>
      <c r="D336" s="28"/>
      <c r="E336" s="28"/>
      <c r="F336" s="28"/>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31"/>
      <c r="AH336"/>
    </row>
    <row r="337" spans="1:34" x14ac:dyDescent="0.25">
      <c r="A337" s="23"/>
      <c r="B337" s="23"/>
      <c r="C337" s="37"/>
      <c r="D337" s="28"/>
      <c r="E337" s="28"/>
      <c r="F337" s="28"/>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31"/>
      <c r="AH337"/>
    </row>
    <row r="338" spans="1:34" x14ac:dyDescent="0.25">
      <c r="A338" s="23"/>
      <c r="B338" s="23"/>
      <c r="C338" s="37"/>
      <c r="D338" s="28"/>
      <c r="E338" s="28"/>
      <c r="F338" s="28"/>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31"/>
      <c r="AH338"/>
    </row>
    <row r="339" spans="1:34" x14ac:dyDescent="0.25">
      <c r="A339" s="23"/>
      <c r="B339" s="23"/>
      <c r="C339" s="37"/>
      <c r="D339" s="28"/>
      <c r="E339" s="28"/>
      <c r="F339" s="28"/>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31"/>
      <c r="AH339"/>
    </row>
    <row r="340" spans="1:34" x14ac:dyDescent="0.25">
      <c r="A340" s="23"/>
      <c r="B340" s="23"/>
      <c r="C340" s="37"/>
      <c r="D340" s="28"/>
      <c r="E340" s="28"/>
      <c r="F340" s="28"/>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31"/>
      <c r="AH340"/>
    </row>
    <row r="341" spans="1:34" x14ac:dyDescent="0.25">
      <c r="A341" s="23"/>
      <c r="B341" s="23"/>
      <c r="C341" s="37"/>
      <c r="D341" s="28"/>
      <c r="E341" s="28"/>
      <c r="F341" s="28"/>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31"/>
      <c r="AH341"/>
    </row>
    <row r="342" spans="1:34" x14ac:dyDescent="0.25">
      <c r="A342" s="23"/>
      <c r="B342" s="23"/>
      <c r="C342" s="37"/>
      <c r="D342" s="28"/>
      <c r="E342" s="28"/>
      <c r="F342" s="28"/>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31"/>
      <c r="AH342"/>
    </row>
    <row r="343" spans="1:34" x14ac:dyDescent="0.25">
      <c r="A343" s="23"/>
      <c r="B343" s="23"/>
      <c r="C343" s="37"/>
      <c r="D343" s="28"/>
      <c r="E343" s="28"/>
      <c r="F343" s="28"/>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31"/>
      <c r="AH343"/>
    </row>
    <row r="344" spans="1:34" x14ac:dyDescent="0.25">
      <c r="A344" s="23"/>
      <c r="B344" s="23"/>
      <c r="C344" s="37"/>
      <c r="D344" s="28"/>
      <c r="E344" s="28"/>
      <c r="F344" s="28"/>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31"/>
      <c r="AH344"/>
    </row>
    <row r="345" spans="1:34" x14ac:dyDescent="0.25">
      <c r="A345" s="23"/>
      <c r="B345" s="23"/>
      <c r="C345" s="37"/>
      <c r="D345" s="28"/>
      <c r="E345" s="28"/>
      <c r="F345" s="28"/>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31"/>
      <c r="AH345"/>
    </row>
    <row r="346" spans="1:34" x14ac:dyDescent="0.25">
      <c r="A346" s="23"/>
      <c r="B346" s="23"/>
      <c r="C346" s="37"/>
      <c r="D346" s="28"/>
      <c r="E346" s="28"/>
      <c r="F346" s="28"/>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31"/>
      <c r="AH346"/>
    </row>
    <row r="347" spans="1:34" x14ac:dyDescent="0.25">
      <c r="A347" s="23"/>
      <c r="B347" s="23"/>
      <c r="C347" s="37"/>
      <c r="D347" s="28"/>
      <c r="E347" s="28"/>
      <c r="F347" s="28"/>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31"/>
      <c r="AH347"/>
    </row>
    <row r="348" spans="1:34" x14ac:dyDescent="0.25">
      <c r="A348" s="23"/>
      <c r="B348" s="23"/>
      <c r="C348" s="37"/>
      <c r="D348" s="28"/>
      <c r="E348" s="28"/>
      <c r="F348" s="28"/>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31"/>
      <c r="AH348"/>
    </row>
    <row r="349" spans="1:34" x14ac:dyDescent="0.25">
      <c r="A349" s="25"/>
      <c r="B349" s="25"/>
      <c r="C349" s="38"/>
      <c r="D349" s="32"/>
      <c r="E349" s="32"/>
      <c r="F349" s="32"/>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31"/>
      <c r="AH349"/>
    </row>
    <row r="350" spans="1:34" x14ac:dyDescent="0.25">
      <c r="A350" s="25"/>
      <c r="B350" s="25"/>
      <c r="C350" s="38"/>
      <c r="D350" s="32"/>
      <c r="E350" s="32"/>
      <c r="F350" s="32"/>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31"/>
      <c r="AH350"/>
    </row>
    <row r="351" spans="1:34" x14ac:dyDescent="0.25">
      <c r="A351" s="23"/>
      <c r="B351" s="23"/>
      <c r="C351" s="37"/>
      <c r="D351" s="28"/>
      <c r="E351" s="28"/>
      <c r="F351" s="28"/>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31"/>
      <c r="AH351"/>
    </row>
    <row r="352" spans="1:34" x14ac:dyDescent="0.25">
      <c r="A352" s="23"/>
      <c r="B352" s="23"/>
      <c r="C352" s="37"/>
      <c r="D352" s="28"/>
      <c r="E352" s="28"/>
      <c r="F352" s="28"/>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31"/>
      <c r="AH352"/>
    </row>
    <row r="353" spans="1:34" x14ac:dyDescent="0.25">
      <c r="A353" s="23"/>
      <c r="B353" s="23"/>
      <c r="C353" s="37"/>
      <c r="D353" s="28"/>
      <c r="E353" s="28"/>
      <c r="F353" s="28"/>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31"/>
      <c r="AH353"/>
    </row>
    <row r="354" spans="1:34" x14ac:dyDescent="0.25">
      <c r="A354" s="23"/>
      <c r="B354" s="23"/>
      <c r="C354" s="37"/>
      <c r="D354" s="28"/>
      <c r="E354" s="28"/>
      <c r="F354" s="28"/>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31"/>
      <c r="AH354"/>
    </row>
    <row r="355" spans="1:34" x14ac:dyDescent="0.25">
      <c r="A355" s="23"/>
      <c r="B355" s="23"/>
      <c r="C355" s="37"/>
      <c r="D355" s="28"/>
      <c r="E355" s="28"/>
      <c r="F355" s="28"/>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31"/>
      <c r="AH355"/>
    </row>
    <row r="356" spans="1:34" x14ac:dyDescent="0.25">
      <c r="A356" s="23"/>
      <c r="B356" s="23"/>
      <c r="C356" s="37"/>
      <c r="D356" s="28"/>
      <c r="E356" s="28"/>
      <c r="F356" s="28"/>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31"/>
      <c r="AH356"/>
    </row>
    <row r="357" spans="1:34" x14ac:dyDescent="0.25">
      <c r="A357" s="23"/>
      <c r="B357" s="23"/>
      <c r="C357" s="37"/>
      <c r="D357" s="28"/>
      <c r="E357" s="28"/>
      <c r="F357" s="28"/>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31"/>
      <c r="AH357"/>
    </row>
    <row r="358" spans="1:34" x14ac:dyDescent="0.25">
      <c r="A358" s="23"/>
      <c r="B358" s="23"/>
      <c r="C358" s="37"/>
      <c r="D358" s="32"/>
      <c r="E358" s="28"/>
      <c r="F358" s="28"/>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31"/>
      <c r="AH358"/>
    </row>
    <row r="359" spans="1:34" x14ac:dyDescent="0.25">
      <c r="A359" s="23"/>
      <c r="B359" s="23"/>
      <c r="C359" s="37"/>
      <c r="D359" s="28"/>
      <c r="E359" s="28"/>
      <c r="F359" s="28"/>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31"/>
      <c r="AH359"/>
    </row>
    <row r="360" spans="1:34" x14ac:dyDescent="0.25">
      <c r="A360" s="23"/>
      <c r="B360" s="23"/>
      <c r="C360" s="37"/>
      <c r="D360" s="28"/>
      <c r="E360" s="28"/>
      <c r="F360" s="28"/>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31"/>
      <c r="AH360"/>
    </row>
    <row r="361" spans="1:34" x14ac:dyDescent="0.25">
      <c r="A361" s="23"/>
      <c r="B361" s="23"/>
      <c r="C361" s="37"/>
      <c r="D361" s="28"/>
      <c r="E361" s="28"/>
      <c r="F361" s="28"/>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31"/>
      <c r="AH361"/>
    </row>
    <row r="362" spans="1:34" x14ac:dyDescent="0.25">
      <c r="A362" s="23"/>
      <c r="B362" s="23"/>
      <c r="C362" s="37"/>
      <c r="D362" s="33"/>
      <c r="E362" s="28"/>
      <c r="F362" s="28"/>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31"/>
      <c r="AH362"/>
    </row>
    <row r="363" spans="1:34" x14ac:dyDescent="0.25">
      <c r="A363" s="23"/>
      <c r="B363" s="23"/>
      <c r="C363" s="37"/>
      <c r="D363" s="33"/>
      <c r="E363" s="28"/>
      <c r="F363" s="28"/>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31"/>
      <c r="AH363"/>
    </row>
    <row r="364" spans="1:34" x14ac:dyDescent="0.25">
      <c r="A364" s="23"/>
      <c r="B364" s="23"/>
      <c r="C364" s="37"/>
      <c r="D364" s="28"/>
      <c r="E364" s="28"/>
      <c r="F364" s="28"/>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31"/>
      <c r="AH364"/>
    </row>
    <row r="365" spans="1:34" x14ac:dyDescent="0.25">
      <c r="A365" s="23"/>
      <c r="B365" s="23"/>
      <c r="C365" s="37"/>
      <c r="D365" s="28"/>
      <c r="E365" s="28"/>
      <c r="F365" s="28"/>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31"/>
      <c r="AH365"/>
    </row>
    <row r="366" spans="1:34" x14ac:dyDescent="0.25">
      <c r="A366" s="23"/>
      <c r="B366" s="23"/>
      <c r="C366" s="37"/>
      <c r="D366" s="28"/>
      <c r="E366" s="28"/>
      <c r="F366" s="28"/>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31"/>
      <c r="AH366"/>
    </row>
    <row r="367" spans="1:34" x14ac:dyDescent="0.25">
      <c r="A367" s="23"/>
      <c r="B367" s="23"/>
      <c r="C367" s="37"/>
      <c r="D367" s="28"/>
      <c r="E367" s="28"/>
      <c r="F367" s="28"/>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31"/>
      <c r="AH367"/>
    </row>
    <row r="368" spans="1:34" x14ac:dyDescent="0.25">
      <c r="A368" s="23"/>
      <c r="B368" s="23"/>
      <c r="C368" s="37"/>
      <c r="D368" s="28"/>
      <c r="E368" s="28"/>
      <c r="F368" s="28"/>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31"/>
      <c r="AH368"/>
    </row>
    <row r="369" spans="1:34" x14ac:dyDescent="0.25">
      <c r="A369" s="23"/>
      <c r="B369" s="23"/>
      <c r="C369" s="37"/>
      <c r="D369" s="28"/>
      <c r="E369" s="28"/>
      <c r="F369" s="28"/>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31"/>
      <c r="AH369"/>
    </row>
    <row r="370" spans="1:34" x14ac:dyDescent="0.25">
      <c r="A370" s="23"/>
      <c r="B370" s="23"/>
      <c r="C370" s="37"/>
      <c r="D370" s="28"/>
      <c r="E370" s="28"/>
      <c r="F370" s="28"/>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31"/>
      <c r="AH370"/>
    </row>
    <row r="371" spans="1:34" x14ac:dyDescent="0.25">
      <c r="A371" s="23"/>
      <c r="B371" s="23"/>
      <c r="C371" s="37"/>
      <c r="D371" s="28"/>
      <c r="E371" s="28"/>
      <c r="F371" s="28"/>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31"/>
      <c r="AH371"/>
    </row>
    <row r="372" spans="1:34" x14ac:dyDescent="0.25">
      <c r="A372" s="23"/>
      <c r="B372" s="23"/>
      <c r="C372" s="37"/>
      <c r="D372" s="28"/>
      <c r="E372" s="28"/>
      <c r="F372" s="28"/>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31"/>
      <c r="AH372"/>
    </row>
    <row r="373" spans="1:34" x14ac:dyDescent="0.25">
      <c r="A373" s="23"/>
      <c r="B373" s="23"/>
      <c r="C373" s="37"/>
      <c r="D373" s="28"/>
      <c r="E373" s="28"/>
      <c r="F373" s="28"/>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31"/>
      <c r="AH373"/>
    </row>
    <row r="374" spans="1:34" x14ac:dyDescent="0.25">
      <c r="A374" s="23"/>
      <c r="B374" s="23"/>
      <c r="C374" s="37"/>
      <c r="D374" s="28"/>
      <c r="E374" s="28"/>
      <c r="F374" s="28"/>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31"/>
      <c r="AH374"/>
    </row>
    <row r="375" spans="1:34" x14ac:dyDescent="0.25">
      <c r="A375" s="23"/>
      <c r="B375" s="23"/>
      <c r="C375" s="37"/>
      <c r="D375" s="28"/>
      <c r="E375" s="28"/>
      <c r="F375" s="28"/>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31"/>
      <c r="AH375"/>
    </row>
    <row r="376" spans="1:34" x14ac:dyDescent="0.25">
      <c r="A376" s="23"/>
      <c r="B376" s="23"/>
      <c r="C376" s="37"/>
      <c r="D376" s="28"/>
      <c r="E376" s="28"/>
      <c r="F376" s="28"/>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31"/>
      <c r="AH376"/>
    </row>
    <row r="377" spans="1:34" x14ac:dyDescent="0.25">
      <c r="A377" s="23"/>
      <c r="B377" s="23"/>
      <c r="C377" s="37"/>
      <c r="D377" s="28"/>
      <c r="E377" s="28"/>
      <c r="F377" s="28"/>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31"/>
      <c r="AH377"/>
    </row>
    <row r="378" spans="1:34" x14ac:dyDescent="0.25">
      <c r="A378" s="23"/>
      <c r="B378" s="23"/>
      <c r="C378" s="37"/>
      <c r="D378" s="28"/>
      <c r="E378" s="28"/>
      <c r="F378" s="28"/>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31"/>
      <c r="AH378"/>
    </row>
    <row r="379" spans="1:34" x14ac:dyDescent="0.25">
      <c r="A379" s="23"/>
      <c r="B379" s="23"/>
      <c r="C379" s="37"/>
      <c r="D379" s="28"/>
      <c r="E379" s="28"/>
      <c r="F379" s="28"/>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31"/>
      <c r="AH379"/>
    </row>
    <row r="380" spans="1:34" x14ac:dyDescent="0.25">
      <c r="A380" s="23"/>
      <c r="B380" s="23"/>
      <c r="C380" s="34"/>
      <c r="D380" s="28"/>
      <c r="E380" s="28"/>
      <c r="F380" s="28"/>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31"/>
      <c r="AH380"/>
    </row>
    <row r="381" spans="1:34" x14ac:dyDescent="0.25">
      <c r="A381" s="23"/>
      <c r="B381" s="23"/>
      <c r="C381" s="34"/>
      <c r="D381" s="28"/>
      <c r="E381" s="28"/>
      <c r="F381" s="28"/>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31"/>
      <c r="AH381"/>
    </row>
    <row r="382" spans="1:34" x14ac:dyDescent="0.25">
      <c r="A382" s="23"/>
      <c r="B382" s="23"/>
      <c r="C382" s="34"/>
      <c r="D382" s="28"/>
      <c r="E382" s="28"/>
      <c r="F382" s="28"/>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31"/>
      <c r="AH382"/>
    </row>
    <row r="383" spans="1:34" x14ac:dyDescent="0.25">
      <c r="A383" s="23"/>
      <c r="B383" s="23"/>
      <c r="C383" s="34"/>
      <c r="D383" s="28"/>
      <c r="E383" s="28"/>
      <c r="F383" s="28"/>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31"/>
      <c r="AH383"/>
    </row>
    <row r="384" spans="1:34" x14ac:dyDescent="0.25">
      <c r="A384" s="23"/>
      <c r="B384" s="23"/>
      <c r="C384" s="34"/>
      <c r="D384" s="30"/>
      <c r="E384" s="28"/>
      <c r="F384" s="28"/>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31"/>
      <c r="AH384"/>
    </row>
    <row r="385" spans="1:34" x14ac:dyDescent="0.25">
      <c r="A385" s="23"/>
      <c r="B385" s="23"/>
      <c r="C385" s="34"/>
      <c r="D385" s="28"/>
      <c r="E385" s="28"/>
      <c r="F385" s="28"/>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31"/>
      <c r="AH385"/>
    </row>
    <row r="386" spans="1:34" x14ac:dyDescent="0.25">
      <c r="A386" s="23"/>
      <c r="B386" s="23"/>
      <c r="C386" s="34"/>
      <c r="D386" s="28"/>
      <c r="E386" s="28"/>
      <c r="F386" s="28"/>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31"/>
      <c r="AH386"/>
    </row>
    <row r="387" spans="1:34" x14ac:dyDescent="0.25">
      <c r="A387" s="23"/>
      <c r="B387" s="23"/>
      <c r="C387" s="34"/>
      <c r="D387" s="28"/>
      <c r="E387" s="28"/>
      <c r="F387" s="28"/>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31"/>
      <c r="AH387"/>
    </row>
    <row r="388" spans="1:34" x14ac:dyDescent="0.25">
      <c r="A388" s="23"/>
      <c r="B388" s="23"/>
      <c r="C388" s="34"/>
      <c r="D388" s="28"/>
      <c r="E388" s="28"/>
      <c r="F388" s="28"/>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31"/>
      <c r="AH388"/>
    </row>
    <row r="389" spans="1:34" x14ac:dyDescent="0.25">
      <c r="A389" s="23"/>
      <c r="B389" s="23"/>
      <c r="C389" s="34"/>
      <c r="D389" s="28"/>
      <c r="E389" s="28"/>
      <c r="F389" s="28"/>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31"/>
      <c r="AH389"/>
    </row>
    <row r="390" spans="1:34" x14ac:dyDescent="0.25">
      <c r="A390" s="23"/>
      <c r="B390" s="23"/>
      <c r="C390" s="34"/>
      <c r="D390" s="28"/>
      <c r="E390" s="28"/>
      <c r="F390" s="28"/>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31"/>
      <c r="AH390"/>
    </row>
    <row r="391" spans="1:34" x14ac:dyDescent="0.25">
      <c r="A391" s="23"/>
      <c r="B391" s="23"/>
      <c r="C391" s="34"/>
      <c r="D391" s="28"/>
      <c r="E391" s="28"/>
      <c r="F391" s="28"/>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31"/>
      <c r="AH391"/>
    </row>
    <row r="392" spans="1:34" x14ac:dyDescent="0.25">
      <c r="A392" s="23"/>
      <c r="B392" s="23"/>
      <c r="C392" s="34"/>
      <c r="D392" s="28"/>
      <c r="E392" s="28"/>
      <c r="F392" s="28"/>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31"/>
      <c r="AH392"/>
    </row>
    <row r="393" spans="1:34" x14ac:dyDescent="0.25">
      <c r="A393" s="23"/>
      <c r="B393" s="23"/>
      <c r="C393" s="34"/>
      <c r="D393" s="28"/>
      <c r="E393" s="28"/>
      <c r="F393" s="28"/>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31"/>
      <c r="AH393"/>
    </row>
    <row r="394" spans="1:34" x14ac:dyDescent="0.25">
      <c r="A394" s="23"/>
      <c r="B394" s="23"/>
      <c r="C394" s="34"/>
      <c r="D394" s="28"/>
      <c r="E394" s="28"/>
      <c r="F394" s="28"/>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31"/>
      <c r="AH394"/>
    </row>
    <row r="395" spans="1:34" x14ac:dyDescent="0.25">
      <c r="A395" s="23"/>
      <c r="B395" s="23"/>
      <c r="C395" s="34"/>
      <c r="D395" s="30"/>
      <c r="E395" s="28"/>
      <c r="F395" s="28"/>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31"/>
      <c r="AH395"/>
    </row>
    <row r="396" spans="1:34" x14ac:dyDescent="0.25">
      <c r="A396" s="23"/>
      <c r="B396" s="23"/>
      <c r="C396" s="34"/>
      <c r="D396" s="28"/>
      <c r="E396" s="28"/>
      <c r="F396" s="28"/>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31"/>
      <c r="AH396"/>
    </row>
    <row r="397" spans="1:34" x14ac:dyDescent="0.25">
      <c r="A397" s="23"/>
      <c r="B397" s="23"/>
      <c r="C397" s="34"/>
      <c r="D397" s="28"/>
      <c r="E397" s="28"/>
      <c r="F397" s="28"/>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31"/>
      <c r="AH397"/>
    </row>
    <row r="398" spans="1:34" x14ac:dyDescent="0.25">
      <c r="A398" s="36"/>
      <c r="B398" s="36"/>
      <c r="C398" s="34"/>
      <c r="D398" s="28"/>
      <c r="E398" s="28"/>
      <c r="F398" s="28"/>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31"/>
      <c r="AH398"/>
    </row>
    <row r="399" spans="1:34" x14ac:dyDescent="0.25">
      <c r="A399" s="23"/>
      <c r="B399" s="23"/>
      <c r="C399" s="34"/>
      <c r="D399" s="32"/>
      <c r="E399" s="28"/>
      <c r="F399" s="28"/>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31"/>
      <c r="AH399"/>
    </row>
    <row r="400" spans="1:34" x14ac:dyDescent="0.25">
      <c r="A400" s="23"/>
      <c r="B400" s="23"/>
      <c r="C400" s="34"/>
      <c r="D400" s="32"/>
      <c r="E400" s="28"/>
      <c r="F400" s="28"/>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31"/>
      <c r="AH400"/>
    </row>
    <row r="401" spans="1:34" x14ac:dyDescent="0.25">
      <c r="A401" s="23"/>
      <c r="B401" s="23"/>
      <c r="C401" s="34"/>
      <c r="D401" s="28"/>
      <c r="E401" s="28"/>
      <c r="F401" s="28"/>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31"/>
      <c r="AH401"/>
    </row>
    <row r="402" spans="1:34" x14ac:dyDescent="0.25">
      <c r="A402" s="23"/>
      <c r="B402" s="23"/>
      <c r="C402" s="34"/>
      <c r="D402" s="28"/>
      <c r="E402" s="28"/>
      <c r="F402" s="28"/>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31"/>
      <c r="AH402"/>
    </row>
    <row r="403" spans="1:34" x14ac:dyDescent="0.25">
      <c r="A403" s="23"/>
      <c r="B403" s="23"/>
      <c r="C403" s="34"/>
      <c r="D403" s="28"/>
      <c r="E403" s="28"/>
      <c r="F403" s="28"/>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31"/>
      <c r="AH403"/>
    </row>
    <row r="404" spans="1:34" x14ac:dyDescent="0.25">
      <c r="A404" s="23"/>
      <c r="B404" s="23"/>
      <c r="C404" s="34"/>
      <c r="D404" s="28"/>
      <c r="E404" s="28"/>
      <c r="F404" s="28"/>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31"/>
      <c r="AH404"/>
    </row>
    <row r="405" spans="1:34" x14ac:dyDescent="0.25">
      <c r="A405" s="23"/>
      <c r="B405" s="23"/>
      <c r="C405" s="34"/>
      <c r="D405" s="28"/>
      <c r="E405" s="28"/>
      <c r="F405" s="28"/>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31"/>
      <c r="AH405"/>
    </row>
    <row r="406" spans="1:34" x14ac:dyDescent="0.25">
      <c r="A406" s="23"/>
      <c r="B406" s="23"/>
      <c r="C406" s="34"/>
      <c r="D406" s="28"/>
      <c r="E406" s="28"/>
      <c r="F406" s="28"/>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31"/>
      <c r="AH406"/>
    </row>
    <row r="407" spans="1:34" x14ac:dyDescent="0.25">
      <c r="A407" s="23"/>
      <c r="B407" s="23"/>
      <c r="C407" s="34"/>
      <c r="D407" s="28"/>
      <c r="E407" s="28"/>
      <c r="F407" s="28"/>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31"/>
      <c r="AH407"/>
    </row>
    <row r="408" spans="1:34" x14ac:dyDescent="0.25">
      <c r="A408" s="23"/>
      <c r="B408" s="23"/>
      <c r="C408" s="34"/>
      <c r="D408" s="28"/>
      <c r="E408" s="28"/>
      <c r="F408" s="28"/>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31"/>
      <c r="AH408"/>
    </row>
    <row r="409" spans="1:34" x14ac:dyDescent="0.25">
      <c r="A409" s="23"/>
      <c r="B409" s="23"/>
      <c r="C409" s="34"/>
      <c r="D409" s="28"/>
      <c r="E409" s="28"/>
      <c r="F409" s="28"/>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31"/>
      <c r="AH409"/>
    </row>
    <row r="410" spans="1:34" x14ac:dyDescent="0.25">
      <c r="A410" s="23"/>
      <c r="B410" s="23"/>
      <c r="C410" s="34"/>
      <c r="D410" s="28"/>
      <c r="E410" s="28"/>
      <c r="F410" s="28"/>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31"/>
      <c r="AH410"/>
    </row>
    <row r="411" spans="1:34" x14ac:dyDescent="0.25">
      <c r="A411" s="23"/>
      <c r="B411" s="23"/>
      <c r="C411" s="34"/>
      <c r="D411" s="28"/>
      <c r="E411" s="28"/>
      <c r="F411" s="28"/>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31"/>
      <c r="AH411"/>
    </row>
    <row r="412" spans="1:34" x14ac:dyDescent="0.25">
      <c r="A412" s="23"/>
      <c r="B412" s="23"/>
      <c r="C412" s="34"/>
      <c r="D412" s="28"/>
      <c r="E412" s="28"/>
      <c r="F412" s="28"/>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31"/>
      <c r="AH412"/>
    </row>
    <row r="413" spans="1:34" x14ac:dyDescent="0.25">
      <c r="A413" s="23"/>
      <c r="B413" s="23"/>
      <c r="C413" s="34"/>
      <c r="D413" s="28"/>
      <c r="E413" s="28"/>
      <c r="F413" s="28"/>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31"/>
      <c r="AH413"/>
    </row>
    <row r="414" spans="1:34" x14ac:dyDescent="0.25">
      <c r="A414" s="23"/>
      <c r="B414" s="23"/>
      <c r="C414" s="34"/>
      <c r="D414" s="28"/>
      <c r="E414" s="28"/>
      <c r="F414" s="28"/>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31"/>
      <c r="AH414"/>
    </row>
    <row r="415" spans="1:34" x14ac:dyDescent="0.25">
      <c r="A415" s="23"/>
      <c r="B415" s="23"/>
      <c r="C415" s="34"/>
      <c r="D415" s="28"/>
      <c r="E415" s="28"/>
      <c r="F415" s="28"/>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31"/>
      <c r="AH415"/>
    </row>
    <row r="416" spans="1:34" x14ac:dyDescent="0.25">
      <c r="A416" s="23"/>
      <c r="B416" s="23"/>
      <c r="C416" s="34"/>
      <c r="D416" s="28"/>
      <c r="E416" s="28"/>
      <c r="F416" s="28"/>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31"/>
      <c r="AH416"/>
    </row>
    <row r="417" spans="1:34" x14ac:dyDescent="0.25">
      <c r="A417" s="23"/>
      <c r="B417" s="23"/>
      <c r="C417" s="34"/>
      <c r="D417" s="28"/>
      <c r="E417" s="28"/>
      <c r="F417" s="28"/>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31"/>
      <c r="AH417"/>
    </row>
    <row r="418" spans="1:34" x14ac:dyDescent="0.25">
      <c r="A418" s="23"/>
      <c r="B418" s="23"/>
      <c r="C418" s="34"/>
      <c r="D418" s="28"/>
      <c r="E418" s="28"/>
      <c r="F418" s="28"/>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31"/>
      <c r="AH418"/>
    </row>
    <row r="419" spans="1:34" x14ac:dyDescent="0.25">
      <c r="A419" s="23"/>
      <c r="B419" s="23"/>
      <c r="C419" s="34"/>
      <c r="D419" s="28"/>
      <c r="E419" s="28"/>
      <c r="F419" s="28"/>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31"/>
      <c r="AH419"/>
    </row>
    <row r="420" spans="1:34" x14ac:dyDescent="0.25">
      <c r="A420" s="23"/>
      <c r="B420" s="23"/>
      <c r="C420" s="34"/>
      <c r="D420" s="28"/>
      <c r="E420" s="28"/>
      <c r="F420" s="28"/>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31"/>
      <c r="AH420"/>
    </row>
    <row r="421" spans="1:34" x14ac:dyDescent="0.25">
      <c r="A421" s="23"/>
      <c r="B421" s="23"/>
      <c r="C421" s="34"/>
      <c r="D421" s="28"/>
      <c r="E421" s="28"/>
      <c r="F421" s="28"/>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31"/>
      <c r="AH421"/>
    </row>
    <row r="422" spans="1:34" x14ac:dyDescent="0.25">
      <c r="A422" s="23"/>
      <c r="B422" s="23"/>
      <c r="C422" s="34"/>
      <c r="D422" s="28"/>
      <c r="E422" s="28"/>
      <c r="F422" s="28"/>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31"/>
      <c r="AH422"/>
    </row>
    <row r="423" spans="1:34" x14ac:dyDescent="0.25">
      <c r="A423" s="23"/>
      <c r="B423" s="23"/>
      <c r="C423" s="34"/>
      <c r="D423" s="28"/>
      <c r="E423" s="28"/>
      <c r="F423" s="28"/>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31"/>
      <c r="AH423"/>
    </row>
    <row r="424" spans="1:34" x14ac:dyDescent="0.25">
      <c r="A424" s="25"/>
      <c r="B424" s="25"/>
      <c r="C424" s="35"/>
      <c r="D424" s="32"/>
      <c r="E424" s="32"/>
      <c r="F424" s="32"/>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31"/>
      <c r="AH424"/>
    </row>
    <row r="425" spans="1:34" x14ac:dyDescent="0.25">
      <c r="A425" s="23"/>
      <c r="B425" s="23"/>
      <c r="C425" s="34"/>
      <c r="D425" s="28"/>
      <c r="E425" s="28"/>
      <c r="F425" s="28"/>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31"/>
      <c r="AH425"/>
    </row>
    <row r="426" spans="1:34" x14ac:dyDescent="0.25">
      <c r="A426" s="23"/>
      <c r="B426" s="23"/>
      <c r="C426" s="34"/>
      <c r="D426" s="28"/>
      <c r="E426" s="28"/>
      <c r="F426" s="28"/>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31"/>
      <c r="AH426"/>
    </row>
    <row r="427" spans="1:34" x14ac:dyDescent="0.25">
      <c r="A427" s="23"/>
      <c r="B427" s="23"/>
      <c r="C427" s="34"/>
      <c r="D427" s="28"/>
      <c r="E427" s="28"/>
      <c r="F427" s="28"/>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31"/>
      <c r="AH427"/>
    </row>
    <row r="428" spans="1:34" x14ac:dyDescent="0.25">
      <c r="A428" s="23"/>
      <c r="B428" s="23"/>
      <c r="C428" s="34"/>
      <c r="D428" s="28"/>
      <c r="E428" s="28"/>
      <c r="F428" s="28"/>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31"/>
      <c r="AH428"/>
    </row>
    <row r="429" spans="1:34" x14ac:dyDescent="0.25">
      <c r="A429" s="23"/>
      <c r="B429" s="23"/>
      <c r="C429" s="34"/>
      <c r="D429" s="28"/>
      <c r="E429" s="28"/>
      <c r="F429" s="28"/>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31"/>
      <c r="AH429"/>
    </row>
    <row r="430" spans="1:34" x14ac:dyDescent="0.25">
      <c r="A430" s="23"/>
      <c r="B430" s="23"/>
      <c r="C430" s="34"/>
      <c r="D430" s="28"/>
      <c r="E430" s="28"/>
      <c r="F430" s="28"/>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31"/>
      <c r="AH430"/>
    </row>
    <row r="431" spans="1:34" x14ac:dyDescent="0.25">
      <c r="A431" s="23"/>
      <c r="B431" s="23"/>
      <c r="C431" s="34"/>
      <c r="D431" s="28"/>
      <c r="E431" s="28"/>
      <c r="F431" s="28"/>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31"/>
      <c r="AH431"/>
    </row>
    <row r="432" spans="1:34" x14ac:dyDescent="0.25">
      <c r="A432" s="23"/>
      <c r="B432" s="23"/>
      <c r="C432" s="34"/>
      <c r="D432" s="28"/>
      <c r="E432" s="28"/>
      <c r="F432" s="28"/>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31"/>
      <c r="AH432"/>
    </row>
    <row r="433" spans="1:34" x14ac:dyDescent="0.25">
      <c r="A433" s="25"/>
      <c r="B433" s="25"/>
      <c r="C433" s="35"/>
      <c r="D433" s="32"/>
      <c r="E433" s="32"/>
      <c r="F433" s="32"/>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31"/>
      <c r="AH433"/>
    </row>
    <row r="434" spans="1:34" x14ac:dyDescent="0.25">
      <c r="A434" s="23"/>
      <c r="B434" s="23"/>
      <c r="C434" s="34"/>
      <c r="D434" s="28"/>
      <c r="E434" s="28"/>
      <c r="F434" s="28"/>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31"/>
      <c r="AH434"/>
    </row>
    <row r="435" spans="1:34" x14ac:dyDescent="0.25">
      <c r="A435" s="23"/>
      <c r="B435" s="23"/>
      <c r="C435" s="34"/>
      <c r="D435" s="28"/>
      <c r="E435" s="28"/>
      <c r="F435" s="28"/>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31"/>
      <c r="AH435"/>
    </row>
    <row r="436" spans="1:34" x14ac:dyDescent="0.25">
      <c r="A436" s="23"/>
      <c r="B436" s="23"/>
      <c r="C436" s="34"/>
      <c r="D436" s="28"/>
      <c r="E436" s="28"/>
      <c r="F436" s="28"/>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31"/>
      <c r="AH436"/>
    </row>
    <row r="437" spans="1:34" x14ac:dyDescent="0.25">
      <c r="A437" s="23"/>
      <c r="B437" s="23"/>
      <c r="C437" s="34"/>
      <c r="D437" s="28"/>
      <c r="E437" s="28"/>
      <c r="F437" s="28"/>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31"/>
      <c r="AH437"/>
    </row>
    <row r="438" spans="1:34" x14ac:dyDescent="0.25">
      <c r="A438" s="23"/>
      <c r="B438" s="23"/>
      <c r="C438" s="34"/>
      <c r="D438" s="28"/>
      <c r="E438" s="28"/>
      <c r="F438" s="28"/>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31"/>
      <c r="AH438"/>
    </row>
    <row r="439" spans="1:34" x14ac:dyDescent="0.25">
      <c r="A439" s="23"/>
      <c r="B439" s="23"/>
      <c r="C439" s="34"/>
      <c r="D439" s="28"/>
      <c r="E439" s="28"/>
      <c r="F439" s="28"/>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31"/>
      <c r="AH439"/>
    </row>
    <row r="440" spans="1:34" x14ac:dyDescent="0.25">
      <c r="A440" s="23"/>
      <c r="B440" s="23"/>
      <c r="C440" s="34"/>
      <c r="D440" s="28"/>
      <c r="E440" s="28"/>
      <c r="F440" s="28"/>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31"/>
      <c r="AH440"/>
    </row>
    <row r="441" spans="1:34" x14ac:dyDescent="0.25">
      <c r="A441" s="23"/>
      <c r="B441" s="23"/>
      <c r="C441" s="34"/>
      <c r="D441" s="28"/>
      <c r="E441" s="28"/>
      <c r="F441" s="28"/>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31"/>
      <c r="AH441"/>
    </row>
    <row r="442" spans="1:34" x14ac:dyDescent="0.25">
      <c r="A442" s="23"/>
      <c r="B442" s="23"/>
      <c r="C442" s="34"/>
      <c r="D442" s="32"/>
      <c r="E442" s="28"/>
      <c r="F442" s="28"/>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31"/>
      <c r="AH442"/>
    </row>
    <row r="443" spans="1:34" x14ac:dyDescent="0.25">
      <c r="A443" s="23"/>
      <c r="B443" s="23"/>
      <c r="C443" s="34"/>
      <c r="D443" s="28"/>
      <c r="E443" s="28"/>
      <c r="F443" s="28"/>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31"/>
      <c r="AH443"/>
    </row>
    <row r="444" spans="1:34" x14ac:dyDescent="0.25">
      <c r="A444" s="23"/>
      <c r="B444" s="23"/>
      <c r="C444" s="34"/>
      <c r="D444" s="28"/>
      <c r="E444" s="28"/>
      <c r="F444" s="28"/>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31"/>
      <c r="AH444"/>
    </row>
    <row r="445" spans="1:34" ht="12.75" customHeight="1" x14ac:dyDescent="0.25">
      <c r="A445" s="23"/>
      <c r="B445" s="23"/>
      <c r="C445" s="34"/>
      <c r="D445" s="28"/>
      <c r="E445" s="28"/>
      <c r="F445" s="28"/>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31"/>
      <c r="AH445"/>
    </row>
    <row r="446" spans="1:34" x14ac:dyDescent="0.25">
      <c r="A446" s="23"/>
      <c r="B446" s="23"/>
      <c r="C446" s="34"/>
      <c r="D446" s="28"/>
      <c r="E446" s="28"/>
      <c r="F446" s="28"/>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31"/>
      <c r="AH446"/>
    </row>
    <row r="447" spans="1:34" x14ac:dyDescent="0.25">
      <c r="A447" s="23"/>
      <c r="B447" s="23"/>
      <c r="C447" s="34"/>
      <c r="D447" s="28"/>
      <c r="E447" s="28"/>
      <c r="F447" s="28"/>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31"/>
      <c r="AH447"/>
    </row>
    <row r="448" spans="1:34" x14ac:dyDescent="0.25">
      <c r="A448" s="23"/>
      <c r="B448" s="23"/>
      <c r="C448" s="34"/>
      <c r="D448" s="28"/>
      <c r="E448" s="28"/>
      <c r="F448" s="28"/>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31"/>
      <c r="AH448"/>
    </row>
    <row r="449" spans="1:34" x14ac:dyDescent="0.25">
      <c r="A449" s="23"/>
      <c r="B449" s="23"/>
      <c r="C449" s="34"/>
      <c r="D449" s="28"/>
      <c r="E449" s="28"/>
      <c r="F449" s="28"/>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31"/>
      <c r="AH449"/>
    </row>
    <row r="450" spans="1:34" x14ac:dyDescent="0.25">
      <c r="A450" s="23"/>
      <c r="B450" s="23"/>
      <c r="C450" s="34"/>
      <c r="D450" s="28"/>
      <c r="E450" s="28"/>
      <c r="F450" s="28"/>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31"/>
      <c r="AH450"/>
    </row>
    <row r="451" spans="1:34" x14ac:dyDescent="0.25">
      <c r="A451" s="23"/>
      <c r="B451" s="23"/>
      <c r="C451" s="34"/>
      <c r="D451" s="28"/>
      <c r="E451" s="28"/>
      <c r="F451" s="28"/>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31"/>
      <c r="AH451"/>
    </row>
    <row r="452" spans="1:34" x14ac:dyDescent="0.25">
      <c r="A452" s="23"/>
      <c r="B452" s="23"/>
      <c r="C452" s="34"/>
      <c r="D452" s="28"/>
      <c r="E452" s="28"/>
      <c r="F452" s="28"/>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31"/>
      <c r="AH452"/>
    </row>
    <row r="453" spans="1:34" x14ac:dyDescent="0.25">
      <c r="A453" s="23"/>
      <c r="B453" s="23"/>
      <c r="C453" s="34"/>
      <c r="D453" s="28"/>
      <c r="E453" s="28"/>
      <c r="F453" s="28"/>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31"/>
      <c r="AH453"/>
    </row>
    <row r="454" spans="1:34" x14ac:dyDescent="0.25">
      <c r="A454" s="23"/>
      <c r="B454" s="23"/>
      <c r="C454" s="34"/>
      <c r="D454" s="28"/>
      <c r="E454" s="28"/>
      <c r="F454" s="28"/>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31"/>
      <c r="AH454"/>
    </row>
    <row r="455" spans="1:34" x14ac:dyDescent="0.25">
      <c r="A455" s="23"/>
      <c r="B455" s="23"/>
      <c r="C455" s="34"/>
      <c r="D455" s="28"/>
      <c r="E455" s="28"/>
      <c r="F455" s="28"/>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31"/>
      <c r="AH455"/>
    </row>
    <row r="456" spans="1:34" x14ac:dyDescent="0.25">
      <c r="A456" s="23"/>
      <c r="B456" s="23"/>
      <c r="C456" s="34"/>
      <c r="D456" s="28"/>
      <c r="E456" s="28"/>
      <c r="F456" s="28"/>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31"/>
      <c r="AH456"/>
    </row>
    <row r="457" spans="1:34" x14ac:dyDescent="0.25">
      <c r="A457" s="23"/>
      <c r="B457" s="23"/>
      <c r="C457" s="34"/>
      <c r="D457" s="28"/>
      <c r="E457" s="28"/>
      <c r="F457" s="28"/>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31"/>
      <c r="AH457"/>
    </row>
    <row r="458" spans="1:34" x14ac:dyDescent="0.25">
      <c r="A458" s="23"/>
      <c r="B458" s="23"/>
      <c r="C458" s="34"/>
      <c r="D458" s="28"/>
      <c r="E458" s="28"/>
      <c r="F458" s="28"/>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31"/>
      <c r="AH458"/>
    </row>
    <row r="459" spans="1:34" x14ac:dyDescent="0.25">
      <c r="A459" s="26"/>
      <c r="B459" s="26"/>
      <c r="C459" s="34"/>
      <c r="D459" s="28"/>
      <c r="E459" s="5"/>
      <c r="F459" s="28"/>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31"/>
      <c r="AH459"/>
    </row>
    <row r="460" spans="1:34" x14ac:dyDescent="0.25">
      <c r="A460" s="26"/>
      <c r="B460" s="26"/>
      <c r="C460" s="34"/>
      <c r="D460" s="28"/>
      <c r="E460" s="5"/>
      <c r="F460" s="28"/>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31"/>
      <c r="AH460"/>
    </row>
    <row r="461" spans="1:34" x14ac:dyDescent="0.25">
      <c r="A461" s="26"/>
      <c r="B461" s="26"/>
      <c r="C461" s="34"/>
      <c r="D461" s="28"/>
      <c r="E461" s="5"/>
      <c r="F461" s="28"/>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31"/>
      <c r="AH461"/>
    </row>
    <row r="462" spans="1:34" ht="24.75" customHeight="1" x14ac:dyDescent="0.25">
      <c r="A462" s="25"/>
      <c r="B462" s="25"/>
      <c r="C462" s="35"/>
      <c r="D462" s="33"/>
      <c r="E462" s="24"/>
      <c r="F462" s="32"/>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31"/>
      <c r="AH462"/>
    </row>
    <row r="463" spans="1:34" x14ac:dyDescent="0.25">
      <c r="A463" s="26"/>
      <c r="B463" s="26"/>
      <c r="C463" s="34"/>
      <c r="D463" s="28"/>
      <c r="E463" s="5"/>
      <c r="F463" s="28"/>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31"/>
      <c r="AH463"/>
    </row>
    <row r="464" spans="1:34" x14ac:dyDescent="0.25">
      <c r="A464" s="26"/>
      <c r="B464" s="26"/>
      <c r="C464" s="34"/>
      <c r="D464" s="28"/>
      <c r="E464" s="5"/>
      <c r="F464" s="28"/>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31"/>
      <c r="AH464"/>
    </row>
    <row r="465" spans="1:34" x14ac:dyDescent="0.25">
      <c r="A465" s="26"/>
      <c r="B465" s="26"/>
      <c r="C465" s="34"/>
      <c r="D465" s="28"/>
      <c r="E465" s="5"/>
      <c r="F465" s="28"/>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31"/>
      <c r="AH465"/>
    </row>
    <row r="466" spans="1:34" x14ac:dyDescent="0.25">
      <c r="A466" s="26"/>
      <c r="B466" s="26"/>
      <c r="C466" s="5"/>
      <c r="D466" s="33"/>
      <c r="E466" s="5"/>
      <c r="F466" s="28"/>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31"/>
      <c r="AH466"/>
    </row>
    <row r="467" spans="1:34" x14ac:dyDescent="0.25">
      <c r="A467" s="26"/>
      <c r="B467" s="26"/>
      <c r="C467" s="5"/>
      <c r="D467" s="28"/>
      <c r="E467" s="5"/>
      <c r="F467" s="28"/>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31"/>
      <c r="AH467"/>
    </row>
    <row r="468" spans="1:34" x14ac:dyDescent="0.25">
      <c r="A468" s="23"/>
      <c r="B468" s="23"/>
      <c r="C468" s="5"/>
      <c r="D468" s="28"/>
      <c r="E468" s="5"/>
      <c r="F468" s="28"/>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31"/>
      <c r="AH468"/>
    </row>
    <row r="469" spans="1:34" x14ac:dyDescent="0.25">
      <c r="A469" s="23"/>
      <c r="B469" s="23"/>
      <c r="C469" s="5"/>
      <c r="D469" s="28"/>
      <c r="E469" s="5"/>
      <c r="F469" s="28"/>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31"/>
      <c r="AH469"/>
    </row>
    <row r="470" spans="1:34" x14ac:dyDescent="0.25">
      <c r="A470" s="23"/>
      <c r="B470" s="23"/>
      <c r="C470" s="5"/>
      <c r="D470" s="32"/>
      <c r="E470" s="5"/>
      <c r="F470" s="28"/>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31"/>
      <c r="AH470"/>
    </row>
    <row r="471" spans="1:34" x14ac:dyDescent="0.25">
      <c r="A471" s="23"/>
      <c r="B471" s="23"/>
      <c r="C471" s="5"/>
      <c r="D471" s="32"/>
      <c r="E471" s="5"/>
      <c r="F471" s="28"/>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31"/>
      <c r="AH471"/>
    </row>
    <row r="472" spans="1:34" x14ac:dyDescent="0.25">
      <c r="A472" s="23"/>
      <c r="B472" s="23"/>
      <c r="C472" s="5"/>
      <c r="D472" s="28"/>
      <c r="E472" s="5"/>
      <c r="F472" s="28"/>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31"/>
      <c r="AH472"/>
    </row>
    <row r="473" spans="1:34" x14ac:dyDescent="0.25">
      <c r="A473" s="23"/>
      <c r="B473" s="23"/>
      <c r="C473" s="5"/>
      <c r="D473" s="28"/>
      <c r="E473" s="5"/>
      <c r="F473" s="28"/>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31"/>
      <c r="AH473"/>
    </row>
    <row r="474" spans="1:34" x14ac:dyDescent="0.25">
      <c r="A474" s="23"/>
      <c r="B474" s="23"/>
      <c r="C474" s="5"/>
      <c r="D474" s="28"/>
      <c r="E474" s="5"/>
      <c r="F474" s="28"/>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31"/>
      <c r="AH474"/>
    </row>
    <row r="475" spans="1:34" x14ac:dyDescent="0.25">
      <c r="A475" s="23"/>
      <c r="B475" s="23"/>
      <c r="C475" s="5"/>
      <c r="D475" s="28"/>
      <c r="E475" s="5"/>
      <c r="F475" s="28"/>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31"/>
      <c r="AH475"/>
    </row>
    <row r="476" spans="1:34" x14ac:dyDescent="0.25">
      <c r="A476" s="23"/>
      <c r="B476" s="23"/>
      <c r="C476" s="5"/>
      <c r="D476" s="28"/>
      <c r="E476" s="5"/>
      <c r="F476" s="28"/>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31"/>
      <c r="AH476"/>
    </row>
    <row r="477" spans="1:34" x14ac:dyDescent="0.25">
      <c r="A477" s="23"/>
      <c r="B477" s="23"/>
      <c r="C477" s="5"/>
      <c r="D477" s="28"/>
      <c r="E477" s="5"/>
      <c r="F477" s="28"/>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31"/>
      <c r="AH477"/>
    </row>
    <row r="478" spans="1:34" x14ac:dyDescent="0.25">
      <c r="A478" s="23"/>
      <c r="B478" s="23"/>
      <c r="C478" s="5"/>
      <c r="D478" s="28"/>
      <c r="E478" s="5"/>
      <c r="F478" s="28"/>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31"/>
      <c r="AH478"/>
    </row>
    <row r="479" spans="1:34" x14ac:dyDescent="0.25">
      <c r="A479" s="23"/>
      <c r="B479" s="23"/>
      <c r="C479" s="5"/>
      <c r="D479" s="28"/>
      <c r="E479" s="5"/>
      <c r="F479" s="28"/>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31"/>
      <c r="AH479"/>
    </row>
    <row r="480" spans="1:34" x14ac:dyDescent="0.25">
      <c r="A480" s="23"/>
      <c r="B480" s="23"/>
      <c r="C480" s="5"/>
      <c r="D480" s="28"/>
      <c r="E480" s="5"/>
      <c r="F480" s="28"/>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31"/>
      <c r="AH480"/>
    </row>
    <row r="481" spans="1:34" x14ac:dyDescent="0.25">
      <c r="A481" s="23"/>
      <c r="B481" s="23"/>
      <c r="C481" s="5"/>
      <c r="D481" s="28"/>
      <c r="E481" s="5"/>
      <c r="F481" s="28"/>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31"/>
      <c r="AH481"/>
    </row>
    <row r="482" spans="1:34" x14ac:dyDescent="0.25">
      <c r="A482" s="23"/>
      <c r="B482" s="23"/>
      <c r="C482" s="5"/>
      <c r="D482" s="28"/>
      <c r="E482" s="5"/>
      <c r="F482" s="28"/>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31"/>
      <c r="AH482"/>
    </row>
    <row r="483" spans="1:34" x14ac:dyDescent="0.25">
      <c r="A483" s="23"/>
      <c r="B483" s="23"/>
      <c r="C483" s="5"/>
      <c r="D483" s="28"/>
      <c r="E483" s="5"/>
      <c r="F483" s="28"/>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31"/>
      <c r="AH483"/>
    </row>
    <row r="484" spans="1:34" x14ac:dyDescent="0.25">
      <c r="A484" s="23"/>
      <c r="B484" s="23"/>
      <c r="C484" s="5"/>
      <c r="D484" s="28"/>
      <c r="E484" s="5"/>
      <c r="F484" s="28"/>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31"/>
      <c r="AH484"/>
    </row>
    <row r="485" spans="1:34" x14ac:dyDescent="0.25">
      <c r="A485" s="23"/>
      <c r="B485" s="23"/>
      <c r="C485" s="5"/>
      <c r="D485" s="28"/>
      <c r="E485" s="5"/>
      <c r="F485" s="28"/>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31"/>
      <c r="AH485"/>
    </row>
    <row r="486" spans="1:34" x14ac:dyDescent="0.25">
      <c r="A486" s="23"/>
      <c r="B486" s="23"/>
      <c r="C486" s="5"/>
      <c r="D486" s="28"/>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31"/>
      <c r="AH486"/>
    </row>
    <row r="487" spans="1:34" x14ac:dyDescent="0.25">
      <c r="A487" s="23"/>
      <c r="B487" s="23"/>
      <c r="C487" s="5"/>
      <c r="D487" s="28"/>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31"/>
      <c r="AH487"/>
    </row>
    <row r="488" spans="1:34" x14ac:dyDescent="0.25">
      <c r="A488" s="23"/>
      <c r="B488" s="23"/>
      <c r="C488" s="5"/>
      <c r="D488" s="28"/>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31"/>
      <c r="AH488"/>
    </row>
    <row r="489" spans="1:34" x14ac:dyDescent="0.25">
      <c r="A489" s="23"/>
      <c r="B489" s="23"/>
      <c r="C489" s="5"/>
      <c r="D489" s="28"/>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H489"/>
    </row>
    <row r="490" spans="1:34" x14ac:dyDescent="0.25">
      <c r="A490" s="23"/>
      <c r="B490" s="23"/>
      <c r="C490" s="5"/>
      <c r="D490" s="28"/>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H490"/>
    </row>
    <row r="491" spans="1:34" x14ac:dyDescent="0.25">
      <c r="A491" s="23"/>
      <c r="B491" s="23"/>
      <c r="C491" s="5"/>
      <c r="D491" s="28"/>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H491"/>
    </row>
    <row r="492" spans="1:34" x14ac:dyDescent="0.25">
      <c r="A492" s="23"/>
      <c r="B492" s="23"/>
      <c r="C492" s="5"/>
      <c r="D492" s="28"/>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H492"/>
    </row>
    <row r="493" spans="1:34" x14ac:dyDescent="0.25">
      <c r="A493" s="23"/>
      <c r="B493" s="23"/>
      <c r="C493" s="5"/>
      <c r="D493" s="28"/>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H493"/>
    </row>
    <row r="494" spans="1:34" x14ac:dyDescent="0.25">
      <c r="A494" s="23"/>
      <c r="B494" s="23"/>
      <c r="C494" s="5"/>
      <c r="D494" s="28"/>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H494"/>
    </row>
    <row r="495" spans="1:34" x14ac:dyDescent="0.25">
      <c r="A495" s="23"/>
      <c r="B495" s="23"/>
      <c r="C495" s="5"/>
      <c r="D495" s="28"/>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H495"/>
    </row>
    <row r="496" spans="1:34" x14ac:dyDescent="0.25">
      <c r="A496" s="23"/>
      <c r="B496" s="23"/>
      <c r="C496" s="5"/>
      <c r="D496" s="28"/>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H496"/>
    </row>
    <row r="497" spans="1:34" x14ac:dyDescent="0.25">
      <c r="A497" s="23"/>
      <c r="B497" s="23"/>
      <c r="C497" s="5"/>
      <c r="D497" s="28"/>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H497"/>
    </row>
    <row r="498" spans="1:34" x14ac:dyDescent="0.25">
      <c r="A498" s="23"/>
      <c r="B498" s="23"/>
      <c r="C498" s="5"/>
      <c r="D498" s="28"/>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H498"/>
    </row>
    <row r="499" spans="1:34" x14ac:dyDescent="0.25">
      <c r="A499" s="23"/>
      <c r="B499" s="23"/>
      <c r="C499" s="5"/>
      <c r="D499" s="28"/>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H499"/>
    </row>
    <row r="500" spans="1:34" x14ac:dyDescent="0.25">
      <c r="A500" s="23"/>
      <c r="B500" s="23"/>
      <c r="C500" s="5"/>
      <c r="D500" s="28"/>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H500"/>
    </row>
    <row r="501" spans="1:34" x14ac:dyDescent="0.25">
      <c r="A501" s="23"/>
      <c r="B501" s="23"/>
      <c r="C501" s="5"/>
      <c r="D501" s="28"/>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H501"/>
    </row>
    <row r="502" spans="1:34" x14ac:dyDescent="0.25">
      <c r="A502" s="23"/>
      <c r="B502" s="23"/>
      <c r="C502" s="5"/>
      <c r="D502" s="28"/>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H502"/>
    </row>
    <row r="503" spans="1:34" x14ac:dyDescent="0.25">
      <c r="A503" s="23"/>
      <c r="B503" s="23"/>
      <c r="C503" s="5"/>
      <c r="D503" s="28"/>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H503"/>
    </row>
    <row r="504" spans="1:34" x14ac:dyDescent="0.25">
      <c r="A504" s="23"/>
      <c r="B504" s="23"/>
      <c r="C504" s="5"/>
      <c r="D504" s="28"/>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H504"/>
    </row>
    <row r="505" spans="1:34" x14ac:dyDescent="0.25">
      <c r="A505" s="23"/>
      <c r="B505" s="23"/>
      <c r="C505" s="5"/>
      <c r="D505" s="28"/>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H505"/>
    </row>
    <row r="506" spans="1:34" x14ac:dyDescent="0.25">
      <c r="A506" s="23"/>
      <c r="B506" s="23"/>
      <c r="C506" s="5"/>
      <c r="D506" s="28"/>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H506"/>
    </row>
    <row r="507" spans="1:34" x14ac:dyDescent="0.25">
      <c r="A507" s="23"/>
      <c r="B507" s="23"/>
      <c r="C507" s="5"/>
      <c r="D507" s="28"/>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H507"/>
    </row>
    <row r="508" spans="1:34" x14ac:dyDescent="0.25">
      <c r="A508" s="23"/>
      <c r="B508" s="23"/>
      <c r="C508" s="5"/>
      <c r="D508" s="28"/>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H508"/>
    </row>
    <row r="509" spans="1:34" x14ac:dyDescent="0.25">
      <c r="A509" s="23"/>
      <c r="B509" s="23"/>
      <c r="C509" s="5"/>
      <c r="D509" s="28"/>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H509"/>
    </row>
    <row r="510" spans="1:34" x14ac:dyDescent="0.25">
      <c r="A510" s="23"/>
      <c r="B510" s="23"/>
      <c r="C510" s="5"/>
      <c r="D510" s="28"/>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H510"/>
    </row>
    <row r="511" spans="1:34" x14ac:dyDescent="0.25">
      <c r="A511" s="23"/>
      <c r="B511" s="23"/>
      <c r="C511" s="5"/>
      <c r="D511" s="28"/>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H511"/>
    </row>
    <row r="512" spans="1:34" x14ac:dyDescent="0.25">
      <c r="A512" s="23"/>
      <c r="B512" s="23"/>
      <c r="C512" s="5"/>
      <c r="D512" s="28"/>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H512"/>
    </row>
    <row r="513" spans="1:34" x14ac:dyDescent="0.25">
      <c r="A513" s="23"/>
      <c r="B513" s="23"/>
      <c r="C513" s="5"/>
      <c r="D513" s="28"/>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H513"/>
    </row>
    <row r="514" spans="1:34" x14ac:dyDescent="0.25">
      <c r="A514" s="23"/>
      <c r="B514" s="23"/>
      <c r="C514" s="5"/>
      <c r="D514" s="28"/>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H514"/>
    </row>
    <row r="515" spans="1:34" x14ac:dyDescent="0.25">
      <c r="A515" s="23"/>
      <c r="B515" s="23"/>
      <c r="C515" s="5"/>
      <c r="D515" s="28"/>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H515"/>
    </row>
    <row r="516" spans="1:34" x14ac:dyDescent="0.25">
      <c r="A516" s="23"/>
      <c r="B516" s="23"/>
      <c r="C516" s="5"/>
      <c r="D516" s="28"/>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H516"/>
    </row>
    <row r="517" spans="1:34" x14ac:dyDescent="0.25">
      <c r="A517" s="23"/>
      <c r="B517" s="23"/>
      <c r="C517" s="5"/>
      <c r="D517" s="28"/>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H517"/>
    </row>
    <row r="518" spans="1:34" x14ac:dyDescent="0.25">
      <c r="A518" s="23"/>
      <c r="B518" s="23"/>
      <c r="C518" s="5"/>
      <c r="D518" s="28"/>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H518"/>
    </row>
    <row r="519" spans="1:34" x14ac:dyDescent="0.25">
      <c r="A519" s="23"/>
      <c r="B519" s="23"/>
      <c r="C519" s="5"/>
      <c r="D519" s="28"/>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H519"/>
    </row>
    <row r="520" spans="1:34" x14ac:dyDescent="0.25">
      <c r="A520" s="23"/>
      <c r="B520" s="23"/>
      <c r="C520" s="5"/>
      <c r="D520" s="28"/>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H520"/>
    </row>
    <row r="521" spans="1:34" x14ac:dyDescent="0.25">
      <c r="A521" s="23"/>
      <c r="B521" s="23"/>
      <c r="C521" s="5"/>
      <c r="D521" s="28"/>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H521"/>
    </row>
    <row r="522" spans="1:34" x14ac:dyDescent="0.25">
      <c r="A522" s="23"/>
      <c r="B522" s="23"/>
      <c r="C522" s="5"/>
      <c r="D522" s="28"/>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H522"/>
    </row>
    <row r="523" spans="1:34" x14ac:dyDescent="0.25">
      <c r="A523" s="23"/>
      <c r="B523" s="23"/>
      <c r="C523" s="5"/>
      <c r="D523" s="30"/>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H523"/>
    </row>
    <row r="524" spans="1:34" x14ac:dyDescent="0.25">
      <c r="A524" s="23"/>
      <c r="B524" s="23"/>
      <c r="C524" s="5"/>
      <c r="D524" s="30"/>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H524"/>
    </row>
    <row r="525" spans="1:34" ht="13.5" customHeight="1" x14ac:dyDescent="0.25">
      <c r="A525" s="29"/>
      <c r="B525" s="29"/>
      <c r="C525" s="5"/>
      <c r="D525" s="28"/>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H525"/>
    </row>
    <row r="526" spans="1:34" x14ac:dyDescent="0.25">
      <c r="A526" s="29"/>
      <c r="B526" s="29"/>
      <c r="C526" s="5"/>
      <c r="D526" s="28"/>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H526"/>
    </row>
    <row r="527" spans="1:34" x14ac:dyDescent="0.25">
      <c r="A527" s="29"/>
      <c r="B527" s="29"/>
      <c r="C527" s="5"/>
      <c r="D527" s="28"/>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H527"/>
    </row>
    <row r="528" spans="1:34" x14ac:dyDescent="0.25">
      <c r="A528" s="29"/>
      <c r="B528" s="29"/>
      <c r="C528" s="5"/>
      <c r="D528" s="28"/>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H528"/>
    </row>
    <row r="529" spans="1:34" x14ac:dyDescent="0.25">
      <c r="A529" s="23"/>
      <c r="B529" s="23"/>
      <c r="C529" s="5"/>
      <c r="D529" s="28"/>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H529"/>
    </row>
    <row r="530" spans="1:34" x14ac:dyDescent="0.25">
      <c r="A530" s="23"/>
      <c r="B530" s="23"/>
      <c r="C530" s="5"/>
      <c r="D530" s="28"/>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H530"/>
    </row>
    <row r="531" spans="1:34" x14ac:dyDescent="0.25">
      <c r="A531" s="23"/>
      <c r="B531" s="23"/>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H531"/>
    </row>
    <row r="532" spans="1:34" x14ac:dyDescent="0.25">
      <c r="A532" s="23"/>
      <c r="B532" s="23"/>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H532"/>
    </row>
    <row r="533" spans="1:34" x14ac:dyDescent="0.25">
      <c r="A533" s="23"/>
      <c r="B533" s="23"/>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H533"/>
    </row>
    <row r="534" spans="1:34" x14ac:dyDescent="0.25">
      <c r="A534" s="23"/>
      <c r="B534" s="23"/>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H534"/>
    </row>
    <row r="535" spans="1:34" x14ac:dyDescent="0.25">
      <c r="A535" s="23"/>
      <c r="B535" s="23"/>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H535"/>
    </row>
    <row r="536" spans="1:34" x14ac:dyDescent="0.25">
      <c r="A536" s="23"/>
      <c r="B536" s="23"/>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H536"/>
    </row>
    <row r="537" spans="1:34" x14ac:dyDescent="0.25">
      <c r="A537" s="23"/>
      <c r="B537" s="23"/>
      <c r="C537" s="5"/>
      <c r="D537" s="2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H537"/>
    </row>
    <row r="538" spans="1:34" x14ac:dyDescent="0.25">
      <c r="A538" s="23"/>
      <c r="B538" s="23"/>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H538"/>
    </row>
    <row r="539" spans="1:34" x14ac:dyDescent="0.25">
      <c r="A539" s="23"/>
      <c r="B539" s="23"/>
      <c r="C539" s="5"/>
      <c r="D539" s="23"/>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H539"/>
    </row>
    <row r="540" spans="1:34" x14ac:dyDescent="0.25">
      <c r="A540" s="23"/>
      <c r="B540" s="23"/>
      <c r="C540" s="5"/>
      <c r="D540" s="23"/>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H540"/>
    </row>
    <row r="541" spans="1:34" x14ac:dyDescent="0.25">
      <c r="A541" s="23"/>
      <c r="B541" s="23"/>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H541"/>
    </row>
    <row r="542" spans="1:34" x14ac:dyDescent="0.25">
      <c r="A542" s="23"/>
      <c r="B542" s="23"/>
      <c r="C542" s="5"/>
      <c r="D542" s="23"/>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H542"/>
    </row>
    <row r="543" spans="1:34" ht="25.5" customHeight="1" x14ac:dyDescent="0.25">
      <c r="A543" s="23"/>
      <c r="B543" s="23"/>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H543"/>
    </row>
    <row r="544" spans="1:34" ht="25.5" customHeight="1" x14ac:dyDescent="0.25">
      <c r="A544" s="23"/>
      <c r="B544" s="23"/>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H544"/>
    </row>
    <row r="545" spans="1:34" x14ac:dyDescent="0.25">
      <c r="A545" s="23"/>
      <c r="B545" s="23"/>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H545"/>
    </row>
    <row r="546" spans="1:34" x14ac:dyDescent="0.25">
      <c r="A546" s="23"/>
      <c r="B546" s="23"/>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H546"/>
    </row>
    <row r="547" spans="1:34" x14ac:dyDescent="0.25">
      <c r="A547" s="23"/>
      <c r="B547" s="23"/>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H547"/>
    </row>
    <row r="548" spans="1:34" x14ac:dyDescent="0.25">
      <c r="A548" s="23"/>
      <c r="B548" s="23"/>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H548"/>
    </row>
    <row r="549" spans="1:34" x14ac:dyDescent="0.25">
      <c r="A549" s="23"/>
      <c r="B549" s="23"/>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H549"/>
    </row>
    <row r="550" spans="1:34" x14ac:dyDescent="0.25">
      <c r="A550" s="25"/>
      <c r="B550" s="25"/>
      <c r="C550" s="24"/>
      <c r="D550" s="25"/>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H550"/>
    </row>
    <row r="551" spans="1:34" x14ac:dyDescent="0.25">
      <c r="A551" s="23"/>
      <c r="B551" s="23"/>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H551"/>
    </row>
    <row r="552" spans="1:34" x14ac:dyDescent="0.25">
      <c r="A552" s="27"/>
      <c r="B552" s="27"/>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H552"/>
    </row>
    <row r="553" spans="1:34" x14ac:dyDescent="0.25">
      <c r="A553" s="26"/>
      <c r="B553" s="26"/>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H553"/>
    </row>
    <row r="554" spans="1:34" x14ac:dyDescent="0.25">
      <c r="A554" s="26"/>
      <c r="B554" s="26"/>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H554"/>
    </row>
    <row r="555" spans="1:34" x14ac:dyDescent="0.25">
      <c r="A555" s="26"/>
      <c r="B555" s="26"/>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H555"/>
    </row>
    <row r="556" spans="1:34" x14ac:dyDescent="0.25">
      <c r="A556" s="26"/>
      <c r="B556" s="26"/>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H556"/>
    </row>
    <row r="557" spans="1:34" x14ac:dyDescent="0.25">
      <c r="A557" s="26"/>
      <c r="B557" s="26"/>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H557"/>
    </row>
    <row r="558" spans="1:34" x14ac:dyDescent="0.25">
      <c r="A558" s="23"/>
      <c r="B558" s="23"/>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H558"/>
    </row>
    <row r="559" spans="1:34" x14ac:dyDescent="0.25">
      <c r="A559" s="23"/>
      <c r="B559" s="23"/>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H559"/>
    </row>
    <row r="560" spans="1:34" x14ac:dyDescent="0.25">
      <c r="A560" s="23"/>
      <c r="B560" s="23"/>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H560"/>
    </row>
    <row r="561" spans="1:34" x14ac:dyDescent="0.25">
      <c r="A561" s="23"/>
      <c r="B561" s="23"/>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H561"/>
    </row>
    <row r="562" spans="1:34" x14ac:dyDescent="0.25">
      <c r="A562" s="23"/>
      <c r="B562" s="23"/>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H562"/>
    </row>
    <row r="563" spans="1:34" x14ac:dyDescent="0.25">
      <c r="A563" s="23"/>
      <c r="B563" s="23"/>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H563"/>
    </row>
    <row r="564" spans="1:34" x14ac:dyDescent="0.25">
      <c r="A564" s="23"/>
      <c r="B564" s="23"/>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H564"/>
    </row>
    <row r="565" spans="1:34" x14ac:dyDescent="0.25">
      <c r="A565" s="23"/>
      <c r="B565" s="23"/>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H565"/>
    </row>
    <row r="566" spans="1:34" ht="14.25" customHeight="1" x14ac:dyDescent="0.25">
      <c r="A566" s="23"/>
      <c r="B566" s="23"/>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H566"/>
    </row>
    <row r="567" spans="1:34" x14ac:dyDescent="0.25">
      <c r="A567" s="23"/>
      <c r="B567" s="23"/>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H567"/>
    </row>
    <row r="568" spans="1:34" x14ac:dyDescent="0.25">
      <c r="A568" s="23"/>
      <c r="B568" s="23"/>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H568"/>
    </row>
    <row r="569" spans="1:34" x14ac:dyDescent="0.25">
      <c r="A569" s="23"/>
      <c r="B569" s="23"/>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H569"/>
    </row>
    <row r="570" spans="1:34" x14ac:dyDescent="0.25">
      <c r="A570" s="23"/>
      <c r="B570" s="23"/>
      <c r="C570" s="5"/>
      <c r="D570" s="24"/>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H570"/>
    </row>
    <row r="571" spans="1:34" x14ac:dyDescent="0.25">
      <c r="A571" s="23"/>
      <c r="B571" s="23"/>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H571"/>
    </row>
    <row r="572" spans="1:34" x14ac:dyDescent="0.25">
      <c r="A572" s="23"/>
      <c r="B572" s="23"/>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H572"/>
    </row>
    <row r="573" spans="1:34" x14ac:dyDescent="0.25">
      <c r="A573" s="23"/>
      <c r="B573" s="23"/>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H573"/>
    </row>
    <row r="574" spans="1:34" x14ac:dyDescent="0.25">
      <c r="A574" s="23"/>
      <c r="B574" s="23"/>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H574"/>
    </row>
    <row r="575" spans="1:34" x14ac:dyDescent="0.25">
      <c r="A575" s="23"/>
      <c r="B575" s="23"/>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H575"/>
    </row>
    <row r="576" spans="1:34" x14ac:dyDescent="0.25">
      <c r="A576" s="25"/>
      <c r="B576" s="25"/>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H576"/>
    </row>
    <row r="577" spans="1:34" x14ac:dyDescent="0.25">
      <c r="A577" s="23"/>
      <c r="B577" s="23"/>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H577"/>
    </row>
    <row r="578" spans="1:34" x14ac:dyDescent="0.25">
      <c r="A578" s="25"/>
      <c r="B578" s="25"/>
      <c r="C578" s="24"/>
      <c r="D578" s="25"/>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H578"/>
    </row>
    <row r="579" spans="1:34" x14ac:dyDescent="0.25">
      <c r="A579" s="23"/>
      <c r="B579" s="23"/>
      <c r="C579" s="5"/>
      <c r="D579" s="2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H579"/>
    </row>
    <row r="580" spans="1:34" x14ac:dyDescent="0.25">
      <c r="A580" s="23"/>
      <c r="B580" s="23"/>
      <c r="C580" s="5"/>
      <c r="D580" s="2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H580"/>
    </row>
    <row r="581" spans="1:34" x14ac:dyDescent="0.25">
      <c r="A581" s="23"/>
      <c r="B581" s="23"/>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H581"/>
    </row>
    <row r="582" spans="1:34" x14ac:dyDescent="0.25">
      <c r="A582" s="23"/>
      <c r="B582" s="23"/>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H582"/>
    </row>
    <row r="583" spans="1:34" x14ac:dyDescent="0.25">
      <c r="A583" s="23"/>
      <c r="B583" s="23"/>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H583"/>
    </row>
    <row r="584" spans="1:34" x14ac:dyDescent="0.25">
      <c r="A584" s="23"/>
      <c r="B584" s="23"/>
      <c r="C584" s="5"/>
      <c r="D584" s="23"/>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H584"/>
    </row>
    <row r="585" spans="1:34" x14ac:dyDescent="0.25">
      <c r="A585" s="23"/>
      <c r="B585" s="23"/>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H585"/>
    </row>
    <row r="586" spans="1:34" x14ac:dyDescent="0.25">
      <c r="A586" s="23"/>
      <c r="B586" s="23"/>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H586"/>
    </row>
    <row r="587" spans="1:34" x14ac:dyDescent="0.25">
      <c r="A587" s="23"/>
      <c r="B587" s="23"/>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H587"/>
    </row>
    <row r="588" spans="1:34" x14ac:dyDescent="0.25">
      <c r="A588" s="23"/>
      <c r="B588" s="23"/>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H588"/>
    </row>
    <row r="589" spans="1:34" x14ac:dyDescent="0.25">
      <c r="A589" s="23"/>
      <c r="B589" s="23"/>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H589"/>
    </row>
    <row r="590" spans="1:34" x14ac:dyDescent="0.25">
      <c r="A590" s="23"/>
      <c r="B590" s="23"/>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H590"/>
    </row>
    <row r="591" spans="1:34" x14ac:dyDescent="0.25">
      <c r="A591" s="23"/>
      <c r="B591" s="23"/>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H591"/>
    </row>
    <row r="592" spans="1:34" x14ac:dyDescent="0.25">
      <c r="A592" s="23"/>
      <c r="B592" s="23"/>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H592"/>
    </row>
    <row r="593" spans="1:34" x14ac:dyDescent="0.25">
      <c r="A593" s="23"/>
      <c r="B593" s="23"/>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H593"/>
    </row>
    <row r="594" spans="1:34" x14ac:dyDescent="0.25">
      <c r="A594" s="23"/>
      <c r="B594" s="23"/>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H594"/>
    </row>
    <row r="595" spans="1:34" x14ac:dyDescent="0.25">
      <c r="A595" s="23"/>
      <c r="B595" s="23"/>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H595"/>
    </row>
    <row r="596" spans="1:34" x14ac:dyDescent="0.25">
      <c r="A596" s="23"/>
      <c r="B596" s="23"/>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H596"/>
    </row>
    <row r="597" spans="1:34" x14ac:dyDescent="0.25">
      <c r="A597" s="23"/>
      <c r="B597" s="23"/>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H597"/>
    </row>
    <row r="598" spans="1:34" x14ac:dyDescent="0.25">
      <c r="A598" s="23"/>
      <c r="B598" s="23"/>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H598"/>
    </row>
    <row r="599" spans="1:34" x14ac:dyDescent="0.25">
      <c r="A599" s="23"/>
      <c r="B599" s="23"/>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H599"/>
    </row>
    <row r="600" spans="1:34" x14ac:dyDescent="0.25">
      <c r="A600" s="23"/>
      <c r="B600" s="23"/>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H600"/>
    </row>
    <row r="601" spans="1:34" x14ac:dyDescent="0.25">
      <c r="A601" s="23"/>
      <c r="B601" s="23"/>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H601"/>
    </row>
    <row r="602" spans="1:34" x14ac:dyDescent="0.25">
      <c r="A602" s="23"/>
      <c r="B602" s="23"/>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H602"/>
    </row>
    <row r="603" spans="1:34" x14ac:dyDescent="0.25">
      <c r="A603" s="23"/>
      <c r="B603" s="23"/>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H603"/>
    </row>
    <row r="604" spans="1:34" x14ac:dyDescent="0.25">
      <c r="A604" s="23"/>
      <c r="B604" s="23"/>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H604"/>
    </row>
    <row r="605" spans="1:34" ht="13.5" customHeight="1" x14ac:dyDescent="0.25">
      <c r="A605" s="23"/>
      <c r="B605" s="23"/>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H605"/>
    </row>
    <row r="606" spans="1:34" ht="12.75" customHeight="1" x14ac:dyDescent="0.25">
      <c r="A606" s="23"/>
      <c r="B606" s="23"/>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H606"/>
    </row>
    <row r="607" spans="1:34" x14ac:dyDescent="0.25">
      <c r="A607" s="23"/>
      <c r="B607" s="23"/>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H607"/>
    </row>
    <row r="608" spans="1:34" x14ac:dyDescent="0.25">
      <c r="A608" s="23"/>
      <c r="B608" s="23"/>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H608"/>
    </row>
    <row r="609" spans="1:34" x14ac:dyDescent="0.25">
      <c r="A609" s="23"/>
      <c r="B609" s="23"/>
      <c r="C609" s="5"/>
      <c r="D609" s="24"/>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H609"/>
    </row>
    <row r="610" spans="1:34" x14ac:dyDescent="0.25">
      <c r="A610" s="23"/>
      <c r="B610" s="23"/>
      <c r="C610" s="5"/>
      <c r="D610" s="24"/>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H610"/>
    </row>
    <row r="611" spans="1:34" x14ac:dyDescent="0.25">
      <c r="A611" s="23"/>
      <c r="B611" s="23"/>
      <c r="C611" s="5"/>
      <c r="D611" s="24"/>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H611"/>
    </row>
    <row r="612" spans="1:34" x14ac:dyDescent="0.25">
      <c r="A612" s="23"/>
      <c r="B612" s="23"/>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H612"/>
    </row>
    <row r="613" spans="1:34" x14ac:dyDescent="0.25">
      <c r="A613" s="23"/>
      <c r="B613" s="23"/>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H613"/>
    </row>
    <row r="614" spans="1:34" x14ac:dyDescent="0.25">
      <c r="A614" s="23"/>
      <c r="B614" s="23"/>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H614"/>
    </row>
    <row r="615" spans="1:34" x14ac:dyDescent="0.25">
      <c r="A615" s="23"/>
      <c r="B615" s="23"/>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H615"/>
    </row>
    <row r="616" spans="1:34" x14ac:dyDescent="0.25">
      <c r="A616" s="25"/>
      <c r="B616" s="25"/>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H616"/>
    </row>
    <row r="617" spans="1:34" x14ac:dyDescent="0.25">
      <c r="A617" s="23"/>
      <c r="B617" s="23"/>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H617"/>
    </row>
    <row r="618" spans="1:34" x14ac:dyDescent="0.25">
      <c r="A618" s="23"/>
      <c r="B618" s="23"/>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H618"/>
    </row>
    <row r="619" spans="1:34" x14ac:dyDescent="0.25">
      <c r="A619" s="23"/>
      <c r="B619" s="23"/>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H619"/>
    </row>
    <row r="620" spans="1:34" x14ac:dyDescent="0.25">
      <c r="A620" s="23"/>
      <c r="B620" s="23"/>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H620"/>
    </row>
    <row r="621" spans="1:34" x14ac:dyDescent="0.25">
      <c r="A621" s="23"/>
      <c r="B621" s="23"/>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H621"/>
    </row>
    <row r="622" spans="1:34" x14ac:dyDescent="0.25">
      <c r="A622" s="23"/>
      <c r="B622" s="23"/>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H622"/>
    </row>
    <row r="623" spans="1:34" ht="12.75" customHeight="1" x14ac:dyDescent="0.25">
      <c r="A623" s="23"/>
      <c r="B623" s="23"/>
      <c r="C623" s="5"/>
      <c r="D623" s="24"/>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H623"/>
    </row>
    <row r="624" spans="1:34" x14ac:dyDescent="0.25">
      <c r="A624" s="23"/>
      <c r="B624" s="23"/>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H624"/>
    </row>
    <row r="625" spans="1:34" x14ac:dyDescent="0.25">
      <c r="A625" s="23"/>
      <c r="B625" s="23"/>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H625"/>
    </row>
    <row r="626" spans="1:34" x14ac:dyDescent="0.25">
      <c r="A626" s="23"/>
      <c r="B626" s="23"/>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H626"/>
    </row>
    <row r="627" spans="1:34" x14ac:dyDescent="0.25">
      <c r="A627" s="23"/>
      <c r="B627" s="23"/>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H627"/>
    </row>
    <row r="628" spans="1:34" ht="25.5" customHeight="1" x14ac:dyDescent="0.25">
      <c r="A628" s="23"/>
      <c r="B628" s="23"/>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H628"/>
    </row>
    <row r="629" spans="1:34" ht="25.5" customHeight="1" x14ac:dyDescent="0.25">
      <c r="A629" s="23"/>
      <c r="B629" s="23"/>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H629"/>
    </row>
    <row r="630" spans="1:34" x14ac:dyDescent="0.25">
      <c r="A630" s="23"/>
      <c r="B630" s="23"/>
      <c r="C630" s="5"/>
      <c r="D630" s="24"/>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H630"/>
    </row>
    <row r="631" spans="1:34" x14ac:dyDescent="0.25">
      <c r="A631" s="23"/>
      <c r="B631" s="23"/>
      <c r="C631" s="5"/>
      <c r="D631" s="24"/>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H631"/>
    </row>
    <row r="632" spans="1:34" x14ac:dyDescent="0.25">
      <c r="A632" s="23"/>
      <c r="B632" s="23"/>
      <c r="C632" s="5"/>
      <c r="D632" s="24"/>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H632"/>
    </row>
    <row r="633" spans="1:34" x14ac:dyDescent="0.25">
      <c r="A633" s="23"/>
      <c r="B633" s="23"/>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H633"/>
    </row>
    <row r="634" spans="1:34" x14ac:dyDescent="0.25">
      <c r="A634" s="23"/>
      <c r="B634" s="23"/>
      <c r="C634" s="5"/>
      <c r="D634" s="24"/>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H634"/>
    </row>
    <row r="635" spans="1:34" x14ac:dyDescent="0.25">
      <c r="A635" s="23"/>
      <c r="B635" s="23"/>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H635"/>
    </row>
    <row r="636" spans="1:34" x14ac:dyDescent="0.25">
      <c r="A636" s="23"/>
      <c r="B636" s="23"/>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H636"/>
    </row>
    <row r="637" spans="1:34" x14ac:dyDescent="0.25">
      <c r="A637" s="23"/>
      <c r="B637" s="23"/>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H637"/>
    </row>
  </sheetData>
  <autoFilter ref="A2:AG276" xr:uid="{00000000-0009-0000-0000-000002000000}"/>
  <mergeCells count="5">
    <mergeCell ref="Q1:AI1"/>
    <mergeCell ref="G49:I50"/>
    <mergeCell ref="A55:J55"/>
    <mergeCell ref="G51:J52"/>
    <mergeCell ref="A1:P1"/>
  </mergeCells>
  <pageMargins left="0.33" right="0.26" top="0.2" bottom="0.2" header="0.2" footer="0.2"/>
  <pageSetup paperSize="9"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9"/>
  <sheetViews>
    <sheetView topLeftCell="D1" zoomScale="70" zoomScaleNormal="70" workbookViewId="0">
      <selection activeCell="G2" sqref="G2:N7"/>
    </sheetView>
  </sheetViews>
  <sheetFormatPr defaultRowHeight="12.5" x14ac:dyDescent="0.25"/>
  <cols>
    <col min="1" max="1" width="32.453125" customWidth="1"/>
    <col min="2" max="3" width="12.81640625" customWidth="1"/>
    <col min="4" max="4" width="15.1796875" customWidth="1"/>
    <col min="5" max="5" width="19.453125" customWidth="1"/>
    <col min="6" max="6" width="19.54296875" customWidth="1"/>
  </cols>
  <sheetData>
    <row r="1" spans="1:7" ht="58.5" customHeight="1" x14ac:dyDescent="0.25">
      <c r="A1" s="180" t="s">
        <v>221</v>
      </c>
      <c r="B1" s="181" t="s">
        <v>127</v>
      </c>
      <c r="C1" s="182" t="s">
        <v>222</v>
      </c>
      <c r="D1" s="183" t="s">
        <v>430</v>
      </c>
      <c r="E1" s="106" t="s">
        <v>356</v>
      </c>
      <c r="F1" s="184" t="s">
        <v>227</v>
      </c>
      <c r="G1" s="185" t="s">
        <v>223</v>
      </c>
    </row>
    <row r="2" spans="1:7" ht="24.75" customHeight="1" x14ac:dyDescent="0.25">
      <c r="A2" s="93" t="s">
        <v>427</v>
      </c>
      <c r="B2" s="171" t="s">
        <v>317</v>
      </c>
      <c r="C2" s="171" t="s">
        <v>73</v>
      </c>
      <c r="D2" s="190">
        <f>'srovnání účinností'!H19</f>
        <v>155005.97400000002</v>
      </c>
      <c r="E2" s="191">
        <v>7.61</v>
      </c>
      <c r="F2" s="239">
        <f>PRODUCT(D2,E2)</f>
        <v>1179595.4621400002</v>
      </c>
      <c r="G2" s="186">
        <v>1</v>
      </c>
    </row>
    <row r="3" spans="1:7" ht="13" x14ac:dyDescent="0.25">
      <c r="A3" s="187" t="s">
        <v>224</v>
      </c>
      <c r="B3" s="188"/>
      <c r="C3" s="189"/>
      <c r="D3" s="190"/>
      <c r="E3" s="191">
        <v>5.55</v>
      </c>
      <c r="F3" s="239">
        <f>PRODUCT(D2,E3)</f>
        <v>860283.15570000012</v>
      </c>
      <c r="G3" s="186">
        <v>1</v>
      </c>
    </row>
    <row r="4" spans="1:7" ht="13" x14ac:dyDescent="0.25">
      <c r="A4" s="187" t="s">
        <v>225</v>
      </c>
      <c r="B4" s="188"/>
      <c r="C4" s="189"/>
      <c r="D4" s="190"/>
      <c r="E4" s="191">
        <v>10.8</v>
      </c>
      <c r="F4" s="239">
        <f>PRODUCT(D2,E4)</f>
        <v>1674064.5192000002</v>
      </c>
      <c r="G4" s="186">
        <v>1</v>
      </c>
    </row>
    <row r="5" spans="1:7" ht="28.5" customHeight="1" x14ac:dyDescent="0.25">
      <c r="A5" s="210" t="s">
        <v>435</v>
      </c>
      <c r="B5" s="211" t="s">
        <v>17</v>
      </c>
      <c r="C5" s="211" t="s">
        <v>38</v>
      </c>
      <c r="D5" s="212">
        <f>'srovnání účinností'!H18</f>
        <v>41402</v>
      </c>
      <c r="E5" s="213">
        <v>4.2699999999999996</v>
      </c>
      <c r="F5" s="239">
        <f t="shared" ref="F5" si="0">PRODUCT(D5,E5)</f>
        <v>176786.53999999998</v>
      </c>
      <c r="G5" s="186">
        <v>2</v>
      </c>
    </row>
    <row r="6" spans="1:7" ht="13" x14ac:dyDescent="0.25">
      <c r="A6" s="214" t="s">
        <v>224</v>
      </c>
      <c r="B6" s="215"/>
      <c r="C6" s="216"/>
      <c r="D6" s="212"/>
      <c r="E6" s="213">
        <v>3.1</v>
      </c>
      <c r="F6" s="239">
        <f t="shared" ref="F6" si="1">PRODUCT(D5,E6)</f>
        <v>128346.2</v>
      </c>
      <c r="G6" s="186">
        <v>2</v>
      </c>
    </row>
    <row r="7" spans="1:7" ht="13" x14ac:dyDescent="0.25">
      <c r="A7" s="214" t="s">
        <v>225</v>
      </c>
      <c r="B7" s="215"/>
      <c r="C7" s="216"/>
      <c r="D7" s="212"/>
      <c r="E7" s="213">
        <v>6.33</v>
      </c>
      <c r="F7" s="239">
        <f t="shared" ref="F7" si="2">PRODUCT(D5,E7)</f>
        <v>262074.66</v>
      </c>
      <c r="G7" s="186">
        <v>2</v>
      </c>
    </row>
    <row r="8" spans="1:7" ht="31.5" customHeight="1" x14ac:dyDescent="0.25">
      <c r="A8" s="169" t="s">
        <v>436</v>
      </c>
      <c r="B8" s="171" t="s">
        <v>17</v>
      </c>
      <c r="C8" s="171" t="s">
        <v>38</v>
      </c>
      <c r="D8" s="190">
        <f>'srovnání účinností'!H7</f>
        <v>30864</v>
      </c>
      <c r="E8" s="375">
        <v>4.2699999999999996</v>
      </c>
      <c r="F8" s="239">
        <f t="shared" ref="F8" si="3">PRODUCT(D8,E8)</f>
        <v>131789.28</v>
      </c>
      <c r="G8" s="186">
        <v>3</v>
      </c>
    </row>
    <row r="9" spans="1:7" ht="13" x14ac:dyDescent="0.25">
      <c r="A9" s="187" t="s">
        <v>224</v>
      </c>
      <c r="B9" s="188"/>
      <c r="C9" s="189"/>
      <c r="D9" s="190"/>
      <c r="E9" s="375">
        <v>3.1</v>
      </c>
      <c r="F9" s="239">
        <f t="shared" ref="F9" si="4">PRODUCT(D8,E9)</f>
        <v>95678.400000000009</v>
      </c>
      <c r="G9" s="186">
        <v>3</v>
      </c>
    </row>
    <row r="10" spans="1:7" ht="13" x14ac:dyDescent="0.25">
      <c r="A10" s="187" t="s">
        <v>225</v>
      </c>
      <c r="B10" s="188"/>
      <c r="C10" s="189"/>
      <c r="D10" s="190"/>
      <c r="E10" s="375">
        <v>6.33</v>
      </c>
      <c r="F10" s="239">
        <f t="shared" ref="F10" si="5">PRODUCT(D8,E10)</f>
        <v>195369.12</v>
      </c>
      <c r="G10" s="186">
        <v>3</v>
      </c>
    </row>
    <row r="11" spans="1:7" ht="23.25" customHeight="1" x14ac:dyDescent="0.25">
      <c r="A11" s="224" t="s">
        <v>230</v>
      </c>
      <c r="B11" s="225" t="s">
        <v>81</v>
      </c>
      <c r="C11" s="226" t="s">
        <v>80</v>
      </c>
      <c r="D11" s="227">
        <f>'srovnání účinností'!H5</f>
        <v>91242.940799999997</v>
      </c>
      <c r="E11" s="228">
        <v>2.2999999999999998</v>
      </c>
      <c r="F11" s="239">
        <f t="shared" ref="F11" si="6">PRODUCT(D11,E11)</f>
        <v>209858.76383999997</v>
      </c>
      <c r="G11" s="186">
        <v>4</v>
      </c>
    </row>
    <row r="12" spans="1:7" ht="13" x14ac:dyDescent="0.25">
      <c r="A12" s="229" t="s">
        <v>224</v>
      </c>
      <c r="B12" s="230"/>
      <c r="C12" s="231"/>
      <c r="D12" s="227"/>
      <c r="E12" s="228">
        <v>2.02</v>
      </c>
      <c r="F12" s="239">
        <f t="shared" ref="F12" si="7">PRODUCT(D11,E12)</f>
        <v>184310.74041599999</v>
      </c>
      <c r="G12" s="186">
        <v>4</v>
      </c>
    </row>
    <row r="13" spans="1:7" ht="13" x14ac:dyDescent="0.25">
      <c r="A13" s="229" t="s">
        <v>225</v>
      </c>
      <c r="B13" s="230"/>
      <c r="C13" s="231"/>
      <c r="D13" s="227"/>
      <c r="E13" s="228">
        <v>2.65</v>
      </c>
      <c r="F13" s="239">
        <f t="shared" ref="F13" si="8">PRODUCT(D11,E13)</f>
        <v>241793.79311999999</v>
      </c>
      <c r="G13" s="186">
        <v>4</v>
      </c>
    </row>
    <row r="14" spans="1:7" ht="20.25" customHeight="1" x14ac:dyDescent="0.25">
      <c r="A14" s="198" t="s">
        <v>231</v>
      </c>
      <c r="B14" s="199" t="s">
        <v>146</v>
      </c>
      <c r="C14" s="199" t="s">
        <v>73</v>
      </c>
      <c r="D14" s="196">
        <f>'srovnání účinností'!H16</f>
        <v>179240.74200000003</v>
      </c>
      <c r="E14" s="197">
        <v>2.2599999999999998</v>
      </c>
      <c r="F14" s="239">
        <f t="shared" ref="F14" si="9">PRODUCT(D14,E14)</f>
        <v>405084.07692000002</v>
      </c>
      <c r="G14" s="186">
        <v>5</v>
      </c>
    </row>
    <row r="15" spans="1:7" ht="13" x14ac:dyDescent="0.25">
      <c r="A15" s="193" t="s">
        <v>224</v>
      </c>
      <c r="B15" s="194"/>
      <c r="C15" s="195"/>
      <c r="D15" s="196"/>
      <c r="E15" s="197">
        <v>2.0099999999999998</v>
      </c>
      <c r="F15" s="239">
        <f t="shared" ref="F15" si="10">PRODUCT(D14,E15)</f>
        <v>360273.89142</v>
      </c>
      <c r="G15" s="186">
        <v>5</v>
      </c>
    </row>
    <row r="16" spans="1:7" ht="13" x14ac:dyDescent="0.25">
      <c r="A16" s="193" t="s">
        <v>225</v>
      </c>
      <c r="B16" s="194"/>
      <c r="C16" s="195"/>
      <c r="D16" s="196"/>
      <c r="E16" s="197">
        <v>2.59</v>
      </c>
      <c r="F16" s="239">
        <f t="shared" ref="F16" si="11">PRODUCT(D14,E16)</f>
        <v>464233.52178000007</v>
      </c>
      <c r="G16" s="186">
        <v>5</v>
      </c>
    </row>
    <row r="17" spans="1:7" ht="18.75" customHeight="1" x14ac:dyDescent="0.25">
      <c r="A17" s="224" t="s">
        <v>232</v>
      </c>
      <c r="B17" s="225" t="s">
        <v>96</v>
      </c>
      <c r="C17" s="225" t="s">
        <v>89</v>
      </c>
      <c r="D17" s="227">
        <f>'srovnání účinností'!H6</f>
        <v>189203.97600000002</v>
      </c>
      <c r="E17" s="228">
        <v>2.65</v>
      </c>
      <c r="F17" s="239">
        <f t="shared" ref="F17" si="12">PRODUCT(D17,E17)</f>
        <v>501390.53640000004</v>
      </c>
      <c r="G17" s="186">
        <v>6</v>
      </c>
    </row>
    <row r="18" spans="1:7" ht="13" x14ac:dyDescent="0.25">
      <c r="A18" s="229" t="s">
        <v>224</v>
      </c>
      <c r="B18" s="230"/>
      <c r="C18" s="231"/>
      <c r="D18" s="227"/>
      <c r="E18" s="228">
        <v>2.2799999999999998</v>
      </c>
      <c r="F18" s="239">
        <f t="shared" ref="F18" si="13">PRODUCT(D17,E18)</f>
        <v>431385.06528000004</v>
      </c>
      <c r="G18" s="186">
        <v>6</v>
      </c>
    </row>
    <row r="19" spans="1:7" ht="13" x14ac:dyDescent="0.25">
      <c r="A19" s="229" t="s">
        <v>225</v>
      </c>
      <c r="B19" s="230"/>
      <c r="C19" s="231"/>
      <c r="D19" s="227"/>
      <c r="E19" s="228">
        <v>3.13</v>
      </c>
      <c r="F19" s="239">
        <f t="shared" ref="F19" si="14">PRODUCT(D17,E19)</f>
        <v>592208.44488000008</v>
      </c>
      <c r="G19" s="186">
        <v>6</v>
      </c>
    </row>
    <row r="20" spans="1:7" ht="27" customHeight="1" x14ac:dyDescent="0.25">
      <c r="A20" s="198" t="s">
        <v>273</v>
      </c>
      <c r="B20" s="199" t="s">
        <v>74</v>
      </c>
      <c r="C20" s="199" t="s">
        <v>73</v>
      </c>
      <c r="D20" s="196">
        <f>'srovnání účinností'!H8</f>
        <v>138364.83000000002</v>
      </c>
      <c r="E20" s="197">
        <v>3.08</v>
      </c>
      <c r="F20" s="239">
        <f t="shared" ref="F20" si="15">PRODUCT(D20,E20)</f>
        <v>426163.67640000005</v>
      </c>
      <c r="G20" s="186">
        <v>7</v>
      </c>
    </row>
    <row r="21" spans="1:7" ht="13" x14ac:dyDescent="0.25">
      <c r="A21" s="193" t="s">
        <v>224</v>
      </c>
      <c r="B21" s="194"/>
      <c r="C21" s="195"/>
      <c r="D21" s="196"/>
      <c r="E21" s="197">
        <v>2.63</v>
      </c>
      <c r="F21" s="239">
        <f t="shared" ref="F21" si="16">PRODUCT(D20,E21)</f>
        <v>363899.50290000002</v>
      </c>
      <c r="G21" s="186">
        <v>7</v>
      </c>
    </row>
    <row r="22" spans="1:7" ht="13" x14ac:dyDescent="0.25">
      <c r="A22" s="193" t="s">
        <v>225</v>
      </c>
      <c r="B22" s="194"/>
      <c r="C22" s="195"/>
      <c r="D22" s="196"/>
      <c r="E22" s="197">
        <v>3.67</v>
      </c>
      <c r="F22" s="239">
        <f t="shared" ref="F22" si="17">PRODUCT(D20,E22)</f>
        <v>507798.92610000004</v>
      </c>
      <c r="G22" s="186">
        <v>7</v>
      </c>
    </row>
    <row r="23" spans="1:7" ht="27" customHeight="1" x14ac:dyDescent="0.25">
      <c r="A23" s="93" t="s">
        <v>358</v>
      </c>
      <c r="B23" s="171" t="s">
        <v>315</v>
      </c>
      <c r="C23" s="170" t="s">
        <v>346</v>
      </c>
      <c r="D23" s="190">
        <f>'srovnání účinností'!H20</f>
        <v>191453.87940000001</v>
      </c>
      <c r="E23" s="191">
        <v>1.74</v>
      </c>
      <c r="F23" s="239">
        <f t="shared" ref="F23" si="18">PRODUCT(D23,E23)</f>
        <v>333129.75015600002</v>
      </c>
      <c r="G23" s="186">
        <v>8</v>
      </c>
    </row>
    <row r="24" spans="1:7" ht="13" x14ac:dyDescent="0.25">
      <c r="A24" s="187" t="s">
        <v>224</v>
      </c>
      <c r="B24" s="188"/>
      <c r="C24" s="189"/>
      <c r="D24" s="190"/>
      <c r="E24" s="191">
        <v>1.58</v>
      </c>
      <c r="F24" s="239">
        <f t="shared" ref="F24" si="19">PRODUCT(D23,E24)</f>
        <v>302497.12945200002</v>
      </c>
      <c r="G24" s="186">
        <v>8</v>
      </c>
    </row>
    <row r="25" spans="1:7" ht="13" x14ac:dyDescent="0.25">
      <c r="A25" s="187" t="s">
        <v>225</v>
      </c>
      <c r="B25" s="188"/>
      <c r="C25" s="189"/>
      <c r="D25" s="190"/>
      <c r="E25" s="191">
        <v>1.96</v>
      </c>
      <c r="F25" s="239">
        <f t="shared" ref="F25" si="20">PRODUCT(D23,E25)</f>
        <v>375249.60362399998</v>
      </c>
      <c r="G25" s="186">
        <v>8</v>
      </c>
    </row>
    <row r="26" spans="1:7" ht="12.75" customHeight="1" x14ac:dyDescent="0.25">
      <c r="A26" s="217" t="s">
        <v>233</v>
      </c>
      <c r="B26" s="218" t="s">
        <v>51</v>
      </c>
      <c r="C26" s="218" t="s">
        <v>38</v>
      </c>
      <c r="D26" s="219">
        <f>'srovnání účinností'!H13</f>
        <v>52415.845019999993</v>
      </c>
      <c r="E26" s="220">
        <v>7.19</v>
      </c>
      <c r="F26" s="239">
        <f t="shared" ref="F26" si="21">PRODUCT(D26,E26)</f>
        <v>376869.92569379997</v>
      </c>
      <c r="G26" s="186">
        <v>9</v>
      </c>
    </row>
    <row r="27" spans="1:7" ht="13" x14ac:dyDescent="0.25">
      <c r="A27" s="221" t="s">
        <v>224</v>
      </c>
      <c r="B27" s="222"/>
      <c r="C27" s="223"/>
      <c r="D27" s="219"/>
      <c r="E27" s="220">
        <v>5.12</v>
      </c>
      <c r="F27" s="239">
        <f t="shared" ref="F27" si="22">PRODUCT(D26,E27)</f>
        <v>268369.12650239997</v>
      </c>
      <c r="G27" s="186">
        <v>9</v>
      </c>
    </row>
    <row r="28" spans="1:7" ht="13" x14ac:dyDescent="0.25">
      <c r="A28" s="221" t="s">
        <v>225</v>
      </c>
      <c r="B28" s="222"/>
      <c r="C28" s="223"/>
      <c r="D28" s="219"/>
      <c r="E28" s="220">
        <v>10.6</v>
      </c>
      <c r="F28" s="239">
        <f t="shared" ref="F28" si="23">PRODUCT(D26,E28)</f>
        <v>555607.95721199992</v>
      </c>
      <c r="G28" s="186">
        <v>9</v>
      </c>
    </row>
    <row r="29" spans="1:7" ht="15" customHeight="1" x14ac:dyDescent="0.25">
      <c r="A29" s="224" t="s">
        <v>234</v>
      </c>
      <c r="B29" s="225" t="s">
        <v>90</v>
      </c>
      <c r="C29" s="225" t="s">
        <v>89</v>
      </c>
      <c r="D29" s="227">
        <f>'srovnání účinností'!H9</f>
        <v>144817.56800000003</v>
      </c>
      <c r="E29" s="228">
        <v>3.11</v>
      </c>
      <c r="F29" s="239">
        <f t="shared" ref="F29" si="24">PRODUCT(D29,E29)</f>
        <v>450382.63648000004</v>
      </c>
      <c r="G29" s="186">
        <v>10</v>
      </c>
    </row>
    <row r="30" spans="1:7" ht="13" x14ac:dyDescent="0.25">
      <c r="A30" s="229" t="s">
        <v>224</v>
      </c>
      <c r="B30" s="230"/>
      <c r="C30" s="231"/>
      <c r="D30" s="227"/>
      <c r="E30" s="228">
        <v>2.69</v>
      </c>
      <c r="F30" s="239">
        <f t="shared" ref="F30" si="25">PRODUCT(D29,E30)</f>
        <v>389559.25792000006</v>
      </c>
      <c r="G30" s="186">
        <v>10</v>
      </c>
    </row>
    <row r="31" spans="1:7" ht="13" x14ac:dyDescent="0.25">
      <c r="A31" s="229" t="s">
        <v>225</v>
      </c>
      <c r="B31" s="230"/>
      <c r="C31" s="231"/>
      <c r="D31" s="227"/>
      <c r="E31" s="228">
        <v>3.63</v>
      </c>
      <c r="F31" s="239">
        <f t="shared" ref="F31" si="26">PRODUCT(D29,E31)</f>
        <v>525687.77184000006</v>
      </c>
      <c r="G31" s="186">
        <v>10</v>
      </c>
    </row>
    <row r="32" spans="1:7" ht="36.75" customHeight="1" x14ac:dyDescent="0.25">
      <c r="A32" s="169" t="s">
        <v>278</v>
      </c>
      <c r="B32" s="171" t="s">
        <v>19</v>
      </c>
      <c r="C32" s="171" t="s">
        <v>38</v>
      </c>
      <c r="D32" s="190">
        <f>'srovnání účinností'!H11</f>
        <v>35616</v>
      </c>
      <c r="E32" s="191">
        <v>16.77</v>
      </c>
      <c r="F32" s="239">
        <f t="shared" ref="F32" si="27">PRODUCT(D32,E32)</f>
        <v>597280.31999999995</v>
      </c>
      <c r="G32" s="186">
        <v>13</v>
      </c>
    </row>
    <row r="33" spans="1:7" ht="13" x14ac:dyDescent="0.25">
      <c r="A33" s="187" t="s">
        <v>224</v>
      </c>
      <c r="B33" s="188"/>
      <c r="C33" s="189"/>
      <c r="D33" s="190"/>
      <c r="E33" s="191">
        <v>13.1</v>
      </c>
      <c r="F33" s="239">
        <f t="shared" ref="F33" si="28">PRODUCT(D32,E33)</f>
        <v>466569.6</v>
      </c>
      <c r="G33" s="186">
        <v>13</v>
      </c>
    </row>
    <row r="34" spans="1:7" ht="13" x14ac:dyDescent="0.25">
      <c r="A34" s="187" t="s">
        <v>225</v>
      </c>
      <c r="B34" s="188"/>
      <c r="C34" s="189"/>
      <c r="D34" s="190"/>
      <c r="E34" s="191">
        <v>22.11</v>
      </c>
      <c r="F34" s="239">
        <f t="shared" ref="F34" si="29">PRODUCT(D32,E34)</f>
        <v>787469.76</v>
      </c>
      <c r="G34" s="186">
        <v>13</v>
      </c>
    </row>
    <row r="35" spans="1:7" ht="21.75" customHeight="1" x14ac:dyDescent="0.25">
      <c r="A35" s="232" t="s">
        <v>251</v>
      </c>
      <c r="B35" s="233" t="s">
        <v>105</v>
      </c>
      <c r="C35" s="233" t="s">
        <v>104</v>
      </c>
      <c r="D35" s="234">
        <f>'srovnání účinností'!H12</f>
        <v>185420.79</v>
      </c>
      <c r="E35" s="235">
        <v>5.72</v>
      </c>
      <c r="F35" s="239">
        <f t="shared" ref="F35" si="30">PRODUCT(D35,E35)</f>
        <v>1060606.9188000001</v>
      </c>
      <c r="G35" s="186">
        <v>11</v>
      </c>
    </row>
    <row r="36" spans="1:7" ht="13" x14ac:dyDescent="0.25">
      <c r="A36" s="236" t="s">
        <v>224</v>
      </c>
      <c r="B36" s="237"/>
      <c r="C36" s="238"/>
      <c r="D36" s="234"/>
      <c r="E36" s="235">
        <v>4.88</v>
      </c>
      <c r="F36" s="239">
        <f t="shared" ref="F36" si="31">PRODUCT(D35,E36)</f>
        <v>904853.45519999997</v>
      </c>
      <c r="G36" s="186">
        <v>11</v>
      </c>
    </row>
    <row r="37" spans="1:7" ht="13" x14ac:dyDescent="0.25">
      <c r="A37" s="236" t="s">
        <v>225</v>
      </c>
      <c r="B37" s="237"/>
      <c r="C37" s="238"/>
      <c r="D37" s="234"/>
      <c r="E37" s="235">
        <v>6.79</v>
      </c>
      <c r="F37" s="239">
        <f t="shared" ref="F37" si="32">PRODUCT(D35,E37)</f>
        <v>1259007.1641000002</v>
      </c>
      <c r="G37" s="186">
        <v>11</v>
      </c>
    </row>
    <row r="38" spans="1:7" ht="27.75" customHeight="1" x14ac:dyDescent="0.25">
      <c r="A38" s="169" t="s">
        <v>235</v>
      </c>
      <c r="B38" s="171" t="s">
        <v>51</v>
      </c>
      <c r="C38" s="171" t="s">
        <v>38</v>
      </c>
      <c r="D38" s="190">
        <f>'srovnání účinností'!H14</f>
        <v>87069.51</v>
      </c>
      <c r="E38" s="191">
        <v>5.98</v>
      </c>
      <c r="F38" s="239">
        <f t="shared" ref="F38" si="33">PRODUCT(D38,E38)</f>
        <v>520675.66980000003</v>
      </c>
      <c r="G38" s="186">
        <v>12</v>
      </c>
    </row>
    <row r="39" spans="1:7" ht="13" x14ac:dyDescent="0.25">
      <c r="A39" s="187" t="s">
        <v>224</v>
      </c>
      <c r="B39" s="188"/>
      <c r="C39" s="189"/>
      <c r="D39" s="190"/>
      <c r="E39" s="191">
        <v>4.3600000000000003</v>
      </c>
      <c r="F39" s="239">
        <f t="shared" ref="F39" si="34">PRODUCT(D38,E39)</f>
        <v>379623.06359999999</v>
      </c>
      <c r="G39" s="186">
        <v>12</v>
      </c>
    </row>
    <row r="40" spans="1:7" ht="13" x14ac:dyDescent="0.25">
      <c r="A40" s="187" t="s">
        <v>225</v>
      </c>
      <c r="B40" s="188"/>
      <c r="C40" s="189"/>
      <c r="D40" s="190"/>
      <c r="E40" s="192">
        <v>8.6300000000000008</v>
      </c>
      <c r="F40" s="239">
        <f t="shared" ref="F40" si="35">PRODUCT(D38,E40)</f>
        <v>751409.8713</v>
      </c>
      <c r="G40" s="186">
        <v>12</v>
      </c>
    </row>
    <row r="41" spans="1:7" ht="45" customHeight="1" x14ac:dyDescent="0.25">
      <c r="A41" s="200"/>
      <c r="B41" s="201"/>
      <c r="C41" s="202"/>
      <c r="D41" s="203"/>
      <c r="E41" s="201"/>
      <c r="F41" s="204"/>
      <c r="G41" s="205"/>
    </row>
    <row r="42" spans="1:7" ht="13" x14ac:dyDescent="0.25">
      <c r="A42" s="200"/>
      <c r="B42" s="201"/>
      <c r="C42" s="202"/>
      <c r="D42" s="203"/>
      <c r="E42" s="201"/>
      <c r="F42" s="204"/>
      <c r="G42" s="205"/>
    </row>
    <row r="43" spans="1:7" ht="13" x14ac:dyDescent="0.25">
      <c r="A43" s="200"/>
      <c r="B43" s="201"/>
      <c r="C43" s="202"/>
      <c r="D43" s="203"/>
      <c r="E43" s="201"/>
      <c r="F43" s="204"/>
      <c r="G43" s="205"/>
    </row>
    <row r="44" spans="1:7" ht="40.5" customHeight="1" x14ac:dyDescent="0.25">
      <c r="A44" s="200"/>
      <c r="B44" s="201"/>
      <c r="C44" s="202"/>
      <c r="D44" s="203"/>
      <c r="E44" s="206"/>
      <c r="F44" s="204"/>
      <c r="G44" s="205"/>
    </row>
    <row r="45" spans="1:7" ht="13" x14ac:dyDescent="0.25">
      <c r="A45" s="200"/>
      <c r="B45" s="201"/>
      <c r="C45" s="202"/>
      <c r="D45" s="203"/>
      <c r="E45" s="206"/>
      <c r="F45" s="204"/>
      <c r="G45" s="205"/>
    </row>
    <row r="46" spans="1:7" ht="13" x14ac:dyDescent="0.25">
      <c r="A46" s="200"/>
      <c r="B46" s="201"/>
      <c r="C46" s="202"/>
      <c r="D46" s="203"/>
      <c r="E46" s="206"/>
      <c r="F46" s="204"/>
      <c r="G46" s="205"/>
    </row>
    <row r="47" spans="1:7" ht="45" customHeight="1" x14ac:dyDescent="0.25">
      <c r="A47" s="207"/>
      <c r="B47" s="208"/>
      <c r="C47" s="208"/>
      <c r="D47" s="203"/>
      <c r="E47" s="201"/>
      <c r="F47" s="204"/>
      <c r="G47" s="205"/>
    </row>
    <row r="48" spans="1:7" ht="13" x14ac:dyDescent="0.25">
      <c r="A48" s="200"/>
      <c r="B48" s="201"/>
      <c r="C48" s="202"/>
      <c r="D48" s="203"/>
      <c r="E48" s="201"/>
      <c r="F48" s="204"/>
      <c r="G48" s="205"/>
    </row>
    <row r="49" spans="1:7" ht="13" x14ac:dyDescent="0.25">
      <c r="A49" s="200"/>
      <c r="B49" s="201"/>
      <c r="C49" s="202"/>
      <c r="D49" s="203"/>
      <c r="E49" s="201"/>
      <c r="F49" s="204"/>
      <c r="G49" s="205"/>
    </row>
    <row r="50" spans="1:7" ht="42" customHeight="1" x14ac:dyDescent="0.25">
      <c r="A50" s="200"/>
      <c r="B50" s="201"/>
      <c r="C50" s="202"/>
      <c r="D50" s="203"/>
      <c r="E50" s="201"/>
      <c r="F50" s="204"/>
      <c r="G50" s="205"/>
    </row>
    <row r="51" spans="1:7" ht="13" x14ac:dyDescent="0.25">
      <c r="A51" s="200"/>
      <c r="B51" s="201"/>
      <c r="C51" s="202"/>
      <c r="D51" s="203"/>
      <c r="E51" s="201"/>
      <c r="F51" s="204"/>
      <c r="G51" s="205"/>
    </row>
    <row r="52" spans="1:7" ht="13" x14ac:dyDescent="0.25">
      <c r="A52" s="200"/>
      <c r="B52" s="201"/>
      <c r="C52" s="202"/>
      <c r="D52" s="203"/>
      <c r="E52" s="201"/>
      <c r="F52" s="204"/>
      <c r="G52" s="205"/>
    </row>
    <row r="53" spans="1:7" ht="48" customHeight="1" x14ac:dyDescent="0.25">
      <c r="A53" s="200"/>
      <c r="B53" s="201"/>
      <c r="C53" s="202"/>
      <c r="D53" s="203"/>
      <c r="E53" s="201"/>
      <c r="F53" s="204"/>
      <c r="G53" s="205"/>
    </row>
    <row r="54" spans="1:7" ht="13" x14ac:dyDescent="0.25">
      <c r="A54" s="200"/>
      <c r="B54" s="201"/>
      <c r="C54" s="202"/>
      <c r="D54" s="203"/>
      <c r="E54" s="201"/>
      <c r="F54" s="204"/>
      <c r="G54" s="205"/>
    </row>
    <row r="55" spans="1:7" ht="13" x14ac:dyDescent="0.25">
      <c r="A55" s="200"/>
      <c r="B55" s="201"/>
      <c r="C55" s="202"/>
      <c r="D55" s="203"/>
      <c r="E55" s="201"/>
      <c r="F55" s="204"/>
      <c r="G55" s="205"/>
    </row>
    <row r="56" spans="1:7" ht="47.25" customHeight="1" x14ac:dyDescent="0.25">
      <c r="A56" s="200"/>
      <c r="B56" s="201"/>
      <c r="C56" s="202"/>
      <c r="D56" s="203"/>
      <c r="E56" s="201"/>
      <c r="F56" s="204"/>
      <c r="G56" s="205"/>
    </row>
    <row r="57" spans="1:7" ht="13" x14ac:dyDescent="0.25">
      <c r="A57" s="200"/>
      <c r="B57" s="201"/>
      <c r="C57" s="202"/>
      <c r="D57" s="203"/>
      <c r="E57" s="201"/>
      <c r="F57" s="204"/>
      <c r="G57" s="205"/>
    </row>
    <row r="58" spans="1:7" ht="13" x14ac:dyDescent="0.25">
      <c r="A58" s="200"/>
      <c r="B58" s="201"/>
      <c r="C58" s="202"/>
      <c r="D58" s="203"/>
      <c r="E58" s="201"/>
      <c r="F58" s="204"/>
      <c r="G58" s="205"/>
    </row>
    <row r="59" spans="1:7" ht="51.75" customHeight="1" x14ac:dyDescent="0.25">
      <c r="A59" s="200"/>
      <c r="B59" s="201"/>
      <c r="C59" s="202"/>
      <c r="D59" s="209"/>
      <c r="E59" s="206"/>
      <c r="F59" s="204"/>
      <c r="G59" s="205"/>
    </row>
    <row r="60" spans="1:7" ht="13" x14ac:dyDescent="0.25">
      <c r="A60" s="200"/>
      <c r="B60" s="201"/>
      <c r="C60" s="202"/>
      <c r="D60" s="209"/>
      <c r="E60" s="206"/>
      <c r="F60" s="204"/>
      <c r="G60" s="205"/>
    </row>
    <row r="61" spans="1:7" ht="13" x14ac:dyDescent="0.25">
      <c r="A61" s="200"/>
      <c r="B61" s="201"/>
      <c r="C61" s="202"/>
      <c r="D61" s="209"/>
      <c r="E61" s="206"/>
      <c r="F61" s="204"/>
      <c r="G61" s="205"/>
    </row>
    <row r="62" spans="1:7" ht="36" customHeight="1" x14ac:dyDescent="0.25">
      <c r="A62" s="200"/>
      <c r="B62" s="201"/>
      <c r="C62" s="202"/>
      <c r="D62" s="203"/>
      <c r="E62" s="201"/>
      <c r="F62" s="204"/>
      <c r="G62" s="205"/>
    </row>
    <row r="63" spans="1:7" ht="13" x14ac:dyDescent="0.25">
      <c r="A63" s="200"/>
      <c r="B63" s="201"/>
      <c r="C63" s="202"/>
      <c r="D63" s="203"/>
      <c r="E63" s="201"/>
      <c r="F63" s="204"/>
      <c r="G63" s="205"/>
    </row>
    <row r="64" spans="1:7" ht="13" x14ac:dyDescent="0.25">
      <c r="A64" s="200"/>
      <c r="B64" s="201"/>
      <c r="C64" s="202"/>
      <c r="D64" s="203"/>
      <c r="E64" s="201"/>
      <c r="F64" s="204"/>
      <c r="G64" s="205"/>
    </row>
    <row r="65" spans="1:7" ht="44.25" customHeight="1" x14ac:dyDescent="0.25">
      <c r="A65" s="200"/>
      <c r="B65" s="201"/>
      <c r="C65" s="202"/>
      <c r="D65" s="203"/>
      <c r="E65" s="201"/>
      <c r="F65" s="204"/>
      <c r="G65" s="205"/>
    </row>
    <row r="66" spans="1:7" ht="13" x14ac:dyDescent="0.25">
      <c r="A66" s="200"/>
      <c r="B66" s="201"/>
      <c r="C66" s="202"/>
      <c r="D66" s="203"/>
      <c r="E66" s="201"/>
      <c r="F66" s="204"/>
      <c r="G66" s="205"/>
    </row>
    <row r="67" spans="1:7" ht="13" x14ac:dyDescent="0.25">
      <c r="A67" s="200"/>
      <c r="B67" s="201"/>
      <c r="C67" s="202"/>
      <c r="D67" s="203"/>
      <c r="E67" s="201"/>
      <c r="F67" s="204"/>
      <c r="G67" s="205"/>
    </row>
    <row r="68" spans="1:7" ht="46.5" customHeight="1" x14ac:dyDescent="0.25">
      <c r="A68" s="200"/>
      <c r="B68" s="201"/>
      <c r="C68" s="202"/>
      <c r="D68" s="203"/>
      <c r="E68" s="201"/>
      <c r="F68" s="204"/>
      <c r="G68" s="205"/>
    </row>
    <row r="69" spans="1:7" ht="13" x14ac:dyDescent="0.25">
      <c r="A69" s="200"/>
      <c r="B69" s="201"/>
      <c r="C69" s="202"/>
      <c r="D69" s="203"/>
      <c r="E69" s="201"/>
      <c r="F69" s="204"/>
      <c r="G69" s="205"/>
    </row>
    <row r="70" spans="1:7" ht="13" x14ac:dyDescent="0.25">
      <c r="A70" s="200"/>
      <c r="B70" s="201"/>
      <c r="C70" s="202"/>
      <c r="D70" s="203"/>
      <c r="E70" s="201"/>
      <c r="F70" s="204"/>
      <c r="G70" s="205"/>
    </row>
    <row r="71" spans="1:7" ht="44.25" customHeight="1" x14ac:dyDescent="0.25">
      <c r="A71" s="200"/>
      <c r="B71" s="201"/>
      <c r="C71" s="202"/>
      <c r="D71" s="203"/>
      <c r="E71" s="206"/>
      <c r="F71" s="204"/>
      <c r="G71" s="205"/>
    </row>
    <row r="72" spans="1:7" ht="13" x14ac:dyDescent="0.25">
      <c r="A72" s="200"/>
      <c r="B72" s="201"/>
      <c r="C72" s="202"/>
      <c r="D72" s="203"/>
      <c r="E72" s="206"/>
      <c r="F72" s="204"/>
      <c r="G72" s="205"/>
    </row>
    <row r="73" spans="1:7" ht="13" x14ac:dyDescent="0.25">
      <c r="A73" s="200"/>
      <c r="B73" s="201"/>
      <c r="C73" s="202"/>
      <c r="D73" s="203"/>
      <c r="E73" s="206"/>
      <c r="F73" s="204"/>
      <c r="G73" s="205"/>
    </row>
    <row r="74" spans="1:7" ht="60" customHeight="1" x14ac:dyDescent="0.25">
      <c r="A74" s="200"/>
      <c r="B74" s="201"/>
      <c r="C74" s="202"/>
      <c r="D74" s="209"/>
      <c r="E74" s="206"/>
      <c r="F74" s="204"/>
      <c r="G74" s="205"/>
    </row>
    <row r="75" spans="1:7" ht="13" x14ac:dyDescent="0.25">
      <c r="A75" s="200"/>
      <c r="B75" s="201"/>
      <c r="C75" s="202"/>
      <c r="D75" s="209"/>
      <c r="E75" s="206"/>
      <c r="F75" s="204"/>
      <c r="G75" s="205"/>
    </row>
    <row r="76" spans="1:7" ht="13" x14ac:dyDescent="0.25">
      <c r="A76" s="200"/>
      <c r="B76" s="201"/>
      <c r="C76" s="202"/>
      <c r="D76" s="209"/>
      <c r="E76" s="206"/>
      <c r="F76" s="204"/>
      <c r="G76" s="205"/>
    </row>
    <row r="77" spans="1:7" ht="48" customHeight="1" x14ac:dyDescent="0.25">
      <c r="A77" s="200"/>
      <c r="B77" s="201"/>
      <c r="C77" s="202"/>
      <c r="D77" s="203"/>
      <c r="E77" s="201"/>
      <c r="F77" s="204"/>
      <c r="G77" s="205"/>
    </row>
    <row r="78" spans="1:7" ht="13" x14ac:dyDescent="0.25">
      <c r="A78" s="200"/>
      <c r="B78" s="201"/>
      <c r="C78" s="202"/>
      <c r="D78" s="203"/>
      <c r="E78" s="201"/>
      <c r="F78" s="204"/>
      <c r="G78" s="205"/>
    </row>
    <row r="79" spans="1:7" ht="13" x14ac:dyDescent="0.25">
      <c r="A79" s="200"/>
      <c r="B79" s="201"/>
      <c r="C79" s="202"/>
      <c r="D79" s="203"/>
      <c r="E79" s="201"/>
      <c r="F79" s="204"/>
      <c r="G79" s="205"/>
    </row>
  </sheetData>
  <pageMargins left="0.70866141732283472" right="0.70866141732283472" top="0.78740157480314965" bottom="0.78740157480314965"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9"/>
  <sheetViews>
    <sheetView topLeftCell="E1" zoomScale="80" zoomScaleNormal="80" workbookViewId="0">
      <selection activeCell="E4" sqref="E4"/>
    </sheetView>
  </sheetViews>
  <sheetFormatPr defaultRowHeight="12.5" x14ac:dyDescent="0.25"/>
  <cols>
    <col min="1" max="1" width="32.453125" customWidth="1"/>
    <col min="2" max="3" width="12.81640625" customWidth="1"/>
    <col min="4" max="4" width="15.1796875" customWidth="1"/>
    <col min="5" max="5" width="19.453125" customWidth="1"/>
    <col min="6" max="6" width="19.54296875" customWidth="1"/>
  </cols>
  <sheetData>
    <row r="1" spans="1:7" ht="58.5" customHeight="1" x14ac:dyDescent="0.25">
      <c r="A1" s="180" t="s">
        <v>221</v>
      </c>
      <c r="B1" s="181" t="s">
        <v>127</v>
      </c>
      <c r="C1" s="182" t="s">
        <v>222</v>
      </c>
      <c r="D1" s="183" t="s">
        <v>279</v>
      </c>
      <c r="E1" s="106" t="s">
        <v>356</v>
      </c>
      <c r="F1" s="184" t="s">
        <v>227</v>
      </c>
      <c r="G1" s="185" t="s">
        <v>223</v>
      </c>
    </row>
    <row r="2" spans="1:7" ht="24.75" customHeight="1" x14ac:dyDescent="0.25">
      <c r="A2" s="93" t="s">
        <v>355</v>
      </c>
      <c r="B2" s="171" t="s">
        <v>317</v>
      </c>
      <c r="C2" s="171" t="s">
        <v>73</v>
      </c>
      <c r="D2" s="190">
        <f>'srovnání účinností'!H19</f>
        <v>155005.97400000002</v>
      </c>
      <c r="E2" s="191">
        <v>7.61</v>
      </c>
      <c r="F2" s="239">
        <f>PRODUCT(D2,E2)</f>
        <v>1179595.4621400002</v>
      </c>
      <c r="G2" s="186">
        <v>1</v>
      </c>
    </row>
    <row r="3" spans="1:7" ht="13" x14ac:dyDescent="0.25">
      <c r="A3" s="187" t="s">
        <v>224</v>
      </c>
      <c r="B3" s="188"/>
      <c r="C3" s="189"/>
      <c r="D3" s="190"/>
      <c r="E3" s="191">
        <v>5.55</v>
      </c>
      <c r="F3" s="239">
        <f>PRODUCT(D2,E3)</f>
        <v>860283.15570000012</v>
      </c>
      <c r="G3" s="186">
        <v>1</v>
      </c>
    </row>
    <row r="4" spans="1:7" ht="13" x14ac:dyDescent="0.25">
      <c r="A4" s="187" t="s">
        <v>225</v>
      </c>
      <c r="B4" s="188"/>
      <c r="C4" s="189"/>
      <c r="D4" s="190"/>
      <c r="E4" s="191">
        <v>10.8</v>
      </c>
      <c r="F4" s="239">
        <f>PRODUCT(D2,E4)</f>
        <v>1674064.5192000002</v>
      </c>
      <c r="G4" s="186">
        <v>1</v>
      </c>
    </row>
    <row r="5" spans="1:7" ht="28.5" customHeight="1" x14ac:dyDescent="0.25">
      <c r="A5" s="210" t="s">
        <v>365</v>
      </c>
      <c r="B5" s="211" t="s">
        <v>17</v>
      </c>
      <c r="C5" s="211" t="s">
        <v>38</v>
      </c>
      <c r="D5" s="212">
        <f>'srovnání účinností'!H18</f>
        <v>41402</v>
      </c>
      <c r="E5" s="213">
        <v>4.2699999999999996</v>
      </c>
      <c r="F5" s="239">
        <f t="shared" ref="F5" si="0">PRODUCT(D5,E5)</f>
        <v>176786.53999999998</v>
      </c>
      <c r="G5" s="186">
        <v>2</v>
      </c>
    </row>
    <row r="6" spans="1:7" ht="13" x14ac:dyDescent="0.25">
      <c r="A6" s="214" t="s">
        <v>224</v>
      </c>
      <c r="B6" s="215"/>
      <c r="C6" s="216"/>
      <c r="D6" s="212"/>
      <c r="E6" s="213">
        <v>3.1</v>
      </c>
      <c r="F6" s="239">
        <f t="shared" ref="F6" si="1">PRODUCT(D5,E6)</f>
        <v>128346.2</v>
      </c>
      <c r="G6" s="186">
        <v>2</v>
      </c>
    </row>
    <row r="7" spans="1:7" ht="13" x14ac:dyDescent="0.25">
      <c r="A7" s="214" t="s">
        <v>225</v>
      </c>
      <c r="B7" s="215"/>
      <c r="C7" s="216"/>
      <c r="D7" s="212"/>
      <c r="E7" s="213">
        <v>6.33</v>
      </c>
      <c r="F7" s="239">
        <f t="shared" ref="F7" si="2">PRODUCT(D5,E7)</f>
        <v>262074.66</v>
      </c>
      <c r="G7" s="186">
        <v>2</v>
      </c>
    </row>
    <row r="8" spans="1:7" ht="31.5" customHeight="1" x14ac:dyDescent="0.25">
      <c r="A8" s="169" t="s">
        <v>366</v>
      </c>
      <c r="B8" s="171" t="s">
        <v>17</v>
      </c>
      <c r="C8" s="171" t="s">
        <v>38</v>
      </c>
      <c r="D8" s="190">
        <f>'srovnání účinností'!H7</f>
        <v>30864</v>
      </c>
      <c r="E8" s="375">
        <v>4.2699999999999996</v>
      </c>
      <c r="F8" s="239">
        <f t="shared" ref="F8" si="3">PRODUCT(D8,E8)</f>
        <v>131789.28</v>
      </c>
      <c r="G8" s="186">
        <v>3</v>
      </c>
    </row>
    <row r="9" spans="1:7" ht="13" x14ac:dyDescent="0.25">
      <c r="A9" s="187" t="s">
        <v>224</v>
      </c>
      <c r="B9" s="188"/>
      <c r="C9" s="189"/>
      <c r="D9" s="190"/>
      <c r="E9" s="375">
        <v>3.1</v>
      </c>
      <c r="F9" s="239">
        <f t="shared" ref="F9" si="4">PRODUCT(D8,E9)</f>
        <v>95678.400000000009</v>
      </c>
      <c r="G9" s="186">
        <v>3</v>
      </c>
    </row>
    <row r="10" spans="1:7" ht="13" x14ac:dyDescent="0.25">
      <c r="A10" s="187" t="s">
        <v>225</v>
      </c>
      <c r="B10" s="188"/>
      <c r="C10" s="189"/>
      <c r="D10" s="190"/>
      <c r="E10" s="375">
        <v>6.33</v>
      </c>
      <c r="F10" s="239">
        <f t="shared" ref="F10" si="5">PRODUCT(D8,E10)</f>
        <v>195369.12</v>
      </c>
      <c r="G10" s="186">
        <v>3</v>
      </c>
    </row>
    <row r="11" spans="1:7" ht="23.25" customHeight="1" x14ac:dyDescent="0.25">
      <c r="A11" s="224" t="s">
        <v>230</v>
      </c>
      <c r="B11" s="225" t="s">
        <v>81</v>
      </c>
      <c r="C11" s="226" t="s">
        <v>80</v>
      </c>
      <c r="D11" s="227">
        <f>'srovnání účinností'!H5</f>
        <v>91242.940799999997</v>
      </c>
      <c r="E11" s="228">
        <v>2.2999999999999998</v>
      </c>
      <c r="F11" s="239">
        <f t="shared" ref="F11" si="6">PRODUCT(D11,E11)</f>
        <v>209858.76383999997</v>
      </c>
      <c r="G11" s="186">
        <v>4</v>
      </c>
    </row>
    <row r="12" spans="1:7" ht="13" x14ac:dyDescent="0.25">
      <c r="A12" s="229" t="s">
        <v>224</v>
      </c>
      <c r="B12" s="230"/>
      <c r="C12" s="231"/>
      <c r="D12" s="227"/>
      <c r="E12" s="228">
        <v>2.02</v>
      </c>
      <c r="F12" s="239">
        <f t="shared" ref="F12" si="7">PRODUCT(D11,E12)</f>
        <v>184310.74041599999</v>
      </c>
      <c r="G12" s="186">
        <v>4</v>
      </c>
    </row>
    <row r="13" spans="1:7" ht="13" x14ac:dyDescent="0.25">
      <c r="A13" s="229" t="s">
        <v>225</v>
      </c>
      <c r="B13" s="230"/>
      <c r="C13" s="231"/>
      <c r="D13" s="227"/>
      <c r="E13" s="228">
        <v>2.65</v>
      </c>
      <c r="F13" s="239">
        <f t="shared" ref="F13" si="8">PRODUCT(D11,E13)</f>
        <v>241793.79311999999</v>
      </c>
      <c r="G13" s="186">
        <v>4</v>
      </c>
    </row>
    <row r="14" spans="1:7" ht="20.25" customHeight="1" x14ac:dyDescent="0.25">
      <c r="A14" s="198" t="s">
        <v>231</v>
      </c>
      <c r="B14" s="199" t="s">
        <v>146</v>
      </c>
      <c r="C14" s="199" t="s">
        <v>73</v>
      </c>
      <c r="D14" s="196">
        <f>'srovnání účinností'!H16</f>
        <v>179240.74200000003</v>
      </c>
      <c r="E14" s="197">
        <v>2.2599999999999998</v>
      </c>
      <c r="F14" s="239">
        <f t="shared" ref="F14" si="9">PRODUCT(D14,E14)</f>
        <v>405084.07692000002</v>
      </c>
      <c r="G14" s="186">
        <v>5</v>
      </c>
    </row>
    <row r="15" spans="1:7" ht="13" x14ac:dyDescent="0.25">
      <c r="A15" s="193" t="s">
        <v>224</v>
      </c>
      <c r="B15" s="194"/>
      <c r="C15" s="195"/>
      <c r="D15" s="196"/>
      <c r="E15" s="197">
        <v>2.0099999999999998</v>
      </c>
      <c r="F15" s="239">
        <f t="shared" ref="F15" si="10">PRODUCT(D14,E15)</f>
        <v>360273.89142</v>
      </c>
      <c r="G15" s="186">
        <v>5</v>
      </c>
    </row>
    <row r="16" spans="1:7" ht="13" x14ac:dyDescent="0.25">
      <c r="A16" s="193" t="s">
        <v>225</v>
      </c>
      <c r="B16" s="194"/>
      <c r="C16" s="195"/>
      <c r="D16" s="196"/>
      <c r="E16" s="197">
        <v>2.59</v>
      </c>
      <c r="F16" s="239">
        <f t="shared" ref="F16" si="11">PRODUCT(D14,E16)</f>
        <v>464233.52178000007</v>
      </c>
      <c r="G16" s="186">
        <v>5</v>
      </c>
    </row>
    <row r="17" spans="1:7" ht="18.75" customHeight="1" x14ac:dyDescent="0.25">
      <c r="A17" s="224" t="s">
        <v>232</v>
      </c>
      <c r="B17" s="225" t="s">
        <v>96</v>
      </c>
      <c r="C17" s="225" t="s">
        <v>89</v>
      </c>
      <c r="D17" s="227">
        <f>'srovnání účinností'!H6</f>
        <v>189203.97600000002</v>
      </c>
      <c r="E17" s="228">
        <v>2.65</v>
      </c>
      <c r="F17" s="239">
        <f t="shared" ref="F17" si="12">PRODUCT(D17,E17)</f>
        <v>501390.53640000004</v>
      </c>
      <c r="G17" s="186">
        <v>6</v>
      </c>
    </row>
    <row r="18" spans="1:7" ht="13" x14ac:dyDescent="0.25">
      <c r="A18" s="229" t="s">
        <v>224</v>
      </c>
      <c r="B18" s="230"/>
      <c r="C18" s="231"/>
      <c r="D18" s="227"/>
      <c r="E18" s="228">
        <v>2.2799999999999998</v>
      </c>
      <c r="F18" s="239">
        <f t="shared" ref="F18" si="13">PRODUCT(D17,E18)</f>
        <v>431385.06528000004</v>
      </c>
      <c r="G18" s="186">
        <v>6</v>
      </c>
    </row>
    <row r="19" spans="1:7" ht="13" x14ac:dyDescent="0.25">
      <c r="A19" s="229" t="s">
        <v>225</v>
      </c>
      <c r="B19" s="230"/>
      <c r="C19" s="231"/>
      <c r="D19" s="227"/>
      <c r="E19" s="228">
        <v>3.13</v>
      </c>
      <c r="F19" s="239">
        <f t="shared" ref="F19" si="14">PRODUCT(D17,E19)</f>
        <v>592208.44488000008</v>
      </c>
      <c r="G19" s="186">
        <v>6</v>
      </c>
    </row>
    <row r="20" spans="1:7" ht="27" customHeight="1" x14ac:dyDescent="0.25">
      <c r="A20" s="198" t="s">
        <v>273</v>
      </c>
      <c r="B20" s="199" t="s">
        <v>74</v>
      </c>
      <c r="C20" s="199" t="s">
        <v>73</v>
      </c>
      <c r="D20" s="196">
        <f>'srovnání účinností'!H8</f>
        <v>138364.83000000002</v>
      </c>
      <c r="E20" s="197">
        <v>3.08</v>
      </c>
      <c r="F20" s="239">
        <f t="shared" ref="F20" si="15">PRODUCT(D20,E20)</f>
        <v>426163.67640000005</v>
      </c>
      <c r="G20" s="186">
        <v>7</v>
      </c>
    </row>
    <row r="21" spans="1:7" ht="13" x14ac:dyDescent="0.25">
      <c r="A21" s="193" t="s">
        <v>224</v>
      </c>
      <c r="B21" s="194"/>
      <c r="C21" s="195"/>
      <c r="D21" s="196"/>
      <c r="E21" s="197">
        <v>2.63</v>
      </c>
      <c r="F21" s="239">
        <f t="shared" ref="F21" si="16">PRODUCT(D20,E21)</f>
        <v>363899.50290000002</v>
      </c>
      <c r="G21" s="186">
        <v>7</v>
      </c>
    </row>
    <row r="22" spans="1:7" ht="13" x14ac:dyDescent="0.25">
      <c r="A22" s="193" t="s">
        <v>225</v>
      </c>
      <c r="B22" s="194"/>
      <c r="C22" s="195"/>
      <c r="D22" s="196"/>
      <c r="E22" s="197">
        <v>3.67</v>
      </c>
      <c r="F22" s="239">
        <f t="shared" ref="F22" si="17">PRODUCT(D20,E22)</f>
        <v>507798.92610000004</v>
      </c>
      <c r="G22" s="186">
        <v>7</v>
      </c>
    </row>
    <row r="23" spans="1:7" ht="27" customHeight="1" x14ac:dyDescent="0.25">
      <c r="A23" s="93" t="s">
        <v>358</v>
      </c>
      <c r="B23" s="171" t="s">
        <v>315</v>
      </c>
      <c r="C23" s="170" t="s">
        <v>346</v>
      </c>
      <c r="D23" s="190">
        <f>'srovnání účinností'!H20</f>
        <v>191453.87940000001</v>
      </c>
      <c r="E23" s="191">
        <v>1.74</v>
      </c>
      <c r="F23" s="239">
        <f t="shared" ref="F23" si="18">PRODUCT(D23,E23)</f>
        <v>333129.75015600002</v>
      </c>
      <c r="G23" s="186">
        <v>8</v>
      </c>
    </row>
    <row r="24" spans="1:7" ht="13" x14ac:dyDescent="0.25">
      <c r="A24" s="187" t="s">
        <v>224</v>
      </c>
      <c r="B24" s="188"/>
      <c r="C24" s="189"/>
      <c r="D24" s="190"/>
      <c r="E24" s="191">
        <v>1.58</v>
      </c>
      <c r="F24" s="239">
        <f t="shared" ref="F24" si="19">PRODUCT(D23,E24)</f>
        <v>302497.12945200002</v>
      </c>
      <c r="G24" s="186">
        <v>8</v>
      </c>
    </row>
    <row r="25" spans="1:7" ht="13" x14ac:dyDescent="0.25">
      <c r="A25" s="187" t="s">
        <v>225</v>
      </c>
      <c r="B25" s="188"/>
      <c r="C25" s="189"/>
      <c r="D25" s="190"/>
      <c r="E25" s="191">
        <v>1.96</v>
      </c>
      <c r="F25" s="239">
        <f t="shared" ref="F25" si="20">PRODUCT(D23,E25)</f>
        <v>375249.60362399998</v>
      </c>
      <c r="G25" s="186">
        <v>8</v>
      </c>
    </row>
    <row r="26" spans="1:7" ht="12.75" customHeight="1" x14ac:dyDescent="0.25">
      <c r="A26" s="217" t="s">
        <v>367</v>
      </c>
      <c r="B26" s="218" t="s">
        <v>51</v>
      </c>
      <c r="C26" s="218" t="s">
        <v>38</v>
      </c>
      <c r="D26" s="219">
        <f>'srovnání účinností'!H13</f>
        <v>52415.845019999993</v>
      </c>
      <c r="E26" s="220">
        <v>7.19</v>
      </c>
      <c r="F26" s="239">
        <f t="shared" ref="F26" si="21">PRODUCT(D26,E26)</f>
        <v>376869.92569379997</v>
      </c>
      <c r="G26" s="186">
        <v>9</v>
      </c>
    </row>
    <row r="27" spans="1:7" ht="13" x14ac:dyDescent="0.25">
      <c r="A27" s="221" t="s">
        <v>224</v>
      </c>
      <c r="B27" s="222"/>
      <c r="C27" s="223"/>
      <c r="D27" s="219"/>
      <c r="E27" s="220">
        <v>5.12</v>
      </c>
      <c r="F27" s="239">
        <f t="shared" ref="F27" si="22">PRODUCT(D26,E27)</f>
        <v>268369.12650239997</v>
      </c>
      <c r="G27" s="186">
        <v>9</v>
      </c>
    </row>
    <row r="28" spans="1:7" ht="13" x14ac:dyDescent="0.25">
      <c r="A28" s="221" t="s">
        <v>225</v>
      </c>
      <c r="B28" s="222"/>
      <c r="C28" s="223"/>
      <c r="D28" s="219"/>
      <c r="E28" s="220">
        <v>10.6</v>
      </c>
      <c r="F28" s="239">
        <f t="shared" ref="F28" si="23">PRODUCT(D26,E28)</f>
        <v>555607.95721199992</v>
      </c>
      <c r="G28" s="186">
        <v>9</v>
      </c>
    </row>
    <row r="29" spans="1:7" ht="15" customHeight="1" x14ac:dyDescent="0.25">
      <c r="A29" s="224" t="s">
        <v>234</v>
      </c>
      <c r="B29" s="225" t="s">
        <v>90</v>
      </c>
      <c r="C29" s="225" t="s">
        <v>89</v>
      </c>
      <c r="D29" s="227">
        <f>'srovnání účinností'!H9</f>
        <v>144817.56800000003</v>
      </c>
      <c r="E29" s="228">
        <v>3.11</v>
      </c>
      <c r="F29" s="239">
        <f t="shared" ref="F29" si="24">PRODUCT(D29,E29)</f>
        <v>450382.63648000004</v>
      </c>
      <c r="G29" s="186">
        <v>10</v>
      </c>
    </row>
    <row r="30" spans="1:7" ht="13" x14ac:dyDescent="0.25">
      <c r="A30" s="229" t="s">
        <v>224</v>
      </c>
      <c r="B30" s="230"/>
      <c r="C30" s="231"/>
      <c r="D30" s="227"/>
      <c r="E30" s="228">
        <v>2.69</v>
      </c>
      <c r="F30" s="239">
        <f t="shared" ref="F30" si="25">PRODUCT(D29,E30)</f>
        <v>389559.25792000006</v>
      </c>
      <c r="G30" s="186">
        <v>10</v>
      </c>
    </row>
    <row r="31" spans="1:7" ht="13" x14ac:dyDescent="0.25">
      <c r="A31" s="229" t="s">
        <v>225</v>
      </c>
      <c r="B31" s="230"/>
      <c r="C31" s="231"/>
      <c r="D31" s="227"/>
      <c r="E31" s="228">
        <v>3.63</v>
      </c>
      <c r="F31" s="239">
        <f t="shared" ref="F31" si="26">PRODUCT(D29,E31)</f>
        <v>525687.77184000006</v>
      </c>
      <c r="G31" s="186">
        <v>10</v>
      </c>
    </row>
    <row r="32" spans="1:7" ht="36.75" customHeight="1" x14ac:dyDescent="0.25">
      <c r="A32" s="169" t="s">
        <v>278</v>
      </c>
      <c r="B32" s="171" t="s">
        <v>19</v>
      </c>
      <c r="C32" s="171" t="s">
        <v>38</v>
      </c>
      <c r="D32" s="190">
        <f>'srovnání účinností'!H11</f>
        <v>35616</v>
      </c>
      <c r="E32" s="191">
        <v>16.77</v>
      </c>
      <c r="F32" s="239">
        <f t="shared" ref="F32" si="27">PRODUCT(D32,E32)</f>
        <v>597280.31999999995</v>
      </c>
      <c r="G32" s="186">
        <v>13</v>
      </c>
    </row>
    <row r="33" spans="1:7" ht="13" x14ac:dyDescent="0.25">
      <c r="A33" s="187" t="s">
        <v>224</v>
      </c>
      <c r="B33" s="188"/>
      <c r="C33" s="189"/>
      <c r="D33" s="190"/>
      <c r="E33" s="191">
        <v>13.1</v>
      </c>
      <c r="F33" s="239">
        <f t="shared" ref="F33" si="28">PRODUCT(D32,E33)</f>
        <v>466569.6</v>
      </c>
      <c r="G33" s="186">
        <v>13</v>
      </c>
    </row>
    <row r="34" spans="1:7" ht="13" x14ac:dyDescent="0.25">
      <c r="A34" s="187" t="s">
        <v>225</v>
      </c>
      <c r="B34" s="188"/>
      <c r="C34" s="189"/>
      <c r="D34" s="190"/>
      <c r="E34" s="191">
        <v>22.11</v>
      </c>
      <c r="F34" s="239">
        <f t="shared" ref="F34" si="29">PRODUCT(D32,E34)</f>
        <v>787469.76</v>
      </c>
      <c r="G34" s="186">
        <v>13</v>
      </c>
    </row>
    <row r="35" spans="1:7" ht="21.75" customHeight="1" x14ac:dyDescent="0.25">
      <c r="A35" s="232" t="s">
        <v>368</v>
      </c>
      <c r="B35" s="233" t="s">
        <v>105</v>
      </c>
      <c r="C35" s="233" t="s">
        <v>104</v>
      </c>
      <c r="D35" s="234">
        <f>'srovnání účinností'!H12</f>
        <v>185420.79</v>
      </c>
      <c r="E35" s="235">
        <v>5.72</v>
      </c>
      <c r="F35" s="239">
        <f t="shared" ref="F35" si="30">PRODUCT(D35,E35)</f>
        <v>1060606.9188000001</v>
      </c>
      <c r="G35" s="186">
        <v>11</v>
      </c>
    </row>
    <row r="36" spans="1:7" ht="13" x14ac:dyDescent="0.25">
      <c r="A36" s="236" t="s">
        <v>224</v>
      </c>
      <c r="B36" s="237"/>
      <c r="C36" s="238"/>
      <c r="D36" s="234"/>
      <c r="E36" s="235">
        <v>4.88</v>
      </c>
      <c r="F36" s="239">
        <f t="shared" ref="F36" si="31">PRODUCT(D35,E36)</f>
        <v>904853.45519999997</v>
      </c>
      <c r="G36" s="186">
        <v>11</v>
      </c>
    </row>
    <row r="37" spans="1:7" ht="13" x14ac:dyDescent="0.25">
      <c r="A37" s="236" t="s">
        <v>225</v>
      </c>
      <c r="B37" s="237"/>
      <c r="C37" s="238"/>
      <c r="D37" s="234"/>
      <c r="E37" s="235">
        <v>6.79</v>
      </c>
      <c r="F37" s="239">
        <f t="shared" ref="F37" si="32">PRODUCT(D35,E37)</f>
        <v>1259007.1641000002</v>
      </c>
      <c r="G37" s="186">
        <v>11</v>
      </c>
    </row>
    <row r="38" spans="1:7" ht="27.75" customHeight="1" x14ac:dyDescent="0.25">
      <c r="A38" s="169" t="s">
        <v>369</v>
      </c>
      <c r="B38" s="171" t="s">
        <v>51</v>
      </c>
      <c r="C38" s="171" t="s">
        <v>38</v>
      </c>
      <c r="D38" s="190">
        <f>'srovnání účinností'!H14</f>
        <v>87069.51</v>
      </c>
      <c r="E38" s="191">
        <v>5.98</v>
      </c>
      <c r="F38" s="239">
        <f t="shared" ref="F38" si="33">PRODUCT(D38,E38)</f>
        <v>520675.66980000003</v>
      </c>
      <c r="G38" s="186">
        <v>12</v>
      </c>
    </row>
    <row r="39" spans="1:7" ht="13" x14ac:dyDescent="0.25">
      <c r="A39" s="187" t="s">
        <v>224</v>
      </c>
      <c r="B39" s="188"/>
      <c r="C39" s="189"/>
      <c r="D39" s="190"/>
      <c r="E39" s="191">
        <v>4.3600000000000003</v>
      </c>
      <c r="F39" s="239">
        <f t="shared" ref="F39" si="34">PRODUCT(D38,E39)</f>
        <v>379623.06359999999</v>
      </c>
      <c r="G39" s="186">
        <v>12</v>
      </c>
    </row>
    <row r="40" spans="1:7" ht="13" x14ac:dyDescent="0.25">
      <c r="A40" s="187" t="s">
        <v>225</v>
      </c>
      <c r="B40" s="188"/>
      <c r="C40" s="189"/>
      <c r="D40" s="190"/>
      <c r="E40" s="192">
        <v>8.6300000000000008</v>
      </c>
      <c r="F40" s="239">
        <f t="shared" ref="F40" si="35">PRODUCT(D38,E40)</f>
        <v>751409.8713</v>
      </c>
      <c r="G40" s="186">
        <v>12</v>
      </c>
    </row>
    <row r="41" spans="1:7" ht="45" customHeight="1" x14ac:dyDescent="0.25">
      <c r="A41" s="200"/>
      <c r="B41" s="201"/>
      <c r="C41" s="202"/>
      <c r="D41" s="203"/>
      <c r="E41" s="201"/>
      <c r="F41" s="204"/>
      <c r="G41" s="205"/>
    </row>
    <row r="42" spans="1:7" ht="13" x14ac:dyDescent="0.25">
      <c r="A42" s="200"/>
      <c r="B42" s="201"/>
      <c r="C42" s="202"/>
      <c r="D42" s="203"/>
      <c r="E42" s="201"/>
      <c r="F42" s="204"/>
      <c r="G42" s="205"/>
    </row>
    <row r="43" spans="1:7" ht="13" x14ac:dyDescent="0.25">
      <c r="A43" s="200"/>
      <c r="B43" s="201"/>
      <c r="C43" s="202"/>
      <c r="D43" s="203"/>
      <c r="E43" s="201"/>
      <c r="F43" s="204"/>
      <c r="G43" s="205"/>
    </row>
    <row r="44" spans="1:7" ht="40.5" customHeight="1" x14ac:dyDescent="0.25">
      <c r="A44" s="200"/>
      <c r="B44" s="201"/>
      <c r="C44" s="202"/>
      <c r="D44" s="203"/>
      <c r="E44" s="206"/>
      <c r="F44" s="204"/>
      <c r="G44" s="205"/>
    </row>
    <row r="45" spans="1:7" ht="13" x14ac:dyDescent="0.25">
      <c r="A45" s="200"/>
      <c r="B45" s="201"/>
      <c r="C45" s="202"/>
      <c r="D45" s="203"/>
      <c r="E45" s="206"/>
      <c r="F45" s="204"/>
      <c r="G45" s="205"/>
    </row>
    <row r="46" spans="1:7" ht="13" x14ac:dyDescent="0.25">
      <c r="A46" s="200"/>
      <c r="B46" s="201"/>
      <c r="C46" s="202"/>
      <c r="D46" s="203"/>
      <c r="E46" s="206"/>
      <c r="F46" s="204"/>
      <c r="G46" s="205"/>
    </row>
    <row r="47" spans="1:7" ht="45" customHeight="1" x14ac:dyDescent="0.25">
      <c r="A47" s="207"/>
      <c r="B47" s="208"/>
      <c r="C47" s="208"/>
      <c r="D47" s="203"/>
      <c r="E47" s="201"/>
      <c r="F47" s="204"/>
      <c r="G47" s="205"/>
    </row>
    <row r="48" spans="1:7" ht="13" x14ac:dyDescent="0.25">
      <c r="A48" s="200"/>
      <c r="B48" s="201"/>
      <c r="C48" s="202"/>
      <c r="D48" s="203"/>
      <c r="E48" s="201"/>
      <c r="F48" s="204"/>
      <c r="G48" s="205"/>
    </row>
    <row r="49" spans="1:7" ht="13" x14ac:dyDescent="0.25">
      <c r="A49" s="200"/>
      <c r="B49" s="201"/>
      <c r="C49" s="202"/>
      <c r="D49" s="203"/>
      <c r="E49" s="201"/>
      <c r="F49" s="204"/>
      <c r="G49" s="205"/>
    </row>
    <row r="50" spans="1:7" ht="42" customHeight="1" x14ac:dyDescent="0.25">
      <c r="A50" s="200"/>
      <c r="B50" s="201"/>
      <c r="C50" s="202"/>
      <c r="D50" s="203"/>
      <c r="E50" s="201"/>
      <c r="F50" s="204"/>
      <c r="G50" s="205"/>
    </row>
    <row r="51" spans="1:7" ht="13" x14ac:dyDescent="0.25">
      <c r="A51" s="200"/>
      <c r="B51" s="201"/>
      <c r="C51" s="202"/>
      <c r="D51" s="203"/>
      <c r="E51" s="201"/>
      <c r="F51" s="204"/>
      <c r="G51" s="205"/>
    </row>
    <row r="52" spans="1:7" ht="13" x14ac:dyDescent="0.25">
      <c r="A52" s="200"/>
      <c r="B52" s="201"/>
      <c r="C52" s="202"/>
      <c r="D52" s="203"/>
      <c r="E52" s="201"/>
      <c r="F52" s="204"/>
      <c r="G52" s="205"/>
    </row>
    <row r="53" spans="1:7" ht="48" customHeight="1" x14ac:dyDescent="0.25">
      <c r="A53" s="200"/>
      <c r="B53" s="201"/>
      <c r="C53" s="202"/>
      <c r="D53" s="203"/>
      <c r="E53" s="201"/>
      <c r="F53" s="204"/>
      <c r="G53" s="205"/>
    </row>
    <row r="54" spans="1:7" ht="13" x14ac:dyDescent="0.25">
      <c r="A54" s="200"/>
      <c r="B54" s="201"/>
      <c r="C54" s="202"/>
      <c r="D54" s="203"/>
      <c r="E54" s="201"/>
      <c r="F54" s="204"/>
      <c r="G54" s="205"/>
    </row>
    <row r="55" spans="1:7" ht="13" x14ac:dyDescent="0.25">
      <c r="A55" s="200"/>
      <c r="B55" s="201"/>
      <c r="C55" s="202"/>
      <c r="D55" s="203"/>
      <c r="E55" s="201"/>
      <c r="F55" s="204"/>
      <c r="G55" s="205"/>
    </row>
    <row r="56" spans="1:7" ht="47.25" customHeight="1" x14ac:dyDescent="0.25">
      <c r="A56" s="200"/>
      <c r="B56" s="201"/>
      <c r="C56" s="202"/>
      <c r="D56" s="203"/>
      <c r="E56" s="201"/>
      <c r="F56" s="204"/>
      <c r="G56" s="205"/>
    </row>
    <row r="57" spans="1:7" ht="13" x14ac:dyDescent="0.25">
      <c r="A57" s="200"/>
      <c r="B57" s="201"/>
      <c r="C57" s="202"/>
      <c r="D57" s="203"/>
      <c r="E57" s="201"/>
      <c r="F57" s="204"/>
      <c r="G57" s="205"/>
    </row>
    <row r="58" spans="1:7" ht="13" x14ac:dyDescent="0.25">
      <c r="A58" s="200"/>
      <c r="B58" s="201"/>
      <c r="C58" s="202"/>
      <c r="D58" s="203"/>
      <c r="E58" s="201"/>
      <c r="F58" s="204"/>
      <c r="G58" s="205"/>
    </row>
    <row r="59" spans="1:7" ht="51.75" customHeight="1" x14ac:dyDescent="0.25">
      <c r="A59" s="200"/>
      <c r="B59" s="201"/>
      <c r="C59" s="202"/>
      <c r="D59" s="209"/>
      <c r="E59" s="206"/>
      <c r="F59" s="204"/>
      <c r="G59" s="205"/>
    </row>
    <row r="60" spans="1:7" ht="13" x14ac:dyDescent="0.25">
      <c r="A60" s="200"/>
      <c r="B60" s="201"/>
      <c r="C60" s="202"/>
      <c r="D60" s="209"/>
      <c r="E60" s="206"/>
      <c r="F60" s="204"/>
      <c r="G60" s="205"/>
    </row>
    <row r="61" spans="1:7" ht="13" x14ac:dyDescent="0.25">
      <c r="A61" s="200"/>
      <c r="B61" s="201"/>
      <c r="C61" s="202"/>
      <c r="D61" s="209"/>
      <c r="E61" s="206"/>
      <c r="F61" s="204"/>
      <c r="G61" s="205"/>
    </row>
    <row r="62" spans="1:7" ht="36" customHeight="1" x14ac:dyDescent="0.25">
      <c r="A62" s="200"/>
      <c r="B62" s="201"/>
      <c r="C62" s="202"/>
      <c r="D62" s="203"/>
      <c r="E62" s="201"/>
      <c r="F62" s="204"/>
      <c r="G62" s="205"/>
    </row>
    <row r="63" spans="1:7" ht="13" x14ac:dyDescent="0.25">
      <c r="A63" s="200"/>
      <c r="B63" s="201"/>
      <c r="C63" s="202"/>
      <c r="D63" s="203"/>
      <c r="E63" s="201"/>
      <c r="F63" s="204"/>
      <c r="G63" s="205"/>
    </row>
    <row r="64" spans="1:7" ht="13" x14ac:dyDescent="0.25">
      <c r="A64" s="200"/>
      <c r="B64" s="201"/>
      <c r="C64" s="202"/>
      <c r="D64" s="203"/>
      <c r="E64" s="201"/>
      <c r="F64" s="204"/>
      <c r="G64" s="205"/>
    </row>
    <row r="65" spans="1:7" ht="44.25" customHeight="1" x14ac:dyDescent="0.25">
      <c r="A65" s="200"/>
      <c r="B65" s="201"/>
      <c r="C65" s="202"/>
      <c r="D65" s="203"/>
      <c r="E65" s="201"/>
      <c r="F65" s="204"/>
      <c r="G65" s="205"/>
    </row>
    <row r="66" spans="1:7" ht="13" x14ac:dyDescent="0.25">
      <c r="A66" s="200"/>
      <c r="B66" s="201"/>
      <c r="C66" s="202"/>
      <c r="D66" s="203"/>
      <c r="E66" s="201"/>
      <c r="F66" s="204"/>
      <c r="G66" s="205"/>
    </row>
    <row r="67" spans="1:7" ht="13" x14ac:dyDescent="0.25">
      <c r="A67" s="200"/>
      <c r="B67" s="201"/>
      <c r="C67" s="202"/>
      <c r="D67" s="203"/>
      <c r="E67" s="201"/>
      <c r="F67" s="204"/>
      <c r="G67" s="205"/>
    </row>
    <row r="68" spans="1:7" ht="46.5" customHeight="1" x14ac:dyDescent="0.25">
      <c r="A68" s="200"/>
      <c r="B68" s="201"/>
      <c r="C68" s="202"/>
      <c r="D68" s="203"/>
      <c r="E68" s="201"/>
      <c r="F68" s="204"/>
      <c r="G68" s="205"/>
    </row>
    <row r="69" spans="1:7" ht="13" x14ac:dyDescent="0.25">
      <c r="A69" s="200"/>
      <c r="B69" s="201"/>
      <c r="C69" s="202"/>
      <c r="D69" s="203"/>
      <c r="E69" s="201"/>
      <c r="F69" s="204"/>
      <c r="G69" s="205"/>
    </row>
    <row r="70" spans="1:7" ht="13" x14ac:dyDescent="0.25">
      <c r="A70" s="200"/>
      <c r="B70" s="201"/>
      <c r="C70" s="202"/>
      <c r="D70" s="203"/>
      <c r="E70" s="201"/>
      <c r="F70" s="204"/>
      <c r="G70" s="205"/>
    </row>
    <row r="71" spans="1:7" ht="44.25" customHeight="1" x14ac:dyDescent="0.25">
      <c r="A71" s="200"/>
      <c r="B71" s="201"/>
      <c r="C71" s="202"/>
      <c r="D71" s="203"/>
      <c r="E71" s="206"/>
      <c r="F71" s="204"/>
      <c r="G71" s="205"/>
    </row>
    <row r="72" spans="1:7" ht="13" x14ac:dyDescent="0.25">
      <c r="A72" s="200"/>
      <c r="B72" s="201"/>
      <c r="C72" s="202"/>
      <c r="D72" s="203"/>
      <c r="E72" s="206"/>
      <c r="F72" s="204"/>
      <c r="G72" s="205"/>
    </row>
    <row r="73" spans="1:7" ht="13" x14ac:dyDescent="0.25">
      <c r="A73" s="200"/>
      <c r="B73" s="201"/>
      <c r="C73" s="202"/>
      <c r="D73" s="203"/>
      <c r="E73" s="206"/>
      <c r="F73" s="204"/>
      <c r="G73" s="205"/>
    </row>
    <row r="74" spans="1:7" ht="60" customHeight="1" x14ac:dyDescent="0.25">
      <c r="A74" s="200"/>
      <c r="B74" s="201"/>
      <c r="C74" s="202"/>
      <c r="D74" s="209"/>
      <c r="E74" s="206"/>
      <c r="F74" s="204"/>
      <c r="G74" s="205"/>
    </row>
    <row r="75" spans="1:7" ht="13" x14ac:dyDescent="0.25">
      <c r="A75" s="200"/>
      <c r="B75" s="201"/>
      <c r="C75" s="202"/>
      <c r="D75" s="209"/>
      <c r="E75" s="206"/>
      <c r="F75" s="204"/>
      <c r="G75" s="205"/>
    </row>
    <row r="76" spans="1:7" ht="13" x14ac:dyDescent="0.25">
      <c r="A76" s="200"/>
      <c r="B76" s="201"/>
      <c r="C76" s="202"/>
      <c r="D76" s="209"/>
      <c r="E76" s="206"/>
      <c r="F76" s="204"/>
      <c r="G76" s="205"/>
    </row>
    <row r="77" spans="1:7" ht="48" customHeight="1" x14ac:dyDescent="0.25">
      <c r="A77" s="200"/>
      <c r="B77" s="201"/>
      <c r="C77" s="202"/>
      <c r="D77" s="203"/>
      <c r="E77" s="201"/>
      <c r="F77" s="204"/>
      <c r="G77" s="205"/>
    </row>
    <row r="78" spans="1:7" ht="13" x14ac:dyDescent="0.25">
      <c r="A78" s="200"/>
      <c r="B78" s="201"/>
      <c r="C78" s="202"/>
      <c r="D78" s="203"/>
      <c r="E78" s="201"/>
      <c r="F78" s="204"/>
      <c r="G78" s="205"/>
    </row>
    <row r="79" spans="1:7" ht="13" x14ac:dyDescent="0.25">
      <c r="A79" s="200"/>
      <c r="B79" s="201"/>
      <c r="C79" s="202"/>
      <c r="D79" s="203"/>
      <c r="E79" s="201"/>
      <c r="F79" s="204"/>
      <c r="G79" s="205"/>
    </row>
  </sheetData>
  <pageMargins left="0.70866141732283472" right="0.70866141732283472"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9"/>
  <sheetViews>
    <sheetView topLeftCell="F1" zoomScale="70" zoomScaleNormal="70" workbookViewId="0">
      <selection activeCell="G8" sqref="G8"/>
    </sheetView>
  </sheetViews>
  <sheetFormatPr defaultRowHeight="12.5" x14ac:dyDescent="0.25"/>
  <cols>
    <col min="1" max="1" width="32.453125" customWidth="1"/>
    <col min="2" max="3" width="12.81640625" customWidth="1"/>
    <col min="4" max="4" width="12.453125" customWidth="1"/>
    <col min="5" max="5" width="19.453125" customWidth="1"/>
    <col min="6" max="6" width="19.54296875" customWidth="1"/>
    <col min="8" max="8" width="3.81640625" customWidth="1"/>
    <col min="28" max="28" width="1.453125" customWidth="1"/>
    <col min="29" max="29" width="1.1796875" customWidth="1"/>
    <col min="30" max="30" width="1" customWidth="1"/>
    <col min="31" max="31" width="13.1796875" customWidth="1"/>
    <col min="32" max="32" width="72.81640625" customWidth="1"/>
    <col min="33" max="33" width="72.54296875" customWidth="1"/>
  </cols>
  <sheetData>
    <row r="1" spans="1:33" ht="45.75" customHeight="1" x14ac:dyDescent="0.25">
      <c r="A1" s="180" t="s">
        <v>221</v>
      </c>
      <c r="B1" s="181" t="s">
        <v>127</v>
      </c>
      <c r="C1" s="182" t="s">
        <v>222</v>
      </c>
      <c r="D1" s="183" t="s">
        <v>431</v>
      </c>
      <c r="E1" s="106" t="s">
        <v>370</v>
      </c>
      <c r="F1" s="184" t="s">
        <v>229</v>
      </c>
      <c r="G1" s="185" t="s">
        <v>223</v>
      </c>
      <c r="AE1" s="102"/>
      <c r="AF1" s="243" t="s">
        <v>115</v>
      </c>
      <c r="AG1" s="107" t="s">
        <v>114</v>
      </c>
    </row>
    <row r="2" spans="1:33" ht="18.75" customHeight="1" x14ac:dyDescent="0.25">
      <c r="A2" s="93" t="s">
        <v>427</v>
      </c>
      <c r="B2" s="171" t="s">
        <v>317</v>
      </c>
      <c r="C2" s="171" t="s">
        <v>73</v>
      </c>
      <c r="D2" s="190">
        <f>'srovnání účinností'!G19</f>
        <v>223725.28914000001</v>
      </c>
      <c r="E2" s="191">
        <v>3.5</v>
      </c>
      <c r="F2" s="239">
        <f>PRODUCT(D2,E2)</f>
        <v>783038.51199000003</v>
      </c>
      <c r="G2" s="186">
        <v>1</v>
      </c>
      <c r="AE2" s="466" t="s">
        <v>392</v>
      </c>
      <c r="AF2" s="475" t="s">
        <v>397</v>
      </c>
      <c r="AG2" s="478" t="s">
        <v>409</v>
      </c>
    </row>
    <row r="3" spans="1:33" ht="13.5" customHeight="1" x14ac:dyDescent="0.25">
      <c r="A3" s="187" t="s">
        <v>224</v>
      </c>
      <c r="B3" s="188"/>
      <c r="C3" s="189"/>
      <c r="D3" s="190"/>
      <c r="E3" s="377">
        <v>3</v>
      </c>
      <c r="F3" s="239">
        <f>PRODUCT(D2,E3)</f>
        <v>671175.86742000002</v>
      </c>
      <c r="G3" s="186">
        <v>1</v>
      </c>
      <c r="AE3" s="467"/>
      <c r="AF3" s="476"/>
      <c r="AG3" s="479"/>
    </row>
    <row r="4" spans="1:33" ht="12.75" customHeight="1" x14ac:dyDescent="0.25">
      <c r="A4" s="187" t="s">
        <v>225</v>
      </c>
      <c r="B4" s="188"/>
      <c r="C4" s="189"/>
      <c r="D4" s="190"/>
      <c r="E4" s="191">
        <v>4.2</v>
      </c>
      <c r="F4" s="239">
        <f>PRODUCT(D2,E4)</f>
        <v>939646.21438800008</v>
      </c>
      <c r="G4" s="186">
        <v>1</v>
      </c>
      <c r="AE4" s="467"/>
      <c r="AF4" s="476"/>
      <c r="AG4" s="479"/>
    </row>
    <row r="5" spans="1:33" ht="16.5" customHeight="1" x14ac:dyDescent="0.25">
      <c r="A5" s="210" t="s">
        <v>357</v>
      </c>
      <c r="B5" s="211" t="s">
        <v>17</v>
      </c>
      <c r="C5" s="211" t="s">
        <v>38</v>
      </c>
      <c r="D5" s="212">
        <f>'srovnání účinností'!G18</f>
        <v>135044</v>
      </c>
      <c r="E5" s="213">
        <v>3.3</v>
      </c>
      <c r="F5" s="239">
        <f t="shared" ref="F5" si="0">PRODUCT(D5,E5)</f>
        <v>445645.19999999995</v>
      </c>
      <c r="G5" s="186">
        <v>2</v>
      </c>
      <c r="AE5" s="468"/>
      <c r="AF5" s="477"/>
      <c r="AG5" s="480"/>
    </row>
    <row r="6" spans="1:33" ht="17.25" customHeight="1" x14ac:dyDescent="0.25">
      <c r="A6" s="214" t="s">
        <v>224</v>
      </c>
      <c r="B6" s="215"/>
      <c r="C6" s="216"/>
      <c r="D6" s="212"/>
      <c r="E6" s="378">
        <v>2</v>
      </c>
      <c r="F6" s="239">
        <f t="shared" ref="F6" si="1">PRODUCT(D5,E6)</f>
        <v>270088</v>
      </c>
      <c r="G6" s="186">
        <v>2</v>
      </c>
      <c r="AE6" s="466" t="s">
        <v>393</v>
      </c>
      <c r="AF6" s="481" t="s">
        <v>399</v>
      </c>
      <c r="AG6" s="478" t="s">
        <v>454</v>
      </c>
    </row>
    <row r="7" spans="1:33" ht="18.75" customHeight="1" x14ac:dyDescent="0.25">
      <c r="A7" s="214" t="s">
        <v>225</v>
      </c>
      <c r="B7" s="215"/>
      <c r="C7" s="216"/>
      <c r="D7" s="212"/>
      <c r="E7" s="213">
        <v>8.6</v>
      </c>
      <c r="F7" s="239">
        <f t="shared" ref="F7" si="2">PRODUCT(D5,E7)</f>
        <v>1161378.3999999999</v>
      </c>
      <c r="G7" s="186">
        <v>2</v>
      </c>
      <c r="AE7" s="467"/>
      <c r="AF7" s="482"/>
      <c r="AG7" s="479"/>
    </row>
    <row r="8" spans="1:33" ht="31.5" customHeight="1" x14ac:dyDescent="0.25">
      <c r="A8" s="169" t="s">
        <v>436</v>
      </c>
      <c r="B8" s="171" t="s">
        <v>17</v>
      </c>
      <c r="C8" s="171" t="s">
        <v>38</v>
      </c>
      <c r="D8" s="190">
        <f>'srovnání účinností'!G7</f>
        <v>51504.299999999996</v>
      </c>
      <c r="E8" s="375">
        <v>3.3</v>
      </c>
      <c r="F8" s="239">
        <f t="shared" ref="F8" si="3">PRODUCT(D8,E8)</f>
        <v>169964.18999999997</v>
      </c>
      <c r="G8" s="186">
        <v>3</v>
      </c>
      <c r="AE8" s="467"/>
      <c r="AF8" s="482"/>
      <c r="AG8" s="479"/>
    </row>
    <row r="9" spans="1:33" ht="20.25" customHeight="1" x14ac:dyDescent="0.25">
      <c r="A9" s="187" t="s">
        <v>224</v>
      </c>
      <c r="B9" s="188"/>
      <c r="C9" s="189"/>
      <c r="D9" s="190"/>
      <c r="E9" s="379">
        <v>2</v>
      </c>
      <c r="F9" s="239">
        <f t="shared" ref="F9" si="4">PRODUCT(D8,E9)</f>
        <v>103008.59999999999</v>
      </c>
      <c r="G9" s="186">
        <v>3</v>
      </c>
      <c r="AE9" s="468"/>
      <c r="AF9" s="483"/>
      <c r="AG9" s="480"/>
    </row>
    <row r="10" spans="1:33" ht="16.5" customHeight="1" x14ac:dyDescent="0.25">
      <c r="A10" s="187" t="s">
        <v>225</v>
      </c>
      <c r="B10" s="188"/>
      <c r="C10" s="189"/>
      <c r="D10" s="190"/>
      <c r="E10" s="375">
        <v>8.6</v>
      </c>
      <c r="F10" s="239">
        <f t="shared" ref="F10" si="5">PRODUCT(D8,E10)</f>
        <v>442936.97999999992</v>
      </c>
      <c r="G10" s="186">
        <v>3</v>
      </c>
      <c r="AE10" s="466" t="s">
        <v>394</v>
      </c>
      <c r="AF10" s="469" t="s">
        <v>398</v>
      </c>
      <c r="AG10" s="472" t="s">
        <v>388</v>
      </c>
    </row>
    <row r="11" spans="1:33" ht="23.25" customHeight="1" x14ac:dyDescent="0.25">
      <c r="A11" s="224" t="s">
        <v>230</v>
      </c>
      <c r="B11" s="225" t="s">
        <v>81</v>
      </c>
      <c r="C11" s="226" t="s">
        <v>80</v>
      </c>
      <c r="D11" s="227">
        <f>'srovnání účinností'!G5</f>
        <v>237231.64607999998</v>
      </c>
      <c r="E11" s="228">
        <v>1.8</v>
      </c>
      <c r="F11" s="239">
        <f t="shared" ref="F11" si="6">PRODUCT(D11,E11)</f>
        <v>427016.96294399997</v>
      </c>
      <c r="G11" s="186">
        <v>4</v>
      </c>
      <c r="AE11" s="467"/>
      <c r="AF11" s="470"/>
      <c r="AG11" s="473"/>
    </row>
    <row r="12" spans="1:33" ht="22.5" customHeight="1" x14ac:dyDescent="0.25">
      <c r="A12" s="229" t="s">
        <v>224</v>
      </c>
      <c r="B12" s="230"/>
      <c r="C12" s="231"/>
      <c r="D12" s="227"/>
      <c r="E12" s="228">
        <v>1.6</v>
      </c>
      <c r="F12" s="239">
        <f t="shared" ref="F12" si="7">PRODUCT(D11,E12)</f>
        <v>379570.63372799999</v>
      </c>
      <c r="G12" s="186">
        <v>4</v>
      </c>
      <c r="AE12" s="468"/>
      <c r="AF12" s="471"/>
      <c r="AG12" s="474"/>
    </row>
    <row r="13" spans="1:33" ht="16.5" customHeight="1" x14ac:dyDescent="0.25">
      <c r="A13" s="229" t="s">
        <v>225</v>
      </c>
      <c r="B13" s="230"/>
      <c r="C13" s="231"/>
      <c r="D13" s="227"/>
      <c r="E13" s="380">
        <v>2</v>
      </c>
      <c r="F13" s="239">
        <f t="shared" ref="F13" si="8">PRODUCT(D11,E13)</f>
        <v>474463.29215999995</v>
      </c>
      <c r="G13" s="186">
        <v>4</v>
      </c>
      <c r="AE13" s="484" t="s">
        <v>389</v>
      </c>
      <c r="AF13" s="487" t="s">
        <v>450</v>
      </c>
      <c r="AG13" s="490" t="s">
        <v>407</v>
      </c>
    </row>
    <row r="14" spans="1:33" ht="20.25" customHeight="1" x14ac:dyDescent="0.25">
      <c r="A14" s="198" t="s">
        <v>231</v>
      </c>
      <c r="B14" s="199" t="s">
        <v>146</v>
      </c>
      <c r="C14" s="199" t="s">
        <v>73</v>
      </c>
      <c r="D14" s="196">
        <f>'srovnání účinností'!G16</f>
        <v>258704.13762000002</v>
      </c>
      <c r="E14" s="197">
        <v>1.5</v>
      </c>
      <c r="F14" s="239">
        <f t="shared" ref="F14" si="9">PRODUCT(D14,E14)</f>
        <v>388056.20643000002</v>
      </c>
      <c r="G14" s="186">
        <v>5</v>
      </c>
      <c r="AE14" s="485"/>
      <c r="AF14" s="488"/>
      <c r="AG14" s="491"/>
    </row>
    <row r="15" spans="1:33" ht="39" customHeight="1" x14ac:dyDescent="0.25">
      <c r="A15" s="193" t="s">
        <v>224</v>
      </c>
      <c r="B15" s="194"/>
      <c r="C15" s="195"/>
      <c r="D15" s="196"/>
      <c r="E15" s="197">
        <v>1.4</v>
      </c>
      <c r="F15" s="239">
        <f t="shared" ref="F15" si="10">PRODUCT(D14,E15)</f>
        <v>362185.79266800004</v>
      </c>
      <c r="G15" s="186">
        <v>5</v>
      </c>
      <c r="AE15" s="486"/>
      <c r="AF15" s="489"/>
      <c r="AG15" s="492"/>
    </row>
    <row r="16" spans="1:33" ht="17.25" customHeight="1" x14ac:dyDescent="0.25">
      <c r="A16" s="193" t="s">
        <v>225</v>
      </c>
      <c r="B16" s="194"/>
      <c r="C16" s="195"/>
      <c r="D16" s="196"/>
      <c r="E16" s="197">
        <v>1.7</v>
      </c>
      <c r="F16" s="239">
        <f t="shared" ref="F16" si="11">PRODUCT(D14,E16)</f>
        <v>439797.03395400004</v>
      </c>
      <c r="G16" s="186">
        <v>5</v>
      </c>
      <c r="AE16" s="466" t="s">
        <v>390</v>
      </c>
      <c r="AF16" s="493" t="s">
        <v>449</v>
      </c>
      <c r="AG16" s="472" t="s">
        <v>446</v>
      </c>
    </row>
    <row r="17" spans="1:33" ht="18.75" customHeight="1" x14ac:dyDescent="0.25">
      <c r="A17" s="224" t="s">
        <v>232</v>
      </c>
      <c r="B17" s="225" t="s">
        <v>96</v>
      </c>
      <c r="C17" s="225" t="s">
        <v>89</v>
      </c>
      <c r="D17" s="227">
        <f>'srovnání účinností'!G6</f>
        <v>273294.63199999998</v>
      </c>
      <c r="E17" s="228">
        <v>2.1</v>
      </c>
      <c r="F17" s="239">
        <f t="shared" ref="F17" si="12">PRODUCT(D17,E17)</f>
        <v>573918.72719999996</v>
      </c>
      <c r="G17" s="186">
        <v>6</v>
      </c>
      <c r="AE17" s="467"/>
      <c r="AF17" s="494"/>
      <c r="AG17" s="473"/>
    </row>
    <row r="18" spans="1:33" ht="16.5" customHeight="1" x14ac:dyDescent="0.25">
      <c r="A18" s="229" t="s">
        <v>224</v>
      </c>
      <c r="B18" s="230"/>
      <c r="C18" s="231"/>
      <c r="D18" s="227"/>
      <c r="E18" s="228">
        <v>1.7</v>
      </c>
      <c r="F18" s="239">
        <f t="shared" ref="F18" si="13">PRODUCT(D17,E18)</f>
        <v>464600.87439999997</v>
      </c>
      <c r="G18" s="186">
        <v>6</v>
      </c>
      <c r="AE18" s="467"/>
      <c r="AF18" s="494"/>
      <c r="AG18" s="473"/>
    </row>
    <row r="19" spans="1:33" ht="22.5" customHeight="1" x14ac:dyDescent="0.25">
      <c r="A19" s="229" t="s">
        <v>225</v>
      </c>
      <c r="B19" s="230"/>
      <c r="C19" s="231"/>
      <c r="D19" s="227"/>
      <c r="E19" s="228">
        <v>2.7</v>
      </c>
      <c r="F19" s="239">
        <f t="shared" ref="F19" si="14">PRODUCT(D17,E19)</f>
        <v>737895.50639999995</v>
      </c>
      <c r="G19" s="186">
        <v>6</v>
      </c>
      <c r="AE19" s="468"/>
      <c r="AF19" s="495"/>
      <c r="AG19" s="474"/>
    </row>
    <row r="20" spans="1:33" ht="27" customHeight="1" x14ac:dyDescent="0.25">
      <c r="A20" s="198" t="s">
        <v>373</v>
      </c>
      <c r="B20" s="199" t="s">
        <v>74</v>
      </c>
      <c r="C20" s="199" t="s">
        <v>73</v>
      </c>
      <c r="D20" s="196">
        <f>'srovnání účinností'!G8</f>
        <v>309014.78700000001</v>
      </c>
      <c r="E20" s="197">
        <v>1.8</v>
      </c>
      <c r="F20" s="239">
        <f t="shared" ref="F20" si="15">PRODUCT(D20,E20)</f>
        <v>556226.61660000007</v>
      </c>
      <c r="G20" s="186">
        <v>7</v>
      </c>
      <c r="AE20" s="484" t="s">
        <v>400</v>
      </c>
      <c r="AF20" s="487" t="s">
        <v>451</v>
      </c>
      <c r="AG20" s="490" t="s">
        <v>453</v>
      </c>
    </row>
    <row r="21" spans="1:33" ht="13" x14ac:dyDescent="0.25">
      <c r="A21" s="193" t="s">
        <v>224</v>
      </c>
      <c r="B21" s="194"/>
      <c r="C21" s="195"/>
      <c r="D21" s="196"/>
      <c r="E21" s="197">
        <v>1.6</v>
      </c>
      <c r="F21" s="239">
        <f t="shared" ref="F21" si="16">PRODUCT(D20,E21)</f>
        <v>494423.65920000005</v>
      </c>
      <c r="G21" s="186">
        <v>7</v>
      </c>
      <c r="AE21" s="485"/>
      <c r="AF21" s="488"/>
      <c r="AG21" s="491"/>
    </row>
    <row r="22" spans="1:33" ht="13" x14ac:dyDescent="0.25">
      <c r="A22" s="193" t="s">
        <v>225</v>
      </c>
      <c r="B22" s="194"/>
      <c r="C22" s="195"/>
      <c r="D22" s="196"/>
      <c r="E22" s="197">
        <v>2.1</v>
      </c>
      <c r="F22" s="239">
        <f t="shared" ref="F22" si="17">PRODUCT(D20,E22)</f>
        <v>648931.0527</v>
      </c>
      <c r="G22" s="186">
        <v>7</v>
      </c>
      <c r="AE22" s="485"/>
      <c r="AF22" s="488"/>
      <c r="AG22" s="491"/>
    </row>
    <row r="23" spans="1:33" ht="30.75" customHeight="1" x14ac:dyDescent="0.25">
      <c r="A23" s="93" t="s">
        <v>358</v>
      </c>
      <c r="B23" s="171" t="s">
        <v>315</v>
      </c>
      <c r="C23" s="170" t="s">
        <v>346</v>
      </c>
      <c r="D23" s="190">
        <f>'srovnání účinností'!G20</f>
        <v>248890.04321999999</v>
      </c>
      <c r="E23" s="191">
        <v>1.75</v>
      </c>
      <c r="F23" s="239">
        <f t="shared" ref="F23" si="18">PRODUCT(D23,E23)</f>
        <v>435557.57563500002</v>
      </c>
      <c r="G23" s="186">
        <v>8</v>
      </c>
      <c r="AE23" s="486"/>
      <c r="AF23" s="489"/>
      <c r="AG23" s="492"/>
    </row>
    <row r="24" spans="1:33" ht="13" x14ac:dyDescent="0.25">
      <c r="A24" s="187" t="s">
        <v>224</v>
      </c>
      <c r="B24" s="188"/>
      <c r="C24" s="189"/>
      <c r="D24" s="190"/>
      <c r="E24" s="191">
        <v>1.5</v>
      </c>
      <c r="F24" s="239">
        <f t="shared" ref="F24" si="19">PRODUCT(D23,E24)</f>
        <v>373335.06482999999</v>
      </c>
      <c r="G24" s="186">
        <v>8</v>
      </c>
      <c r="AE24" s="484" t="s">
        <v>391</v>
      </c>
      <c r="AF24" s="487" t="s">
        <v>452</v>
      </c>
      <c r="AG24" s="490" t="s">
        <v>396</v>
      </c>
    </row>
    <row r="25" spans="1:33" ht="13" x14ac:dyDescent="0.25">
      <c r="A25" s="187" t="s">
        <v>225</v>
      </c>
      <c r="B25" s="188"/>
      <c r="C25" s="189"/>
      <c r="D25" s="190"/>
      <c r="E25" s="377">
        <v>2</v>
      </c>
      <c r="F25" s="239">
        <f t="shared" ref="F25" si="20">PRODUCT(D23,E25)</f>
        <v>497780.08643999998</v>
      </c>
      <c r="G25" s="186">
        <v>8</v>
      </c>
      <c r="AE25" s="485"/>
      <c r="AF25" s="488"/>
      <c r="AG25" s="491"/>
    </row>
    <row r="26" spans="1:33" ht="23" x14ac:dyDescent="0.25">
      <c r="A26" s="217" t="s">
        <v>233</v>
      </c>
      <c r="B26" s="218" t="s">
        <v>51</v>
      </c>
      <c r="C26" s="218" t="s">
        <v>38</v>
      </c>
      <c r="D26" s="219">
        <f>'srovnání účinností'!G13</f>
        <v>113567.66420999999</v>
      </c>
      <c r="E26" s="220">
        <v>3.5</v>
      </c>
      <c r="F26" s="239">
        <f t="shared" ref="F26" si="21">PRODUCT(D26,E26)</f>
        <v>397486.82473499997</v>
      </c>
      <c r="G26" s="186">
        <v>9</v>
      </c>
      <c r="AE26" s="485"/>
      <c r="AF26" s="488"/>
      <c r="AG26" s="491"/>
    </row>
    <row r="27" spans="1:33" ht="13.5" customHeight="1" x14ac:dyDescent="0.25">
      <c r="A27" s="221" t="s">
        <v>224</v>
      </c>
      <c r="B27" s="222"/>
      <c r="C27" s="223"/>
      <c r="D27" s="219"/>
      <c r="E27" s="220">
        <v>3.2</v>
      </c>
      <c r="F27" s="239">
        <f t="shared" ref="F27" si="22">PRODUCT(D26,E27)</f>
        <v>363416.52547200001</v>
      </c>
      <c r="G27" s="186">
        <v>9</v>
      </c>
      <c r="AE27" s="486"/>
      <c r="AF27" s="489"/>
      <c r="AG27" s="492"/>
    </row>
    <row r="28" spans="1:33" ht="12.75" customHeight="1" x14ac:dyDescent="0.25">
      <c r="A28" s="221" t="s">
        <v>225</v>
      </c>
      <c r="B28" s="222"/>
      <c r="C28" s="223"/>
      <c r="D28" s="219"/>
      <c r="E28" s="220">
        <v>4.5999999999999996</v>
      </c>
      <c r="F28" s="239">
        <f t="shared" ref="F28" si="23">PRODUCT(D26,E28)</f>
        <v>522411.25536599988</v>
      </c>
      <c r="G28" s="186">
        <v>9</v>
      </c>
      <c r="I28" s="506"/>
      <c r="J28" s="506"/>
      <c r="K28" s="506"/>
      <c r="L28" s="506"/>
      <c r="M28" s="506"/>
      <c r="N28" s="506"/>
      <c r="O28" s="506"/>
      <c r="P28" s="506"/>
      <c r="Q28" s="506"/>
      <c r="R28" s="506"/>
      <c r="S28" s="506"/>
      <c r="T28" s="506"/>
      <c r="U28" s="506"/>
      <c r="V28" s="506"/>
      <c r="W28" s="506"/>
      <c r="X28" s="506"/>
      <c r="Y28" s="506"/>
      <c r="Z28" s="506"/>
      <c r="AA28" s="506"/>
      <c r="AB28" s="506"/>
      <c r="AC28" s="506"/>
      <c r="AE28" s="466" t="s">
        <v>401</v>
      </c>
      <c r="AF28" s="469" t="s">
        <v>402</v>
      </c>
      <c r="AG28" s="472" t="s">
        <v>411</v>
      </c>
    </row>
    <row r="29" spans="1:33" ht="21" customHeight="1" x14ac:dyDescent="0.25">
      <c r="A29" s="224" t="s">
        <v>234</v>
      </c>
      <c r="B29" s="225" t="s">
        <v>90</v>
      </c>
      <c r="C29" s="225" t="s">
        <v>89</v>
      </c>
      <c r="D29" s="227">
        <f>'srovnání účinností'!G9</f>
        <v>248258.68800000002</v>
      </c>
      <c r="E29" s="228">
        <v>2.4</v>
      </c>
      <c r="F29" s="239">
        <f t="shared" ref="F29" si="24">PRODUCT(D29,E29)</f>
        <v>595820.85120000003</v>
      </c>
      <c r="G29" s="186">
        <v>10</v>
      </c>
      <c r="I29" s="506"/>
      <c r="J29" s="506"/>
      <c r="K29" s="506"/>
      <c r="L29" s="506"/>
      <c r="M29" s="506"/>
      <c r="N29" s="506"/>
      <c r="O29" s="506"/>
      <c r="P29" s="506"/>
      <c r="Q29" s="506"/>
      <c r="R29" s="506"/>
      <c r="S29" s="506"/>
      <c r="T29" s="506"/>
      <c r="U29" s="506"/>
      <c r="V29" s="506"/>
      <c r="W29" s="506"/>
      <c r="X29" s="506"/>
      <c r="Y29" s="506"/>
      <c r="Z29" s="506"/>
      <c r="AA29" s="506"/>
      <c r="AB29" s="506"/>
      <c r="AC29" s="506"/>
      <c r="AE29" s="467"/>
      <c r="AF29" s="470"/>
      <c r="AG29" s="473"/>
    </row>
    <row r="30" spans="1:33" ht="13.5" customHeight="1" x14ac:dyDescent="0.25">
      <c r="A30" s="229" t="s">
        <v>224</v>
      </c>
      <c r="B30" s="230"/>
      <c r="C30" s="231"/>
      <c r="D30" s="227"/>
      <c r="E30" s="228">
        <v>2.2000000000000002</v>
      </c>
      <c r="F30" s="239">
        <f t="shared" ref="F30" si="25">PRODUCT(D29,E30)</f>
        <v>546169.11360000004</v>
      </c>
      <c r="G30" s="186">
        <v>10</v>
      </c>
      <c r="I30" s="506"/>
      <c r="J30" s="506"/>
      <c r="K30" s="506"/>
      <c r="L30" s="506"/>
      <c r="M30" s="506"/>
      <c r="N30" s="506"/>
      <c r="O30" s="506"/>
      <c r="P30" s="506"/>
      <c r="Q30" s="506"/>
      <c r="R30" s="506"/>
      <c r="S30" s="506"/>
      <c r="T30" s="506"/>
      <c r="U30" s="506"/>
      <c r="V30" s="506"/>
      <c r="W30" s="506"/>
      <c r="X30" s="506"/>
      <c r="Y30" s="506"/>
      <c r="Z30" s="506"/>
      <c r="AA30" s="506"/>
      <c r="AB30" s="506"/>
      <c r="AC30" s="506"/>
      <c r="AE30" s="467"/>
      <c r="AF30" s="470"/>
      <c r="AG30" s="473"/>
    </row>
    <row r="31" spans="1:33" ht="15" customHeight="1" x14ac:dyDescent="0.25">
      <c r="A31" s="229" t="s">
        <v>225</v>
      </c>
      <c r="B31" s="230"/>
      <c r="C31" s="231"/>
      <c r="D31" s="227"/>
      <c r="E31" s="228">
        <v>2.7</v>
      </c>
      <c r="F31" s="239">
        <f t="shared" ref="F31" si="26">PRODUCT(D29,E31)</f>
        <v>670298.45760000008</v>
      </c>
      <c r="G31" s="186">
        <v>10</v>
      </c>
      <c r="AE31" s="468"/>
      <c r="AF31" s="471"/>
      <c r="AG31" s="474"/>
    </row>
    <row r="32" spans="1:33" ht="35.25" customHeight="1" x14ac:dyDescent="0.25">
      <c r="A32" s="169" t="s">
        <v>371</v>
      </c>
      <c r="B32" s="171" t="s">
        <v>19</v>
      </c>
      <c r="C32" s="171" t="s">
        <v>38</v>
      </c>
      <c r="D32" s="190">
        <f>'srovnání účinností'!G11</f>
        <v>77168</v>
      </c>
      <c r="E32" s="191">
        <v>5.9</v>
      </c>
      <c r="F32" s="239">
        <f t="shared" ref="F32" si="27">PRODUCT(D32,E32)</f>
        <v>455291.2</v>
      </c>
      <c r="G32" s="186">
        <v>13</v>
      </c>
      <c r="AE32" s="466" t="s">
        <v>403</v>
      </c>
      <c r="AF32" s="481" t="s">
        <v>404</v>
      </c>
      <c r="AG32" s="478" t="s">
        <v>406</v>
      </c>
    </row>
    <row r="33" spans="1:33" ht="48.75" customHeight="1" x14ac:dyDescent="0.25">
      <c r="A33" s="187" t="s">
        <v>224</v>
      </c>
      <c r="B33" s="188"/>
      <c r="C33" s="189"/>
      <c r="D33" s="190"/>
      <c r="E33" s="191">
        <v>4.4000000000000004</v>
      </c>
      <c r="F33" s="239">
        <f t="shared" ref="F33" si="28">PRODUCT(D32,E33)</f>
        <v>339539.20000000001</v>
      </c>
      <c r="G33" s="186">
        <v>13</v>
      </c>
      <c r="I33" s="502"/>
      <c r="J33" s="503"/>
      <c r="K33" s="503"/>
      <c r="L33" s="503"/>
      <c r="M33" s="503"/>
      <c r="N33" s="503"/>
      <c r="O33" s="503"/>
      <c r="P33" s="503"/>
      <c r="Q33" s="503"/>
      <c r="R33" s="503"/>
      <c r="S33" s="503"/>
      <c r="T33" s="503"/>
      <c r="U33" s="503"/>
      <c r="V33" s="503"/>
      <c r="W33" s="503"/>
      <c r="X33" s="503"/>
      <c r="Y33" s="503"/>
      <c r="Z33" s="503"/>
      <c r="AA33" s="503"/>
      <c r="AB33" s="503"/>
      <c r="AC33" s="504"/>
      <c r="AE33" s="468"/>
      <c r="AF33" s="483"/>
      <c r="AG33" s="480"/>
    </row>
    <row r="34" spans="1:33" ht="22.5" customHeight="1" x14ac:dyDescent="0.25">
      <c r="A34" s="187" t="s">
        <v>225</v>
      </c>
      <c r="B34" s="188"/>
      <c r="C34" s="189"/>
      <c r="D34" s="190"/>
      <c r="E34" s="191">
        <v>8.1</v>
      </c>
      <c r="F34" s="239">
        <f t="shared" ref="F34" si="29">PRODUCT(D32,E34)</f>
        <v>625060.79999999993</v>
      </c>
      <c r="G34" s="186">
        <v>13</v>
      </c>
      <c r="I34" s="505"/>
      <c r="J34" s="506"/>
      <c r="K34" s="506"/>
      <c r="L34" s="506"/>
      <c r="M34" s="506"/>
      <c r="N34" s="506"/>
      <c r="O34" s="506"/>
      <c r="P34" s="506"/>
      <c r="Q34" s="506"/>
      <c r="R34" s="506"/>
      <c r="S34" s="506"/>
      <c r="T34" s="506"/>
      <c r="U34" s="506"/>
      <c r="V34" s="506"/>
      <c r="W34" s="506"/>
      <c r="X34" s="506"/>
      <c r="Y34" s="506"/>
      <c r="Z34" s="506"/>
      <c r="AA34" s="506"/>
      <c r="AB34" s="506"/>
      <c r="AC34" s="507"/>
      <c r="AE34" s="466" t="s">
        <v>405</v>
      </c>
      <c r="AF34" s="496" t="s">
        <v>408</v>
      </c>
      <c r="AG34" s="499" t="s">
        <v>416</v>
      </c>
    </row>
    <row r="35" spans="1:33" ht="30" customHeight="1" x14ac:dyDescent="0.25">
      <c r="A35" s="232" t="s">
        <v>251</v>
      </c>
      <c r="B35" s="233" t="s">
        <v>105</v>
      </c>
      <c r="C35" s="233" t="s">
        <v>104</v>
      </c>
      <c r="D35" s="234">
        <f>'srovnání účinností'!G12</f>
        <v>267809.42769000004</v>
      </c>
      <c r="E35" s="235">
        <v>3.3</v>
      </c>
      <c r="F35" s="239">
        <f t="shared" ref="F35" si="30">PRODUCT(D35,E35)</f>
        <v>883771.11137700011</v>
      </c>
      <c r="G35" s="186">
        <v>11</v>
      </c>
      <c r="I35" s="508"/>
      <c r="J35" s="509"/>
      <c r="K35" s="509"/>
      <c r="L35" s="509"/>
      <c r="M35" s="509"/>
      <c r="N35" s="509"/>
      <c r="O35" s="509"/>
      <c r="P35" s="509"/>
      <c r="Q35" s="509"/>
      <c r="R35" s="509"/>
      <c r="S35" s="509"/>
      <c r="T35" s="509"/>
      <c r="U35" s="509"/>
      <c r="V35" s="509"/>
      <c r="W35" s="509"/>
      <c r="X35" s="509"/>
      <c r="Y35" s="509"/>
      <c r="Z35" s="509"/>
      <c r="AA35" s="509"/>
      <c r="AB35" s="509"/>
      <c r="AC35" s="510"/>
      <c r="AE35" s="467"/>
      <c r="AF35" s="497"/>
      <c r="AG35" s="500"/>
    </row>
    <row r="36" spans="1:33" ht="44.25" customHeight="1" x14ac:dyDescent="0.25">
      <c r="A36" s="236" t="s">
        <v>224</v>
      </c>
      <c r="B36" s="237"/>
      <c r="C36" s="238"/>
      <c r="D36" s="234"/>
      <c r="E36" s="235">
        <v>3.05</v>
      </c>
      <c r="F36" s="239">
        <f t="shared" ref="F36" si="31">PRODUCT(D35,E36)</f>
        <v>816818.75445450004</v>
      </c>
      <c r="G36" s="186">
        <v>11</v>
      </c>
      <c r="AE36" s="468"/>
      <c r="AF36" s="498"/>
      <c r="AG36" s="501"/>
    </row>
    <row r="37" spans="1:33" ht="37.5" customHeight="1" x14ac:dyDescent="0.25">
      <c r="A37" s="236" t="s">
        <v>225</v>
      </c>
      <c r="B37" s="237"/>
      <c r="C37" s="238"/>
      <c r="D37" s="234"/>
      <c r="E37" s="235">
        <v>3.5</v>
      </c>
      <c r="F37" s="239">
        <f t="shared" ref="F37" si="32">PRODUCT(D35,E37)</f>
        <v>937332.99691500014</v>
      </c>
      <c r="G37" s="186">
        <v>11</v>
      </c>
      <c r="AE37" s="466" t="s">
        <v>395</v>
      </c>
      <c r="AF37" s="475" t="s">
        <v>412</v>
      </c>
      <c r="AG37" s="478" t="s">
        <v>410</v>
      </c>
    </row>
    <row r="38" spans="1:33" ht="41.25" customHeight="1" x14ac:dyDescent="0.25">
      <c r="A38" s="169" t="s">
        <v>235</v>
      </c>
      <c r="B38" s="171" t="s">
        <v>51</v>
      </c>
      <c r="C38" s="171" t="s">
        <v>38</v>
      </c>
      <c r="D38" s="190">
        <f>'srovnání účinností'!G14</f>
        <v>251534.13999999998</v>
      </c>
      <c r="E38" s="191">
        <v>2.9</v>
      </c>
      <c r="F38" s="239">
        <f t="shared" ref="F38" si="33">PRODUCT(D38,E38)</f>
        <v>729449.00599999994</v>
      </c>
      <c r="G38" s="186">
        <v>12</v>
      </c>
      <c r="AE38" s="467"/>
      <c r="AF38" s="476"/>
      <c r="AG38" s="479"/>
    </row>
    <row r="39" spans="1:33" ht="30.75" customHeight="1" x14ac:dyDescent="0.25">
      <c r="A39" s="187" t="s">
        <v>224</v>
      </c>
      <c r="B39" s="188"/>
      <c r="C39" s="189"/>
      <c r="D39" s="190"/>
      <c r="E39" s="191">
        <v>2.6</v>
      </c>
      <c r="F39" s="239">
        <f t="shared" ref="F39" si="34">PRODUCT(D38,E39)</f>
        <v>653988.76399999997</v>
      </c>
      <c r="G39" s="186">
        <v>12</v>
      </c>
      <c r="AE39" s="467"/>
      <c r="AF39" s="476"/>
      <c r="AG39" s="479"/>
    </row>
    <row r="40" spans="1:33" ht="30.75" customHeight="1" x14ac:dyDescent="0.25">
      <c r="A40" s="187" t="s">
        <v>225</v>
      </c>
      <c r="B40" s="188"/>
      <c r="C40" s="189"/>
      <c r="D40" s="190"/>
      <c r="E40" s="192">
        <v>4.2</v>
      </c>
      <c r="F40" s="239">
        <f t="shared" ref="F40" si="35">PRODUCT(D38,E40)</f>
        <v>1056443.388</v>
      </c>
      <c r="G40" s="186">
        <v>12</v>
      </c>
      <c r="AE40" s="468"/>
      <c r="AF40" s="477"/>
      <c r="AG40" s="480"/>
    </row>
    <row r="41" spans="1:33" ht="33" customHeight="1" x14ac:dyDescent="0.25">
      <c r="A41" s="200"/>
      <c r="B41" s="201"/>
      <c r="C41" s="202"/>
      <c r="D41" s="203"/>
      <c r="E41" s="201"/>
      <c r="F41" s="204"/>
      <c r="G41" s="205"/>
      <c r="AE41" s="466" t="s">
        <v>413</v>
      </c>
      <c r="AF41" s="469" t="s">
        <v>414</v>
      </c>
      <c r="AG41" s="472" t="s">
        <v>415</v>
      </c>
    </row>
    <row r="42" spans="1:33" ht="26.25" customHeight="1" x14ac:dyDescent="0.25">
      <c r="A42" s="200"/>
      <c r="B42" s="201"/>
      <c r="C42" s="202"/>
      <c r="D42" s="203"/>
      <c r="E42" s="201"/>
      <c r="F42" s="204"/>
      <c r="G42" s="205"/>
      <c r="AE42" s="467"/>
      <c r="AF42" s="470"/>
      <c r="AG42" s="473"/>
    </row>
    <row r="43" spans="1:33" ht="24.75" customHeight="1" x14ac:dyDescent="0.25">
      <c r="A43" s="200"/>
      <c r="B43" s="201"/>
      <c r="C43" s="202"/>
      <c r="D43" s="203"/>
      <c r="E43" s="201"/>
      <c r="F43" s="204"/>
      <c r="G43" s="205"/>
      <c r="AE43" s="467"/>
      <c r="AF43" s="470"/>
      <c r="AG43" s="473"/>
    </row>
    <row r="44" spans="1:33" ht="23.25" customHeight="1" x14ac:dyDescent="0.25">
      <c r="A44" s="200"/>
      <c r="B44" s="201"/>
      <c r="C44" s="202"/>
      <c r="D44" s="203"/>
      <c r="E44" s="206"/>
      <c r="F44" s="204"/>
      <c r="G44" s="205"/>
      <c r="AE44" s="468"/>
      <c r="AF44" s="471"/>
      <c r="AG44" s="474"/>
    </row>
    <row r="45" spans="1:33" ht="12.75" customHeight="1" x14ac:dyDescent="0.25">
      <c r="A45" s="200"/>
      <c r="B45" s="201"/>
      <c r="C45" s="202"/>
      <c r="D45" s="203"/>
      <c r="E45" s="206"/>
      <c r="F45" s="204"/>
      <c r="G45" s="205"/>
      <c r="AE45" s="240"/>
      <c r="AF45" s="242"/>
      <c r="AG45" s="241"/>
    </row>
    <row r="46" spans="1:33" ht="13" x14ac:dyDescent="0.25">
      <c r="A46" s="200"/>
      <c r="B46" s="201"/>
      <c r="C46" s="202"/>
      <c r="D46" s="203"/>
      <c r="E46" s="206"/>
      <c r="F46" s="204"/>
      <c r="G46" s="205"/>
      <c r="AE46" s="240"/>
      <c r="AF46" s="242"/>
      <c r="AG46" s="241"/>
    </row>
    <row r="47" spans="1:33" ht="45" customHeight="1" x14ac:dyDescent="0.25">
      <c r="A47" s="207"/>
      <c r="B47" s="208"/>
      <c r="C47" s="183"/>
      <c r="D47" s="106"/>
      <c r="E47" s="184"/>
      <c r="F47" s="204"/>
      <c r="G47" s="205"/>
      <c r="AE47" s="240"/>
      <c r="AF47" s="242"/>
      <c r="AG47" s="241"/>
    </row>
    <row r="48" spans="1:33" ht="13" x14ac:dyDescent="0.25">
      <c r="A48" s="200"/>
      <c r="B48" s="201"/>
      <c r="C48" s="202"/>
      <c r="D48" s="203"/>
      <c r="E48" s="201"/>
      <c r="F48" s="204"/>
      <c r="G48" s="205"/>
      <c r="AE48" s="240"/>
      <c r="AF48" s="242"/>
      <c r="AG48" s="241"/>
    </row>
    <row r="49" spans="1:33" ht="44.25" customHeight="1" x14ac:dyDescent="0.25">
      <c r="A49" s="200"/>
      <c r="B49" s="201"/>
      <c r="C49" s="202"/>
      <c r="D49" s="203"/>
      <c r="E49" s="201"/>
      <c r="F49" s="204"/>
      <c r="G49" s="205"/>
      <c r="AE49" s="240"/>
      <c r="AF49" s="241"/>
      <c r="AG49" s="241"/>
    </row>
    <row r="50" spans="1:33" ht="42" customHeight="1" x14ac:dyDescent="0.25">
      <c r="A50" s="200"/>
      <c r="B50" s="201"/>
      <c r="C50" s="202"/>
      <c r="D50" s="203"/>
      <c r="E50" s="201"/>
      <c r="F50" s="204"/>
      <c r="G50" s="205"/>
    </row>
    <row r="51" spans="1:33" ht="13" x14ac:dyDescent="0.25">
      <c r="A51" s="200"/>
      <c r="B51" s="201"/>
      <c r="C51" s="202"/>
      <c r="D51" s="203"/>
      <c r="E51" s="201"/>
      <c r="F51" s="204"/>
      <c r="G51" s="205"/>
    </row>
    <row r="52" spans="1:33" ht="13" x14ac:dyDescent="0.25">
      <c r="A52" s="200"/>
      <c r="B52" s="201"/>
      <c r="C52" s="202"/>
      <c r="D52" s="203"/>
      <c r="E52" s="201"/>
      <c r="F52" s="204"/>
      <c r="G52" s="205"/>
    </row>
    <row r="53" spans="1:33" ht="48" customHeight="1" x14ac:dyDescent="0.25">
      <c r="A53" s="200"/>
      <c r="B53" s="201"/>
      <c r="C53" s="202"/>
      <c r="D53" s="203"/>
      <c r="E53" s="201"/>
      <c r="F53" s="204"/>
      <c r="G53" s="205"/>
    </row>
    <row r="54" spans="1:33" ht="13" x14ac:dyDescent="0.25">
      <c r="A54" s="200"/>
      <c r="B54" s="201"/>
      <c r="C54" s="202"/>
      <c r="D54" s="203"/>
      <c r="E54" s="201"/>
      <c r="F54" s="204"/>
      <c r="G54" s="205"/>
    </row>
    <row r="55" spans="1:33" ht="13" x14ac:dyDescent="0.25">
      <c r="A55" s="200"/>
      <c r="B55" s="201"/>
      <c r="C55" s="202"/>
      <c r="D55" s="203"/>
      <c r="E55" s="201"/>
      <c r="F55" s="204"/>
      <c r="G55" s="205"/>
    </row>
    <row r="56" spans="1:33" ht="47.25" customHeight="1" x14ac:dyDescent="0.25">
      <c r="A56" s="200"/>
      <c r="B56" s="201"/>
      <c r="C56" s="202"/>
      <c r="D56" s="203"/>
      <c r="E56" s="201"/>
      <c r="F56" s="204"/>
      <c r="G56" s="205"/>
    </row>
    <row r="57" spans="1:33" ht="13" x14ac:dyDescent="0.25">
      <c r="A57" s="200"/>
      <c r="B57" s="201"/>
      <c r="C57" s="202"/>
      <c r="D57" s="203"/>
      <c r="E57" s="201"/>
      <c r="F57" s="204"/>
      <c r="G57" s="205"/>
    </row>
    <row r="58" spans="1:33" ht="13" x14ac:dyDescent="0.25">
      <c r="A58" s="200"/>
      <c r="B58" s="201"/>
      <c r="C58" s="202"/>
      <c r="D58" s="203"/>
      <c r="E58" s="201"/>
      <c r="F58" s="204"/>
      <c r="G58" s="205"/>
    </row>
    <row r="59" spans="1:33" ht="51.75" customHeight="1" x14ac:dyDescent="0.25">
      <c r="A59" s="200"/>
      <c r="B59" s="201"/>
      <c r="C59" s="202"/>
      <c r="D59" s="209"/>
      <c r="E59" s="206"/>
      <c r="F59" s="204"/>
      <c r="G59" s="205"/>
    </row>
    <row r="60" spans="1:33" ht="13" x14ac:dyDescent="0.25">
      <c r="A60" s="200"/>
      <c r="B60" s="201"/>
      <c r="C60" s="202"/>
      <c r="D60" s="209"/>
      <c r="E60" s="206"/>
      <c r="F60" s="204"/>
      <c r="G60" s="205"/>
    </row>
    <row r="61" spans="1:33" ht="13" x14ac:dyDescent="0.25">
      <c r="A61" s="200"/>
      <c r="B61" s="201"/>
      <c r="C61" s="202"/>
      <c r="D61" s="209"/>
      <c r="E61" s="206"/>
      <c r="F61" s="204"/>
      <c r="G61" s="205"/>
    </row>
    <row r="62" spans="1:33" ht="36" customHeight="1" x14ac:dyDescent="0.25">
      <c r="A62" s="200"/>
      <c r="B62" s="201"/>
      <c r="C62" s="202"/>
      <c r="D62" s="203"/>
      <c r="E62" s="201"/>
      <c r="F62" s="204"/>
      <c r="G62" s="205"/>
    </row>
    <row r="63" spans="1:33" ht="13" x14ac:dyDescent="0.25">
      <c r="A63" s="200"/>
      <c r="B63" s="201"/>
      <c r="C63" s="202"/>
      <c r="D63" s="203"/>
      <c r="E63" s="201"/>
      <c r="F63" s="204"/>
      <c r="G63" s="205"/>
    </row>
    <row r="64" spans="1:33" ht="13" x14ac:dyDescent="0.25">
      <c r="A64" s="200"/>
      <c r="B64" s="201"/>
      <c r="C64" s="202"/>
      <c r="D64" s="203"/>
      <c r="E64" s="201"/>
      <c r="F64" s="204"/>
      <c r="G64" s="205"/>
    </row>
    <row r="65" spans="1:7" ht="44.25" customHeight="1" x14ac:dyDescent="0.25">
      <c r="A65" s="200"/>
      <c r="B65" s="201"/>
      <c r="C65" s="202"/>
      <c r="D65" s="203"/>
      <c r="E65" s="201"/>
      <c r="F65" s="204"/>
      <c r="G65" s="205"/>
    </row>
    <row r="66" spans="1:7" ht="13" x14ac:dyDescent="0.25">
      <c r="A66" s="200"/>
      <c r="B66" s="201"/>
      <c r="C66" s="202"/>
      <c r="D66" s="203"/>
      <c r="E66" s="201"/>
      <c r="F66" s="204"/>
      <c r="G66" s="205"/>
    </row>
    <row r="67" spans="1:7" ht="13" x14ac:dyDescent="0.25">
      <c r="A67" s="200"/>
      <c r="B67" s="201"/>
      <c r="C67" s="202"/>
      <c r="D67" s="203"/>
      <c r="E67" s="201"/>
      <c r="F67" s="204"/>
      <c r="G67" s="205"/>
    </row>
    <row r="68" spans="1:7" ht="46.5" customHeight="1" x14ac:dyDescent="0.25">
      <c r="A68" s="200"/>
      <c r="B68" s="201"/>
      <c r="C68" s="202"/>
      <c r="D68" s="203"/>
      <c r="E68" s="201"/>
      <c r="F68" s="204"/>
      <c r="G68" s="205"/>
    </row>
    <row r="69" spans="1:7" ht="13" x14ac:dyDescent="0.25">
      <c r="A69" s="200"/>
      <c r="B69" s="201"/>
      <c r="C69" s="202"/>
      <c r="D69" s="203"/>
      <c r="E69" s="201"/>
      <c r="F69" s="204"/>
      <c r="G69" s="205"/>
    </row>
    <row r="70" spans="1:7" ht="13" x14ac:dyDescent="0.25">
      <c r="A70" s="200"/>
      <c r="B70" s="201"/>
      <c r="C70" s="202"/>
      <c r="D70" s="203"/>
      <c r="E70" s="201"/>
      <c r="F70" s="204"/>
      <c r="G70" s="205"/>
    </row>
    <row r="71" spans="1:7" ht="44.25" customHeight="1" x14ac:dyDescent="0.25">
      <c r="A71" s="200"/>
      <c r="B71" s="201"/>
      <c r="C71" s="202"/>
      <c r="D71" s="203"/>
      <c r="E71" s="206"/>
      <c r="F71" s="204"/>
      <c r="G71" s="205"/>
    </row>
    <row r="72" spans="1:7" ht="13" x14ac:dyDescent="0.25">
      <c r="A72" s="200"/>
      <c r="B72" s="201"/>
      <c r="C72" s="202"/>
      <c r="D72" s="203"/>
      <c r="E72" s="206"/>
      <c r="F72" s="204"/>
      <c r="G72" s="205"/>
    </row>
    <row r="73" spans="1:7" ht="13" x14ac:dyDescent="0.25">
      <c r="A73" s="200"/>
      <c r="B73" s="201"/>
      <c r="C73" s="202"/>
      <c r="D73" s="203"/>
      <c r="E73" s="206"/>
      <c r="F73" s="204"/>
      <c r="G73" s="205"/>
    </row>
    <row r="74" spans="1:7" ht="60" customHeight="1" x14ac:dyDescent="0.25">
      <c r="A74" s="200"/>
      <c r="B74" s="201"/>
      <c r="C74" s="202"/>
      <c r="D74" s="209"/>
      <c r="E74" s="206"/>
      <c r="F74" s="204"/>
      <c r="G74" s="205"/>
    </row>
    <row r="75" spans="1:7" ht="13" x14ac:dyDescent="0.25">
      <c r="A75" s="200"/>
      <c r="B75" s="201"/>
      <c r="C75" s="202"/>
      <c r="D75" s="209"/>
      <c r="E75" s="206"/>
      <c r="F75" s="204"/>
      <c r="G75" s="205"/>
    </row>
    <row r="76" spans="1:7" ht="13" x14ac:dyDescent="0.25">
      <c r="A76" s="200"/>
      <c r="B76" s="201"/>
      <c r="C76" s="202"/>
      <c r="D76" s="209"/>
      <c r="E76" s="206"/>
      <c r="F76" s="204"/>
      <c r="G76" s="205"/>
    </row>
    <row r="77" spans="1:7" ht="48" customHeight="1" x14ac:dyDescent="0.25">
      <c r="A77" s="200"/>
      <c r="B77" s="201"/>
      <c r="C77" s="202"/>
      <c r="D77" s="203"/>
      <c r="E77" s="201"/>
      <c r="F77" s="204"/>
      <c r="G77" s="205"/>
    </row>
    <row r="78" spans="1:7" ht="13" x14ac:dyDescent="0.25">
      <c r="A78" s="200"/>
      <c r="B78" s="201"/>
      <c r="C78" s="202"/>
      <c r="D78" s="203"/>
      <c r="E78" s="201"/>
      <c r="F78" s="204"/>
      <c r="G78" s="205"/>
    </row>
    <row r="79" spans="1:7" ht="13" x14ac:dyDescent="0.25">
      <c r="A79" s="200"/>
      <c r="B79" s="201"/>
      <c r="C79" s="202"/>
      <c r="D79" s="203"/>
      <c r="E79" s="201"/>
      <c r="F79" s="204"/>
      <c r="G79" s="205"/>
    </row>
  </sheetData>
  <mergeCells count="38">
    <mergeCell ref="AE37:AE40"/>
    <mergeCell ref="AF37:AF40"/>
    <mergeCell ref="AG37:AG40"/>
    <mergeCell ref="I33:AC35"/>
    <mergeCell ref="AE28:AE31"/>
    <mergeCell ref="AF28:AF31"/>
    <mergeCell ref="AG28:AG31"/>
    <mergeCell ref="AE32:AE33"/>
    <mergeCell ref="AF32:AF33"/>
    <mergeCell ref="AG32:AG33"/>
    <mergeCell ref="I28:AC30"/>
    <mergeCell ref="AE24:AE27"/>
    <mergeCell ref="AF24:AF27"/>
    <mergeCell ref="AG24:AG27"/>
    <mergeCell ref="AE34:AE36"/>
    <mergeCell ref="AF34:AF36"/>
    <mergeCell ref="AG34:AG36"/>
    <mergeCell ref="AF16:AF19"/>
    <mergeCell ref="AG16:AG19"/>
    <mergeCell ref="AE20:AE23"/>
    <mergeCell ref="AF20:AF23"/>
    <mergeCell ref="AG20:AG23"/>
    <mergeCell ref="AE41:AE44"/>
    <mergeCell ref="AF41:AF44"/>
    <mergeCell ref="AG41:AG44"/>
    <mergeCell ref="AF2:AF5"/>
    <mergeCell ref="AG2:AG5"/>
    <mergeCell ref="AE2:AE5"/>
    <mergeCell ref="AE6:AE9"/>
    <mergeCell ref="AF6:AF9"/>
    <mergeCell ref="AG6:AG9"/>
    <mergeCell ref="AE10:AE12"/>
    <mergeCell ref="AF10:AF12"/>
    <mergeCell ref="AG10:AG12"/>
    <mergeCell ref="AE13:AE15"/>
    <mergeCell ref="AF13:AF15"/>
    <mergeCell ref="AG13:AG15"/>
    <mergeCell ref="AE16:AE19"/>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79"/>
  <sheetViews>
    <sheetView topLeftCell="C9" zoomScale="70" zoomScaleNormal="70" workbookViewId="0">
      <selection activeCell="AG19" sqref="AG19"/>
    </sheetView>
  </sheetViews>
  <sheetFormatPr defaultRowHeight="12.5" x14ac:dyDescent="0.25"/>
  <cols>
    <col min="1" max="1" width="32.453125" customWidth="1"/>
    <col min="2" max="3" width="12.81640625" customWidth="1"/>
    <col min="4" max="4" width="12.453125" customWidth="1"/>
    <col min="5" max="5" width="19.453125" customWidth="1"/>
    <col min="6" max="6" width="19.54296875" customWidth="1"/>
    <col min="8" max="8" width="3.81640625" customWidth="1"/>
    <col min="28" max="28" width="1.453125" customWidth="1"/>
    <col min="29" max="29" width="1.1796875" customWidth="1"/>
    <col min="30" max="30" width="1.81640625" customWidth="1"/>
  </cols>
  <sheetData>
    <row r="1" spans="1:7" ht="37.5" customHeight="1" x14ac:dyDescent="0.25">
      <c r="A1" s="180" t="s">
        <v>221</v>
      </c>
      <c r="B1" s="181" t="s">
        <v>127</v>
      </c>
      <c r="C1" s="182" t="s">
        <v>222</v>
      </c>
      <c r="D1" s="183" t="s">
        <v>228</v>
      </c>
      <c r="E1" s="106" t="s">
        <v>370</v>
      </c>
      <c r="F1" s="184" t="s">
        <v>229</v>
      </c>
      <c r="G1" s="185" t="s">
        <v>223</v>
      </c>
    </row>
    <row r="2" spans="1:7" ht="18.75" customHeight="1" x14ac:dyDescent="0.25">
      <c r="A2" s="93" t="s">
        <v>355</v>
      </c>
      <c r="B2" s="171" t="s">
        <v>317</v>
      </c>
      <c r="C2" s="171" t="s">
        <v>73</v>
      </c>
      <c r="D2" s="190">
        <f>'srovnání účinností'!G19</f>
        <v>223725.28914000001</v>
      </c>
      <c r="E2" s="191">
        <v>3.5</v>
      </c>
      <c r="F2" s="239">
        <f>PRODUCT(D2,E2)</f>
        <v>783038.51199000003</v>
      </c>
      <c r="G2" s="186">
        <v>1</v>
      </c>
    </row>
    <row r="3" spans="1:7" ht="13.5" customHeight="1" x14ac:dyDescent="0.25">
      <c r="A3" s="187" t="s">
        <v>224</v>
      </c>
      <c r="B3" s="188"/>
      <c r="C3" s="189"/>
      <c r="D3" s="190"/>
      <c r="E3" s="377">
        <v>3</v>
      </c>
      <c r="F3" s="239">
        <f>PRODUCT(D2,E3)</f>
        <v>671175.86742000002</v>
      </c>
      <c r="G3" s="186">
        <v>1</v>
      </c>
    </row>
    <row r="4" spans="1:7" ht="9.75" customHeight="1" x14ac:dyDescent="0.25">
      <c r="A4" s="187" t="s">
        <v>225</v>
      </c>
      <c r="B4" s="188"/>
      <c r="C4" s="189"/>
      <c r="D4" s="190"/>
      <c r="E4" s="191">
        <v>4.2</v>
      </c>
      <c r="F4" s="239">
        <f>PRODUCT(D2,E4)</f>
        <v>939646.21438800008</v>
      </c>
      <c r="G4" s="186">
        <v>1</v>
      </c>
    </row>
    <row r="5" spans="1:7" ht="10.5" customHeight="1" x14ac:dyDescent="0.25">
      <c r="A5" s="210" t="s">
        <v>372</v>
      </c>
      <c r="B5" s="211" t="s">
        <v>17</v>
      </c>
      <c r="C5" s="211" t="s">
        <v>38</v>
      </c>
      <c r="D5" s="212">
        <f>'srovnání účinností'!G18</f>
        <v>135044</v>
      </c>
      <c r="E5" s="213">
        <v>3.3</v>
      </c>
      <c r="F5" s="239">
        <f t="shared" ref="F5" si="0">PRODUCT(D5,E5)</f>
        <v>445645.19999999995</v>
      </c>
      <c r="G5" s="186">
        <v>2</v>
      </c>
    </row>
    <row r="6" spans="1:7" ht="17.25" customHeight="1" x14ac:dyDescent="0.25">
      <c r="A6" s="214" t="s">
        <v>224</v>
      </c>
      <c r="B6" s="215"/>
      <c r="C6" s="216"/>
      <c r="D6" s="212"/>
      <c r="E6" s="378">
        <v>2</v>
      </c>
      <c r="F6" s="239">
        <f t="shared" ref="F6" si="1">PRODUCT(D5,E6)</f>
        <v>270088</v>
      </c>
      <c r="G6" s="186">
        <v>2</v>
      </c>
    </row>
    <row r="7" spans="1:7" ht="18.75" customHeight="1" x14ac:dyDescent="0.25">
      <c r="A7" s="214" t="s">
        <v>225</v>
      </c>
      <c r="B7" s="215"/>
      <c r="C7" s="216"/>
      <c r="D7" s="212"/>
      <c r="E7" s="213">
        <v>8.6</v>
      </c>
      <c r="F7" s="239">
        <f t="shared" ref="F7" si="2">PRODUCT(D5,E7)</f>
        <v>1161378.3999999999</v>
      </c>
      <c r="G7" s="186">
        <v>2</v>
      </c>
    </row>
    <row r="8" spans="1:7" ht="31.5" customHeight="1" x14ac:dyDescent="0.25">
      <c r="A8" s="169" t="s">
        <v>366</v>
      </c>
      <c r="B8" s="171" t="s">
        <v>17</v>
      </c>
      <c r="C8" s="171" t="s">
        <v>38</v>
      </c>
      <c r="D8" s="190">
        <f>'srovnání účinností'!G7</f>
        <v>51504.299999999996</v>
      </c>
      <c r="E8" s="375">
        <v>3.3</v>
      </c>
      <c r="F8" s="239">
        <f t="shared" ref="F8" si="3">PRODUCT(D8,E8)</f>
        <v>169964.18999999997</v>
      </c>
      <c r="G8" s="186">
        <v>3</v>
      </c>
    </row>
    <row r="9" spans="1:7" ht="15" customHeight="1" x14ac:dyDescent="0.25">
      <c r="A9" s="187" t="s">
        <v>224</v>
      </c>
      <c r="B9" s="188"/>
      <c r="C9" s="189"/>
      <c r="D9" s="190"/>
      <c r="E9" s="379">
        <v>2</v>
      </c>
      <c r="F9" s="239">
        <f t="shared" ref="F9" si="4">PRODUCT(D8,E9)</f>
        <v>103008.59999999999</v>
      </c>
      <c r="G9" s="186">
        <v>3</v>
      </c>
    </row>
    <row r="10" spans="1:7" ht="16.5" customHeight="1" x14ac:dyDescent="0.25">
      <c r="A10" s="187" t="s">
        <v>225</v>
      </c>
      <c r="B10" s="188"/>
      <c r="C10" s="189"/>
      <c r="D10" s="190"/>
      <c r="E10" s="375">
        <v>8.6</v>
      </c>
      <c r="F10" s="239">
        <f t="shared" ref="F10" si="5">PRODUCT(D8,E10)</f>
        <v>442936.97999999992</v>
      </c>
      <c r="G10" s="186">
        <v>3</v>
      </c>
    </row>
    <row r="11" spans="1:7" ht="23.25" customHeight="1" x14ac:dyDescent="0.25">
      <c r="A11" s="224" t="s">
        <v>230</v>
      </c>
      <c r="B11" s="225" t="s">
        <v>81</v>
      </c>
      <c r="C11" s="226" t="s">
        <v>80</v>
      </c>
      <c r="D11" s="227">
        <f>'srovnání účinností'!G5</f>
        <v>237231.64607999998</v>
      </c>
      <c r="E11" s="228">
        <v>1.8</v>
      </c>
      <c r="F11" s="239">
        <f t="shared" ref="F11" si="6">PRODUCT(D11,E11)</f>
        <v>427016.96294399997</v>
      </c>
      <c r="G11" s="186">
        <v>4</v>
      </c>
    </row>
    <row r="12" spans="1:7" ht="22.5" customHeight="1" x14ac:dyDescent="0.25">
      <c r="A12" s="229" t="s">
        <v>224</v>
      </c>
      <c r="B12" s="230"/>
      <c r="C12" s="231"/>
      <c r="D12" s="227"/>
      <c r="E12" s="228">
        <v>1.6</v>
      </c>
      <c r="F12" s="239">
        <f t="shared" ref="F12" si="7">PRODUCT(D11,E12)</f>
        <v>379570.63372799999</v>
      </c>
      <c r="G12" s="186">
        <v>4</v>
      </c>
    </row>
    <row r="13" spans="1:7" ht="16.5" customHeight="1" x14ac:dyDescent="0.25">
      <c r="A13" s="229" t="s">
        <v>225</v>
      </c>
      <c r="B13" s="230"/>
      <c r="C13" s="231"/>
      <c r="D13" s="227"/>
      <c r="E13" s="380">
        <v>2</v>
      </c>
      <c r="F13" s="239">
        <f t="shared" ref="F13" si="8">PRODUCT(D11,E13)</f>
        <v>474463.29215999995</v>
      </c>
      <c r="G13" s="186">
        <v>4</v>
      </c>
    </row>
    <row r="14" spans="1:7" ht="20.25" customHeight="1" x14ac:dyDescent="0.25">
      <c r="A14" s="198" t="s">
        <v>231</v>
      </c>
      <c r="B14" s="199" t="s">
        <v>146</v>
      </c>
      <c r="C14" s="199" t="s">
        <v>73</v>
      </c>
      <c r="D14" s="196">
        <f>'srovnání účinností'!G16</f>
        <v>258704.13762000002</v>
      </c>
      <c r="E14" s="197">
        <v>1.5</v>
      </c>
      <c r="F14" s="239">
        <f t="shared" ref="F14" si="9">PRODUCT(D14,E14)</f>
        <v>388056.20643000002</v>
      </c>
      <c r="G14" s="186">
        <v>5</v>
      </c>
    </row>
    <row r="15" spans="1:7" ht="39" customHeight="1" x14ac:dyDescent="0.25">
      <c r="A15" s="193" t="s">
        <v>224</v>
      </c>
      <c r="B15" s="194"/>
      <c r="C15" s="195"/>
      <c r="D15" s="196"/>
      <c r="E15" s="197">
        <v>1.4</v>
      </c>
      <c r="F15" s="239">
        <f t="shared" ref="F15" si="10">PRODUCT(D14,E15)</f>
        <v>362185.79266800004</v>
      </c>
      <c r="G15" s="186">
        <v>5</v>
      </c>
    </row>
    <row r="16" spans="1:7" ht="17.25" customHeight="1" x14ac:dyDescent="0.25">
      <c r="A16" s="193" t="s">
        <v>225</v>
      </c>
      <c r="B16" s="194"/>
      <c r="C16" s="195"/>
      <c r="D16" s="196"/>
      <c r="E16" s="197">
        <v>1.7</v>
      </c>
      <c r="F16" s="239">
        <f t="shared" ref="F16" si="11">PRODUCT(D14,E16)</f>
        <v>439797.03395400004</v>
      </c>
      <c r="G16" s="186">
        <v>5</v>
      </c>
    </row>
    <row r="17" spans="1:29" ht="18.75" customHeight="1" x14ac:dyDescent="0.25">
      <c r="A17" s="224" t="s">
        <v>232</v>
      </c>
      <c r="B17" s="225" t="s">
        <v>96</v>
      </c>
      <c r="C17" s="225" t="s">
        <v>89</v>
      </c>
      <c r="D17" s="227">
        <f>'srovnání účinností'!G6</f>
        <v>273294.63199999998</v>
      </c>
      <c r="E17" s="228">
        <v>2.1</v>
      </c>
      <c r="F17" s="239">
        <f t="shared" ref="F17" si="12">PRODUCT(D17,E17)</f>
        <v>573918.72719999996</v>
      </c>
      <c r="G17" s="186">
        <v>6</v>
      </c>
    </row>
    <row r="18" spans="1:29" ht="16.5" customHeight="1" x14ac:dyDescent="0.25">
      <c r="A18" s="229" t="s">
        <v>224</v>
      </c>
      <c r="B18" s="230"/>
      <c r="C18" s="231"/>
      <c r="D18" s="227"/>
      <c r="E18" s="228">
        <v>1.7</v>
      </c>
      <c r="F18" s="239">
        <f t="shared" ref="F18" si="13">PRODUCT(D17,E18)</f>
        <v>464600.87439999997</v>
      </c>
      <c r="G18" s="186">
        <v>6</v>
      </c>
    </row>
    <row r="19" spans="1:29" ht="19.5" customHeight="1" x14ac:dyDescent="0.25">
      <c r="A19" s="229" t="s">
        <v>225</v>
      </c>
      <c r="B19" s="230"/>
      <c r="C19" s="231"/>
      <c r="D19" s="227"/>
      <c r="E19" s="228">
        <v>2.7</v>
      </c>
      <c r="F19" s="239">
        <f t="shared" ref="F19" si="14">PRODUCT(D17,E19)</f>
        <v>737895.50639999995</v>
      </c>
      <c r="G19" s="186">
        <v>6</v>
      </c>
    </row>
    <row r="20" spans="1:29" ht="27" customHeight="1" x14ac:dyDescent="0.25">
      <c r="A20" s="198" t="s">
        <v>373</v>
      </c>
      <c r="B20" s="199" t="s">
        <v>74</v>
      </c>
      <c r="C20" s="199" t="s">
        <v>73</v>
      </c>
      <c r="D20" s="196">
        <f>'srovnání účinností'!G8</f>
        <v>309014.78700000001</v>
      </c>
      <c r="E20" s="197">
        <v>1.8</v>
      </c>
      <c r="F20" s="239">
        <f t="shared" ref="F20" si="15">PRODUCT(D20,E20)</f>
        <v>556226.61660000007</v>
      </c>
      <c r="G20" s="186">
        <v>7</v>
      </c>
    </row>
    <row r="21" spans="1:29" ht="13" x14ac:dyDescent="0.25">
      <c r="A21" s="193" t="s">
        <v>224</v>
      </c>
      <c r="B21" s="194"/>
      <c r="C21" s="195"/>
      <c r="D21" s="196"/>
      <c r="E21" s="197">
        <v>1.6</v>
      </c>
      <c r="F21" s="239">
        <f t="shared" ref="F21" si="16">PRODUCT(D20,E21)</f>
        <v>494423.65920000005</v>
      </c>
      <c r="G21" s="186">
        <v>7</v>
      </c>
    </row>
    <row r="22" spans="1:29" ht="13" x14ac:dyDescent="0.25">
      <c r="A22" s="193" t="s">
        <v>225</v>
      </c>
      <c r="B22" s="194"/>
      <c r="C22" s="195"/>
      <c r="D22" s="196"/>
      <c r="E22" s="197">
        <v>2.1</v>
      </c>
      <c r="F22" s="239">
        <f t="shared" ref="F22" si="17">PRODUCT(D20,E22)</f>
        <v>648931.0527</v>
      </c>
      <c r="G22" s="186">
        <v>7</v>
      </c>
    </row>
    <row r="23" spans="1:29" ht="30.75" customHeight="1" x14ac:dyDescent="0.25">
      <c r="A23" s="93" t="s">
        <v>358</v>
      </c>
      <c r="B23" s="171" t="s">
        <v>315</v>
      </c>
      <c r="C23" s="170" t="s">
        <v>346</v>
      </c>
      <c r="D23" s="190">
        <f>'srovnání účinností'!G20</f>
        <v>248890.04321999999</v>
      </c>
      <c r="E23" s="191">
        <v>1.75</v>
      </c>
      <c r="F23" s="239">
        <f t="shared" ref="F23" si="18">PRODUCT(D23,E23)</f>
        <v>435557.57563500002</v>
      </c>
      <c r="G23" s="186">
        <v>8</v>
      </c>
    </row>
    <row r="24" spans="1:29" ht="13" x14ac:dyDescent="0.25">
      <c r="A24" s="187" t="s">
        <v>224</v>
      </c>
      <c r="B24" s="188"/>
      <c r="C24" s="189"/>
      <c r="D24" s="190"/>
      <c r="E24" s="191">
        <v>1.5</v>
      </c>
      <c r="F24" s="239">
        <f t="shared" ref="F24" si="19">PRODUCT(D23,E24)</f>
        <v>373335.06482999999</v>
      </c>
      <c r="G24" s="186">
        <v>8</v>
      </c>
    </row>
    <row r="25" spans="1:29" ht="13" x14ac:dyDescent="0.25">
      <c r="A25" s="187" t="s">
        <v>225</v>
      </c>
      <c r="B25" s="188"/>
      <c r="C25" s="189"/>
      <c r="D25" s="190"/>
      <c r="E25" s="377">
        <v>2</v>
      </c>
      <c r="F25" s="239">
        <f t="shared" ref="F25" si="20">PRODUCT(D23,E25)</f>
        <v>497780.08643999998</v>
      </c>
      <c r="G25" s="186">
        <v>8</v>
      </c>
    </row>
    <row r="26" spans="1:29" ht="33" customHeight="1" x14ac:dyDescent="0.25">
      <c r="A26" s="217" t="s">
        <v>367</v>
      </c>
      <c r="B26" s="218" t="s">
        <v>51</v>
      </c>
      <c r="C26" s="218" t="s">
        <v>38</v>
      </c>
      <c r="D26" s="219">
        <f>'srovnání účinností'!G13</f>
        <v>113567.66420999999</v>
      </c>
      <c r="E26" s="220">
        <v>3.5</v>
      </c>
      <c r="F26" s="239">
        <f t="shared" ref="F26" si="21">PRODUCT(D26,E26)</f>
        <v>397486.82473499997</v>
      </c>
      <c r="G26" s="186">
        <v>9</v>
      </c>
    </row>
    <row r="27" spans="1:29" ht="15" customHeight="1" x14ac:dyDescent="0.25">
      <c r="A27" s="221" t="s">
        <v>224</v>
      </c>
      <c r="B27" s="222"/>
      <c r="C27" s="223"/>
      <c r="D27" s="219"/>
      <c r="E27" s="220">
        <v>3.2</v>
      </c>
      <c r="F27" s="239">
        <f t="shared" ref="F27" si="22">PRODUCT(D26,E27)</f>
        <v>363416.52547200001</v>
      </c>
      <c r="G27" s="186">
        <v>9</v>
      </c>
    </row>
    <row r="28" spans="1:29" ht="12.75" customHeight="1" x14ac:dyDescent="0.25">
      <c r="A28" s="221" t="s">
        <v>225</v>
      </c>
      <c r="B28" s="222"/>
      <c r="C28" s="223"/>
      <c r="D28" s="219"/>
      <c r="E28" s="220">
        <v>4.5999999999999996</v>
      </c>
      <c r="F28" s="239">
        <f t="shared" ref="F28" si="23">PRODUCT(D26,E28)</f>
        <v>522411.25536599988</v>
      </c>
      <c r="G28" s="186">
        <v>9</v>
      </c>
      <c r="I28" s="506"/>
      <c r="J28" s="506"/>
      <c r="K28" s="506"/>
      <c r="L28" s="506"/>
      <c r="M28" s="506"/>
      <c r="N28" s="506"/>
      <c r="O28" s="506"/>
      <c r="P28" s="506"/>
      <c r="Q28" s="506"/>
      <c r="R28" s="506"/>
      <c r="S28" s="506"/>
      <c r="T28" s="506"/>
      <c r="U28" s="506"/>
      <c r="V28" s="506"/>
      <c r="W28" s="506"/>
      <c r="X28" s="506"/>
      <c r="Y28" s="506"/>
      <c r="Z28" s="506"/>
      <c r="AA28" s="506"/>
      <c r="AB28" s="506"/>
      <c r="AC28" s="506"/>
    </row>
    <row r="29" spans="1:29" ht="21" customHeight="1" x14ac:dyDescent="0.25">
      <c r="A29" s="224" t="s">
        <v>234</v>
      </c>
      <c r="B29" s="225" t="s">
        <v>90</v>
      </c>
      <c r="C29" s="225" t="s">
        <v>89</v>
      </c>
      <c r="D29" s="227">
        <f>'srovnání účinností'!G9</f>
        <v>248258.68800000002</v>
      </c>
      <c r="E29" s="228">
        <v>2.4</v>
      </c>
      <c r="F29" s="239">
        <f t="shared" ref="F29" si="24">PRODUCT(D29,E29)</f>
        <v>595820.85120000003</v>
      </c>
      <c r="G29" s="186">
        <v>10</v>
      </c>
      <c r="I29" s="506"/>
      <c r="J29" s="506"/>
      <c r="K29" s="506"/>
      <c r="L29" s="506"/>
      <c r="M29" s="506"/>
      <c r="N29" s="506"/>
      <c r="O29" s="506"/>
      <c r="P29" s="506"/>
      <c r="Q29" s="506"/>
      <c r="R29" s="506"/>
      <c r="S29" s="506"/>
      <c r="T29" s="506"/>
      <c r="U29" s="506"/>
      <c r="V29" s="506"/>
      <c r="W29" s="506"/>
      <c r="X29" s="506"/>
      <c r="Y29" s="506"/>
      <c r="Z29" s="506"/>
      <c r="AA29" s="506"/>
      <c r="AB29" s="506"/>
      <c r="AC29" s="506"/>
    </row>
    <row r="30" spans="1:29" ht="13.5" customHeight="1" x14ac:dyDescent="0.25">
      <c r="A30" s="229" t="s">
        <v>224</v>
      </c>
      <c r="B30" s="230"/>
      <c r="C30" s="231"/>
      <c r="D30" s="227"/>
      <c r="E30" s="228">
        <v>2.2000000000000002</v>
      </c>
      <c r="F30" s="239">
        <f t="shared" ref="F30" si="25">PRODUCT(D29,E30)</f>
        <v>546169.11360000004</v>
      </c>
      <c r="G30" s="186">
        <v>10</v>
      </c>
      <c r="I30" s="506"/>
      <c r="J30" s="506"/>
      <c r="K30" s="506"/>
      <c r="L30" s="506"/>
      <c r="M30" s="506"/>
      <c r="N30" s="506"/>
      <c r="O30" s="506"/>
      <c r="P30" s="506"/>
      <c r="Q30" s="506"/>
      <c r="R30" s="506"/>
      <c r="S30" s="506"/>
      <c r="T30" s="506"/>
      <c r="U30" s="506"/>
      <c r="V30" s="506"/>
      <c r="W30" s="506"/>
      <c r="X30" s="506"/>
      <c r="Y30" s="506"/>
      <c r="Z30" s="506"/>
      <c r="AA30" s="506"/>
      <c r="AB30" s="506"/>
      <c r="AC30" s="506"/>
    </row>
    <row r="31" spans="1:29" ht="11.25" customHeight="1" x14ac:dyDescent="0.25">
      <c r="A31" s="229" t="s">
        <v>225</v>
      </c>
      <c r="B31" s="230"/>
      <c r="C31" s="231"/>
      <c r="D31" s="227"/>
      <c r="E31" s="228">
        <v>2.7</v>
      </c>
      <c r="F31" s="239">
        <f t="shared" ref="F31" si="26">PRODUCT(D29,E31)</f>
        <v>670298.45760000008</v>
      </c>
      <c r="G31" s="186">
        <v>10</v>
      </c>
    </row>
    <row r="32" spans="1:29" ht="35.25" customHeight="1" x14ac:dyDescent="0.25">
      <c r="A32" s="169" t="s">
        <v>371</v>
      </c>
      <c r="B32" s="171" t="s">
        <v>19</v>
      </c>
      <c r="C32" s="171" t="s">
        <v>38</v>
      </c>
      <c r="D32" s="190">
        <f>'srovnání účinností'!G11</f>
        <v>77168</v>
      </c>
      <c r="E32" s="191">
        <v>5.9</v>
      </c>
      <c r="F32" s="239">
        <f t="shared" ref="F32" si="27">PRODUCT(D32,E32)</f>
        <v>455291.2</v>
      </c>
      <c r="G32" s="186">
        <v>13</v>
      </c>
    </row>
    <row r="33" spans="1:29" ht="24.75" customHeight="1" x14ac:dyDescent="0.25">
      <c r="A33" s="187" t="s">
        <v>224</v>
      </c>
      <c r="B33" s="188"/>
      <c r="C33" s="189"/>
      <c r="D33" s="190"/>
      <c r="E33" s="191">
        <v>4.4000000000000004</v>
      </c>
      <c r="F33" s="239">
        <f t="shared" ref="F33" si="28">PRODUCT(D32,E33)</f>
        <v>339539.20000000001</v>
      </c>
      <c r="G33" s="186">
        <v>13</v>
      </c>
      <c r="I33" s="502"/>
      <c r="J33" s="503"/>
      <c r="K33" s="503"/>
      <c r="L33" s="503"/>
      <c r="M33" s="503"/>
      <c r="N33" s="503"/>
      <c r="O33" s="503"/>
      <c r="P33" s="503"/>
      <c r="Q33" s="503"/>
      <c r="R33" s="503"/>
      <c r="S33" s="503"/>
      <c r="T33" s="503"/>
      <c r="U33" s="503"/>
      <c r="V33" s="503"/>
      <c r="W33" s="503"/>
      <c r="X33" s="503"/>
      <c r="Y33" s="503"/>
      <c r="Z33" s="503"/>
      <c r="AA33" s="503"/>
      <c r="AB33" s="503"/>
      <c r="AC33" s="504"/>
    </row>
    <row r="34" spans="1:29" ht="16.5" customHeight="1" x14ac:dyDescent="0.25">
      <c r="A34" s="187" t="s">
        <v>225</v>
      </c>
      <c r="B34" s="188"/>
      <c r="C34" s="189"/>
      <c r="D34" s="190"/>
      <c r="E34" s="191">
        <v>8.1</v>
      </c>
      <c r="F34" s="239">
        <f t="shared" ref="F34" si="29">PRODUCT(D32,E34)</f>
        <v>625060.79999999993</v>
      </c>
      <c r="G34" s="186">
        <v>13</v>
      </c>
      <c r="I34" s="505"/>
      <c r="J34" s="506"/>
      <c r="K34" s="506"/>
      <c r="L34" s="506"/>
      <c r="M34" s="506"/>
      <c r="N34" s="506"/>
      <c r="O34" s="506"/>
      <c r="P34" s="506"/>
      <c r="Q34" s="506"/>
      <c r="R34" s="506"/>
      <c r="S34" s="506"/>
      <c r="T34" s="506"/>
      <c r="U34" s="506"/>
      <c r="V34" s="506"/>
      <c r="W34" s="506"/>
      <c r="X34" s="506"/>
      <c r="Y34" s="506"/>
      <c r="Z34" s="506"/>
      <c r="AA34" s="506"/>
      <c r="AB34" s="506"/>
      <c r="AC34" s="507"/>
    </row>
    <row r="35" spans="1:29" ht="21.75" customHeight="1" x14ac:dyDescent="0.25">
      <c r="A35" s="232" t="s">
        <v>374</v>
      </c>
      <c r="B35" s="233" t="s">
        <v>105</v>
      </c>
      <c r="C35" s="233" t="s">
        <v>104</v>
      </c>
      <c r="D35" s="234">
        <f>'srovnání účinností'!G12</f>
        <v>267809.42769000004</v>
      </c>
      <c r="E35" s="235">
        <v>3.3</v>
      </c>
      <c r="F35" s="239">
        <f t="shared" ref="F35" si="30">PRODUCT(D35,E35)</f>
        <v>883771.11137700011</v>
      </c>
      <c r="G35" s="186">
        <v>11</v>
      </c>
      <c r="I35" s="508"/>
      <c r="J35" s="509"/>
      <c r="K35" s="509"/>
      <c r="L35" s="509"/>
      <c r="M35" s="509"/>
      <c r="N35" s="509"/>
      <c r="O35" s="509"/>
      <c r="P35" s="509"/>
      <c r="Q35" s="509"/>
      <c r="R35" s="509"/>
      <c r="S35" s="509"/>
      <c r="T35" s="509"/>
      <c r="U35" s="509"/>
      <c r="V35" s="509"/>
      <c r="W35" s="509"/>
      <c r="X35" s="509"/>
      <c r="Y35" s="509"/>
      <c r="Z35" s="509"/>
      <c r="AA35" s="509"/>
      <c r="AB35" s="509"/>
      <c r="AC35" s="510"/>
    </row>
    <row r="36" spans="1:29" ht="34.5" customHeight="1" x14ac:dyDescent="0.25">
      <c r="A36" s="236" t="s">
        <v>224</v>
      </c>
      <c r="B36" s="237"/>
      <c r="C36" s="238"/>
      <c r="D36" s="234"/>
      <c r="E36" s="235">
        <v>3.05</v>
      </c>
      <c r="F36" s="239">
        <f t="shared" ref="F36" si="31">PRODUCT(D35,E36)</f>
        <v>816818.75445450004</v>
      </c>
      <c r="G36" s="186">
        <v>11</v>
      </c>
    </row>
    <row r="37" spans="1:29" ht="15" customHeight="1" x14ac:dyDescent="0.25">
      <c r="A37" s="236" t="s">
        <v>225</v>
      </c>
      <c r="B37" s="237"/>
      <c r="C37" s="238"/>
      <c r="D37" s="234"/>
      <c r="E37" s="235">
        <v>3.5</v>
      </c>
      <c r="F37" s="239">
        <f t="shared" ref="F37" si="32">PRODUCT(D35,E37)</f>
        <v>937332.99691500014</v>
      </c>
      <c r="G37" s="186">
        <v>11</v>
      </c>
    </row>
    <row r="38" spans="1:29" ht="36" customHeight="1" x14ac:dyDescent="0.25">
      <c r="A38" s="169" t="s">
        <v>369</v>
      </c>
      <c r="B38" s="171" t="s">
        <v>51</v>
      </c>
      <c r="C38" s="171" t="s">
        <v>38</v>
      </c>
      <c r="D38" s="190">
        <f>'srovnání účinností'!G14</f>
        <v>251534.13999999998</v>
      </c>
      <c r="E38" s="191">
        <v>2.9</v>
      </c>
      <c r="F38" s="239">
        <f t="shared" ref="F38" si="33">PRODUCT(D38,E38)</f>
        <v>729449.00599999994</v>
      </c>
      <c r="G38" s="186">
        <v>12</v>
      </c>
    </row>
    <row r="39" spans="1:29" ht="19.5" customHeight="1" x14ac:dyDescent="0.25">
      <c r="A39" s="187" t="s">
        <v>224</v>
      </c>
      <c r="B39" s="188"/>
      <c r="C39" s="189"/>
      <c r="D39" s="190"/>
      <c r="E39" s="191">
        <v>2.6</v>
      </c>
      <c r="F39" s="239">
        <f t="shared" ref="F39" si="34">PRODUCT(D38,E39)</f>
        <v>653988.76399999997</v>
      </c>
      <c r="G39" s="186">
        <v>12</v>
      </c>
    </row>
    <row r="40" spans="1:29" ht="17.25" customHeight="1" x14ac:dyDescent="0.25">
      <c r="A40" s="187" t="s">
        <v>225</v>
      </c>
      <c r="B40" s="188"/>
      <c r="C40" s="189"/>
      <c r="D40" s="190"/>
      <c r="E40" s="192">
        <v>4.2</v>
      </c>
      <c r="F40" s="239">
        <f t="shared" ref="F40" si="35">PRODUCT(D38,E40)</f>
        <v>1056443.388</v>
      </c>
      <c r="G40" s="186">
        <v>12</v>
      </c>
    </row>
    <row r="41" spans="1:29" ht="10.5" customHeight="1" x14ac:dyDescent="0.25">
      <c r="A41" s="200"/>
      <c r="B41" s="201"/>
      <c r="C41" s="202"/>
      <c r="D41" s="203"/>
      <c r="E41" s="201"/>
      <c r="F41" s="204"/>
      <c r="G41" s="205"/>
    </row>
    <row r="42" spans="1:29" ht="13" x14ac:dyDescent="0.25">
      <c r="A42" s="200"/>
      <c r="B42" s="201"/>
      <c r="C42" s="202"/>
      <c r="D42" s="203"/>
      <c r="E42" s="201"/>
      <c r="F42" s="204"/>
      <c r="G42" s="205"/>
    </row>
    <row r="43" spans="1:29" ht="57.75" customHeight="1" x14ac:dyDescent="0.25">
      <c r="A43" s="200"/>
      <c r="B43" s="201"/>
      <c r="C43" s="202"/>
      <c r="D43" s="203"/>
      <c r="E43" s="201"/>
      <c r="F43" s="204"/>
      <c r="G43" s="205"/>
    </row>
    <row r="44" spans="1:29" ht="40.5" customHeight="1" x14ac:dyDescent="0.25">
      <c r="A44" s="200"/>
      <c r="B44" s="201"/>
      <c r="C44" s="202"/>
      <c r="D44" s="203"/>
      <c r="E44" s="206"/>
      <c r="F44" s="204"/>
      <c r="G44" s="205"/>
    </row>
    <row r="45" spans="1:29" ht="12.75" customHeight="1" x14ac:dyDescent="0.25">
      <c r="A45" s="200"/>
      <c r="B45" s="201"/>
      <c r="C45" s="202"/>
      <c r="D45" s="203"/>
      <c r="E45" s="206"/>
      <c r="F45" s="204"/>
      <c r="G45" s="205"/>
    </row>
    <row r="46" spans="1:29" ht="13" x14ac:dyDescent="0.25">
      <c r="A46" s="200"/>
      <c r="B46" s="201"/>
      <c r="C46" s="202"/>
      <c r="D46" s="203"/>
      <c r="E46" s="206"/>
      <c r="F46" s="204"/>
      <c r="G46" s="205"/>
    </row>
    <row r="47" spans="1:29" ht="45" customHeight="1" x14ac:dyDescent="0.25">
      <c r="A47" s="207"/>
      <c r="B47" s="208"/>
      <c r="C47" s="208"/>
      <c r="D47" s="203"/>
      <c r="E47" s="201"/>
      <c r="F47" s="204"/>
      <c r="G47" s="205"/>
    </row>
    <row r="48" spans="1:29" ht="13" x14ac:dyDescent="0.25">
      <c r="A48" s="200"/>
      <c r="B48" s="201"/>
      <c r="C48" s="202"/>
      <c r="D48" s="203"/>
      <c r="E48" s="201"/>
      <c r="F48" s="204"/>
      <c r="G48" s="205"/>
    </row>
    <row r="49" spans="1:7" ht="44.25" customHeight="1" x14ac:dyDescent="0.25">
      <c r="A49" s="200"/>
      <c r="B49" s="201"/>
      <c r="C49" s="202"/>
      <c r="D49" s="203"/>
      <c r="E49" s="201"/>
      <c r="F49" s="204"/>
      <c r="G49" s="205"/>
    </row>
    <row r="50" spans="1:7" ht="42" customHeight="1" x14ac:dyDescent="0.25">
      <c r="A50" s="200"/>
      <c r="B50" s="201"/>
      <c r="C50" s="202"/>
      <c r="D50" s="203"/>
      <c r="E50" s="201"/>
      <c r="F50" s="204"/>
      <c r="G50" s="205"/>
    </row>
    <row r="51" spans="1:7" ht="13" x14ac:dyDescent="0.25">
      <c r="A51" s="200"/>
      <c r="B51" s="201"/>
      <c r="C51" s="202"/>
      <c r="D51" s="203"/>
      <c r="E51" s="201"/>
      <c r="F51" s="204"/>
      <c r="G51" s="205"/>
    </row>
    <row r="52" spans="1:7" ht="13" x14ac:dyDescent="0.25">
      <c r="A52" s="200"/>
      <c r="B52" s="201"/>
      <c r="C52" s="202"/>
      <c r="D52" s="203"/>
      <c r="E52" s="201"/>
      <c r="F52" s="204"/>
      <c r="G52" s="205"/>
    </row>
    <row r="53" spans="1:7" ht="48" customHeight="1" x14ac:dyDescent="0.25">
      <c r="A53" s="200"/>
      <c r="B53" s="201"/>
      <c r="C53" s="202"/>
      <c r="D53" s="203"/>
      <c r="E53" s="201"/>
      <c r="F53" s="204"/>
      <c r="G53" s="205"/>
    </row>
    <row r="54" spans="1:7" ht="13" x14ac:dyDescent="0.25">
      <c r="A54" s="200"/>
      <c r="B54" s="201"/>
      <c r="C54" s="202"/>
      <c r="D54" s="203"/>
      <c r="E54" s="201"/>
      <c r="F54" s="204"/>
      <c r="G54" s="205"/>
    </row>
    <row r="55" spans="1:7" ht="13" x14ac:dyDescent="0.25">
      <c r="A55" s="200"/>
      <c r="B55" s="201"/>
      <c r="C55" s="202"/>
      <c r="D55" s="203"/>
      <c r="E55" s="201"/>
      <c r="F55" s="204"/>
      <c r="G55" s="205"/>
    </row>
    <row r="56" spans="1:7" ht="47.25" customHeight="1" x14ac:dyDescent="0.25">
      <c r="A56" s="200"/>
      <c r="B56" s="201"/>
      <c r="C56" s="202"/>
      <c r="D56" s="203"/>
      <c r="E56" s="201"/>
      <c r="F56" s="204"/>
      <c r="G56" s="205"/>
    </row>
    <row r="57" spans="1:7" ht="13" x14ac:dyDescent="0.25">
      <c r="A57" s="200"/>
      <c r="B57" s="201"/>
      <c r="C57" s="202"/>
      <c r="D57" s="203"/>
      <c r="E57" s="201"/>
      <c r="F57" s="204"/>
      <c r="G57" s="205"/>
    </row>
    <row r="58" spans="1:7" ht="13" x14ac:dyDescent="0.25">
      <c r="A58" s="200"/>
      <c r="B58" s="201"/>
      <c r="C58" s="202"/>
      <c r="D58" s="203"/>
      <c r="E58" s="201"/>
      <c r="F58" s="204"/>
      <c r="G58" s="205"/>
    </row>
    <row r="59" spans="1:7" ht="51.75" customHeight="1" x14ac:dyDescent="0.25">
      <c r="A59" s="200"/>
      <c r="B59" s="201"/>
      <c r="C59" s="202"/>
      <c r="D59" s="209"/>
      <c r="E59" s="206"/>
      <c r="F59" s="204"/>
      <c r="G59" s="205"/>
    </row>
    <row r="60" spans="1:7" ht="13" x14ac:dyDescent="0.25">
      <c r="A60" s="200"/>
      <c r="B60" s="201"/>
      <c r="C60" s="202"/>
      <c r="D60" s="209"/>
      <c r="E60" s="206"/>
      <c r="F60" s="204"/>
      <c r="G60" s="205"/>
    </row>
    <row r="61" spans="1:7" ht="13" x14ac:dyDescent="0.25">
      <c r="A61" s="200"/>
      <c r="B61" s="201"/>
      <c r="C61" s="202"/>
      <c r="D61" s="209"/>
      <c r="E61" s="206"/>
      <c r="F61" s="204"/>
      <c r="G61" s="205"/>
    </row>
    <row r="62" spans="1:7" ht="36" customHeight="1" x14ac:dyDescent="0.25">
      <c r="A62" s="200"/>
      <c r="B62" s="201"/>
      <c r="C62" s="202"/>
      <c r="D62" s="203"/>
      <c r="E62" s="201"/>
      <c r="F62" s="204"/>
      <c r="G62" s="205"/>
    </row>
    <row r="63" spans="1:7" ht="13" x14ac:dyDescent="0.25">
      <c r="A63" s="200"/>
      <c r="B63" s="201"/>
      <c r="C63" s="202"/>
      <c r="D63" s="203"/>
      <c r="E63" s="201"/>
      <c r="F63" s="204"/>
      <c r="G63" s="205"/>
    </row>
    <row r="64" spans="1:7" ht="13" x14ac:dyDescent="0.25">
      <c r="A64" s="200"/>
      <c r="B64" s="201"/>
      <c r="C64" s="202"/>
      <c r="D64" s="203"/>
      <c r="E64" s="201"/>
      <c r="F64" s="204"/>
      <c r="G64" s="205"/>
    </row>
    <row r="65" spans="1:7" ht="44.25" customHeight="1" x14ac:dyDescent="0.25">
      <c r="A65" s="200"/>
      <c r="B65" s="201"/>
      <c r="C65" s="202"/>
      <c r="D65" s="203"/>
      <c r="E65" s="201"/>
      <c r="F65" s="204"/>
      <c r="G65" s="205"/>
    </row>
    <row r="66" spans="1:7" ht="13" x14ac:dyDescent="0.25">
      <c r="A66" s="200"/>
      <c r="B66" s="201"/>
      <c r="C66" s="202"/>
      <c r="D66" s="203"/>
      <c r="E66" s="201"/>
      <c r="F66" s="204"/>
      <c r="G66" s="205"/>
    </row>
    <row r="67" spans="1:7" ht="13" x14ac:dyDescent="0.25">
      <c r="A67" s="200"/>
      <c r="B67" s="201"/>
      <c r="C67" s="202"/>
      <c r="D67" s="203"/>
      <c r="E67" s="201"/>
      <c r="F67" s="204"/>
      <c r="G67" s="205"/>
    </row>
    <row r="68" spans="1:7" ht="46.5" customHeight="1" x14ac:dyDescent="0.25">
      <c r="A68" s="200"/>
      <c r="B68" s="201"/>
      <c r="C68" s="202"/>
      <c r="D68" s="203"/>
      <c r="E68" s="201"/>
      <c r="F68" s="204"/>
      <c r="G68" s="205"/>
    </row>
    <row r="69" spans="1:7" ht="13" x14ac:dyDescent="0.25">
      <c r="A69" s="200"/>
      <c r="B69" s="201"/>
      <c r="C69" s="202"/>
      <c r="D69" s="203"/>
      <c r="E69" s="201"/>
      <c r="F69" s="204"/>
      <c r="G69" s="205"/>
    </row>
    <row r="70" spans="1:7" ht="13" x14ac:dyDescent="0.25">
      <c r="A70" s="200"/>
      <c r="B70" s="201"/>
      <c r="C70" s="202"/>
      <c r="D70" s="203"/>
      <c r="E70" s="201"/>
      <c r="F70" s="204"/>
      <c r="G70" s="205"/>
    </row>
    <row r="71" spans="1:7" ht="44.25" customHeight="1" x14ac:dyDescent="0.25">
      <c r="A71" s="200"/>
      <c r="B71" s="201"/>
      <c r="C71" s="202"/>
      <c r="D71" s="203"/>
      <c r="E71" s="206"/>
      <c r="F71" s="204"/>
      <c r="G71" s="205"/>
    </row>
    <row r="72" spans="1:7" ht="13" x14ac:dyDescent="0.25">
      <c r="A72" s="200"/>
      <c r="B72" s="201"/>
      <c r="C72" s="202"/>
      <c r="D72" s="203"/>
      <c r="E72" s="206"/>
      <c r="F72" s="204"/>
      <c r="G72" s="205"/>
    </row>
    <row r="73" spans="1:7" ht="13" x14ac:dyDescent="0.25">
      <c r="A73" s="200"/>
      <c r="B73" s="201"/>
      <c r="C73" s="202"/>
      <c r="D73" s="203"/>
      <c r="E73" s="206"/>
      <c r="F73" s="204"/>
      <c r="G73" s="205"/>
    </row>
    <row r="74" spans="1:7" ht="60" customHeight="1" x14ac:dyDescent="0.25">
      <c r="A74" s="200"/>
      <c r="B74" s="201"/>
      <c r="C74" s="202"/>
      <c r="D74" s="209"/>
      <c r="E74" s="206"/>
      <c r="F74" s="204"/>
      <c r="G74" s="205"/>
    </row>
    <row r="75" spans="1:7" ht="13" x14ac:dyDescent="0.25">
      <c r="A75" s="200"/>
      <c r="B75" s="201"/>
      <c r="C75" s="202"/>
      <c r="D75" s="209"/>
      <c r="E75" s="206"/>
      <c r="F75" s="204"/>
      <c r="G75" s="205"/>
    </row>
    <row r="76" spans="1:7" ht="13" x14ac:dyDescent="0.25">
      <c r="A76" s="200"/>
      <c r="B76" s="201"/>
      <c r="C76" s="202"/>
      <c r="D76" s="209"/>
      <c r="E76" s="206"/>
      <c r="F76" s="204"/>
      <c r="G76" s="205"/>
    </row>
    <row r="77" spans="1:7" ht="48" customHeight="1" x14ac:dyDescent="0.25">
      <c r="A77" s="200"/>
      <c r="B77" s="201"/>
      <c r="C77" s="202"/>
      <c r="D77" s="203"/>
      <c r="E77" s="201"/>
      <c r="F77" s="204"/>
      <c r="G77" s="205"/>
    </row>
    <row r="78" spans="1:7" ht="13" x14ac:dyDescent="0.25">
      <c r="A78" s="200"/>
      <c r="B78" s="201"/>
      <c r="C78" s="202"/>
      <c r="D78" s="203"/>
      <c r="E78" s="201"/>
      <c r="F78" s="204"/>
      <c r="G78" s="205"/>
    </row>
    <row r="79" spans="1:7" ht="13" x14ac:dyDescent="0.25">
      <c r="A79" s="200"/>
      <c r="B79" s="201"/>
      <c r="C79" s="202"/>
      <c r="D79" s="203"/>
      <c r="E79" s="201"/>
      <c r="F79" s="204"/>
      <c r="G79" s="205"/>
    </row>
  </sheetData>
  <mergeCells count="2">
    <mergeCell ref="I33:AC35"/>
    <mergeCell ref="I28:AC30"/>
  </mergeCell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9"/>
  <sheetViews>
    <sheetView topLeftCell="C8" zoomScale="80" zoomScaleNormal="80" workbookViewId="0">
      <selection activeCell="W8" sqref="W8"/>
    </sheetView>
  </sheetViews>
  <sheetFormatPr defaultRowHeight="12.5" x14ac:dyDescent="0.25"/>
  <cols>
    <col min="1" max="1" width="31.1796875" customWidth="1"/>
    <col min="2" max="2" width="16.1796875" customWidth="1"/>
    <col min="3" max="3" width="14.54296875" customWidth="1"/>
    <col min="4" max="4" width="9.81640625" customWidth="1"/>
  </cols>
  <sheetData>
    <row r="1" spans="1:4" ht="28.5" customHeight="1" thickTop="1" thickBot="1" x14ac:dyDescent="0.3">
      <c r="A1" s="268" t="s">
        <v>221</v>
      </c>
      <c r="B1" s="269" t="s">
        <v>376</v>
      </c>
      <c r="C1" s="269" t="s">
        <v>263</v>
      </c>
      <c r="D1" s="269" t="s">
        <v>377</v>
      </c>
    </row>
    <row r="2" spans="1:4" ht="31.5" customHeight="1" thickTop="1" x14ac:dyDescent="0.25">
      <c r="A2" s="381" t="s">
        <v>254</v>
      </c>
      <c r="B2" s="388">
        <f>100/D2</f>
        <v>17.301038062283737</v>
      </c>
      <c r="C2" s="267">
        <f>'srovnání účinností'!H3</f>
        <v>7007.05</v>
      </c>
      <c r="D2" s="387">
        <f>'srovnání účinností'!E3</f>
        <v>5.78</v>
      </c>
    </row>
    <row r="3" spans="1:4" ht="28.5" customHeight="1" x14ac:dyDescent="0.25">
      <c r="A3" s="382" t="s">
        <v>378</v>
      </c>
      <c r="B3" s="270">
        <f t="shared" ref="B3:B17" si="0">100/D3</f>
        <v>23.419203747072601</v>
      </c>
      <c r="C3" s="262">
        <f>'srovnání účinností'!H4</f>
        <v>48143.473599999998</v>
      </c>
      <c r="D3" s="387">
        <f>'srovnání účinností'!E4</f>
        <v>4.2699999999999996</v>
      </c>
    </row>
    <row r="4" spans="1:4" ht="31.5" customHeight="1" x14ac:dyDescent="0.25">
      <c r="A4" s="382" t="s">
        <v>379</v>
      </c>
      <c r="B4" s="270">
        <f t="shared" si="0"/>
        <v>23.419203747072601</v>
      </c>
      <c r="C4" s="262">
        <f>'srovnání účinností'!H7</f>
        <v>30864</v>
      </c>
      <c r="D4" s="387">
        <f>'srovnání účinností'!E7</f>
        <v>4.2699999999999996</v>
      </c>
    </row>
    <row r="5" spans="1:4" ht="28.5" customHeight="1" x14ac:dyDescent="0.25">
      <c r="A5" s="382" t="s">
        <v>255</v>
      </c>
      <c r="B5" s="270">
        <f t="shared" si="0"/>
        <v>43.478260869565219</v>
      </c>
      <c r="C5" s="262">
        <f>'srovnání účinností'!H5</f>
        <v>91242.940799999997</v>
      </c>
      <c r="D5" s="387">
        <f>'srovnání účinností'!E5</f>
        <v>2.2999999999999998</v>
      </c>
    </row>
    <row r="6" spans="1:4" ht="27.75" customHeight="1" x14ac:dyDescent="0.25">
      <c r="A6" s="382" t="s">
        <v>256</v>
      </c>
      <c r="B6" s="270">
        <f t="shared" si="0"/>
        <v>44.247787610619476</v>
      </c>
      <c r="C6" s="262">
        <f>'srovnání účinností'!H16</f>
        <v>179240.74200000003</v>
      </c>
      <c r="D6" s="387">
        <f>'srovnání účinností'!E16</f>
        <v>2.2599999999999998</v>
      </c>
    </row>
    <row r="7" spans="1:4" ht="28.5" customHeight="1" x14ac:dyDescent="0.25">
      <c r="A7" s="382" t="s">
        <v>257</v>
      </c>
      <c r="B7" s="270">
        <f>100/D7</f>
        <v>37.735849056603776</v>
      </c>
      <c r="C7" s="262">
        <f>'srovnání účinností'!H6</f>
        <v>189203.97600000002</v>
      </c>
      <c r="D7" s="387">
        <f>'srovnání účinností'!E6</f>
        <v>2.65</v>
      </c>
    </row>
    <row r="8" spans="1:4" ht="27" customHeight="1" x14ac:dyDescent="0.25">
      <c r="A8" s="382" t="s">
        <v>447</v>
      </c>
      <c r="B8" s="270">
        <f t="shared" si="0"/>
        <v>32.467532467532465</v>
      </c>
      <c r="C8" s="262">
        <f>'srovnání účinností'!H8</f>
        <v>138364.83000000002</v>
      </c>
      <c r="D8" s="387">
        <f>'srovnání účinností'!E8</f>
        <v>3.08</v>
      </c>
    </row>
    <row r="9" spans="1:4" ht="27" customHeight="1" x14ac:dyDescent="0.25">
      <c r="A9" s="382" t="s">
        <v>258</v>
      </c>
      <c r="B9" s="270">
        <f t="shared" si="0"/>
        <v>17.301038062283737</v>
      </c>
      <c r="C9" s="262">
        <f>'srovnání účinností'!H10</f>
        <v>53673.75</v>
      </c>
      <c r="D9" s="387">
        <f>'srovnání účinností'!E10</f>
        <v>5.78</v>
      </c>
    </row>
    <row r="10" spans="1:4" ht="25.5" customHeight="1" x14ac:dyDescent="0.25">
      <c r="A10" s="382" t="s">
        <v>259</v>
      </c>
      <c r="B10" s="270">
        <f t="shared" si="0"/>
        <v>13.908205841446453</v>
      </c>
      <c r="C10" s="262">
        <f>'srovnání účinností'!H13</f>
        <v>52415.845019999993</v>
      </c>
      <c r="D10" s="387">
        <f>'srovnání účinností'!E13</f>
        <v>7.19</v>
      </c>
    </row>
    <row r="11" spans="1:4" ht="22.5" customHeight="1" x14ac:dyDescent="0.25">
      <c r="A11" s="382" t="s">
        <v>260</v>
      </c>
      <c r="B11" s="270">
        <f t="shared" si="0"/>
        <v>32.154340836012864</v>
      </c>
      <c r="C11" s="262">
        <f>'srovnání účinností'!H9</f>
        <v>144817.56800000003</v>
      </c>
      <c r="D11" s="387">
        <f>'srovnání účinností'!E9</f>
        <v>3.11</v>
      </c>
    </row>
    <row r="12" spans="1:4" ht="29.25" customHeight="1" x14ac:dyDescent="0.25">
      <c r="A12" s="382" t="s">
        <v>280</v>
      </c>
      <c r="B12" s="270">
        <f t="shared" si="0"/>
        <v>5.9630292188431726</v>
      </c>
      <c r="C12" s="262">
        <f>'srovnání účinností'!H11</f>
        <v>35616</v>
      </c>
      <c r="D12" s="387">
        <f>'srovnání účinností'!E11</f>
        <v>16.77</v>
      </c>
    </row>
    <row r="13" spans="1:4" ht="29.25" customHeight="1" x14ac:dyDescent="0.25">
      <c r="A13" s="261" t="s">
        <v>380</v>
      </c>
      <c r="B13" s="270">
        <f t="shared" si="0"/>
        <v>23.419203747072601</v>
      </c>
      <c r="C13" s="262">
        <f>'srovnání účinností'!H18</f>
        <v>41402</v>
      </c>
      <c r="D13" s="387">
        <f>'srovnání účinností'!E18</f>
        <v>4.2699999999999996</v>
      </c>
    </row>
    <row r="14" spans="1:4" ht="29.25" customHeight="1" x14ac:dyDescent="0.25">
      <c r="A14" s="382" t="s">
        <v>381</v>
      </c>
      <c r="B14" s="270">
        <f t="shared" si="0"/>
        <v>13.140604467805518</v>
      </c>
      <c r="C14" s="262">
        <f>'srovnání účinností'!H19</f>
        <v>155005.97400000002</v>
      </c>
      <c r="D14" s="387">
        <f>'srovnání účinností'!E19</f>
        <v>7.61</v>
      </c>
    </row>
    <row r="15" spans="1:4" ht="29.25" customHeight="1" x14ac:dyDescent="0.25">
      <c r="A15" s="382" t="s">
        <v>382</v>
      </c>
      <c r="B15" s="270">
        <f t="shared" si="0"/>
        <v>57.47126436781609</v>
      </c>
      <c r="C15" s="262">
        <f>'srovnání účinností'!H20</f>
        <v>191453.87940000001</v>
      </c>
      <c r="D15" s="387">
        <f>'srovnání účinností'!E20</f>
        <v>1.74</v>
      </c>
    </row>
    <row r="16" spans="1:4" ht="27" customHeight="1" x14ac:dyDescent="0.25">
      <c r="A16" s="382" t="s">
        <v>261</v>
      </c>
      <c r="B16" s="270">
        <f t="shared" si="0"/>
        <v>17.482517482517483</v>
      </c>
      <c r="C16" s="262">
        <f>'srovnání účinností'!H12</f>
        <v>185420.79</v>
      </c>
      <c r="D16" s="387">
        <f>'srovnání účinností'!E12</f>
        <v>5.72</v>
      </c>
    </row>
    <row r="17" spans="1:11" ht="27.75" customHeight="1" thickBot="1" x14ac:dyDescent="0.3">
      <c r="A17" s="383" t="s">
        <v>262</v>
      </c>
      <c r="B17" s="389">
        <f t="shared" si="0"/>
        <v>16.722408026755851</v>
      </c>
      <c r="C17" s="265">
        <f>'srovnání účinností'!H14</f>
        <v>87069.51</v>
      </c>
      <c r="D17" s="387">
        <f>'srovnání účinností'!E14</f>
        <v>5.98</v>
      </c>
    </row>
    <row r="18" spans="1:11" ht="35.25" customHeight="1" thickTop="1" x14ac:dyDescent="0.25">
      <c r="A18" s="384" t="s">
        <v>264</v>
      </c>
      <c r="B18" s="271">
        <f>100/D18</f>
        <v>26.881720430107524</v>
      </c>
      <c r="C18" s="266">
        <f>'srovnání účinností'!G3</f>
        <v>18218.330000000002</v>
      </c>
      <c r="D18" s="392">
        <f>'srovnání účinností'!F3</f>
        <v>3.72</v>
      </c>
    </row>
    <row r="19" spans="1:11" ht="30.75" customHeight="1" x14ac:dyDescent="0.25">
      <c r="A19" s="385" t="s">
        <v>385</v>
      </c>
      <c r="B19" s="272">
        <f>100/D19</f>
        <v>30.303030303030305</v>
      </c>
      <c r="C19" s="263">
        <f>'srovnání účinností'!G4</f>
        <v>80339.421569999991</v>
      </c>
      <c r="D19" s="393">
        <f>'srovnání účinností'!F4</f>
        <v>3.3</v>
      </c>
    </row>
    <row r="20" spans="1:11" ht="28.5" customHeight="1" x14ac:dyDescent="0.25">
      <c r="A20" s="385" t="s">
        <v>386</v>
      </c>
      <c r="B20" s="272">
        <f t="shared" ref="B20:B33" si="1">100/D20</f>
        <v>30.303030303030305</v>
      </c>
      <c r="C20" s="263">
        <f>'srovnání účinností'!G7</f>
        <v>51504.299999999996</v>
      </c>
      <c r="D20" s="393">
        <f>'srovnání účinností'!F7</f>
        <v>3.3</v>
      </c>
    </row>
    <row r="21" spans="1:11" ht="30.75" customHeight="1" x14ac:dyDescent="0.3">
      <c r="A21" s="385" t="s">
        <v>265</v>
      </c>
      <c r="B21" s="272">
        <f t="shared" si="1"/>
        <v>55.555555555555557</v>
      </c>
      <c r="C21" s="263">
        <f>'srovnání účinností'!G5</f>
        <v>237231.64607999998</v>
      </c>
      <c r="D21" s="393">
        <f>'srovnání účinností'!F5</f>
        <v>1.8</v>
      </c>
      <c r="K21" s="394"/>
    </row>
    <row r="22" spans="1:11" ht="28.5" customHeight="1" x14ac:dyDescent="0.25">
      <c r="A22" s="385" t="s">
        <v>266</v>
      </c>
      <c r="B22" s="272">
        <f t="shared" si="1"/>
        <v>66.666666666666671</v>
      </c>
      <c r="C22" s="263">
        <f>'srovnání účinností'!G16</f>
        <v>258704.13762000002</v>
      </c>
      <c r="D22" s="393">
        <f>'srovnání účinností'!F16</f>
        <v>1.5</v>
      </c>
    </row>
    <row r="23" spans="1:11" ht="33.75" customHeight="1" x14ac:dyDescent="0.25">
      <c r="A23" s="385" t="s">
        <v>267</v>
      </c>
      <c r="B23" s="272">
        <f t="shared" si="1"/>
        <v>47.61904761904762</v>
      </c>
      <c r="C23" s="263">
        <f>'srovnání účinností'!G6</f>
        <v>273294.63199999998</v>
      </c>
      <c r="D23" s="393">
        <f>'srovnání účinností'!F6</f>
        <v>2.1</v>
      </c>
    </row>
    <row r="24" spans="1:11" ht="36.75" customHeight="1" x14ac:dyDescent="0.25">
      <c r="A24" s="385" t="s">
        <v>448</v>
      </c>
      <c r="B24" s="272">
        <f t="shared" si="1"/>
        <v>55.555555555555557</v>
      </c>
      <c r="C24" s="263">
        <f>'srovnání účinností'!G8</f>
        <v>309014.78700000001</v>
      </c>
      <c r="D24" s="393">
        <f>'srovnání účinností'!F8</f>
        <v>1.8</v>
      </c>
    </row>
    <row r="25" spans="1:11" ht="30.75" customHeight="1" x14ac:dyDescent="0.25">
      <c r="A25" s="385" t="s">
        <v>268</v>
      </c>
      <c r="B25" s="272">
        <f t="shared" si="1"/>
        <v>26.881720430107524</v>
      </c>
      <c r="C25" s="263">
        <f>'srovnání účinností'!G10</f>
        <v>139551.75</v>
      </c>
      <c r="D25" s="393">
        <f>'srovnání účinností'!F10</f>
        <v>3.72</v>
      </c>
    </row>
    <row r="26" spans="1:11" ht="37.5" customHeight="1" x14ac:dyDescent="0.25">
      <c r="A26" s="385" t="s">
        <v>271</v>
      </c>
      <c r="B26" s="272">
        <f t="shared" si="1"/>
        <v>28.571428571428573</v>
      </c>
      <c r="C26" s="263">
        <f>'srovnání účinností'!G13</f>
        <v>113567.66420999999</v>
      </c>
      <c r="D26" s="393">
        <f>'srovnání účinností'!F13</f>
        <v>3.5</v>
      </c>
    </row>
    <row r="27" spans="1:11" ht="30" customHeight="1" x14ac:dyDescent="0.25">
      <c r="A27" s="385" t="s">
        <v>269</v>
      </c>
      <c r="B27" s="272">
        <f t="shared" si="1"/>
        <v>41.666666666666671</v>
      </c>
      <c r="C27" s="263">
        <f>'srovnání účinností'!G9</f>
        <v>248258.68800000002</v>
      </c>
      <c r="D27" s="393">
        <f>'srovnání účinností'!F9</f>
        <v>2.4</v>
      </c>
    </row>
    <row r="28" spans="1:11" ht="30" customHeight="1" x14ac:dyDescent="0.25">
      <c r="A28" s="385" t="s">
        <v>281</v>
      </c>
      <c r="B28" s="272">
        <f t="shared" si="1"/>
        <v>16.949152542372879</v>
      </c>
      <c r="C28" s="263">
        <f>'srovnání účinností'!G11</f>
        <v>77168</v>
      </c>
      <c r="D28" s="393">
        <f>'srovnání účinností'!F11</f>
        <v>5.9</v>
      </c>
    </row>
    <row r="29" spans="1:11" ht="30" customHeight="1" x14ac:dyDescent="0.25">
      <c r="A29" s="390" t="s">
        <v>387</v>
      </c>
      <c r="B29" s="272">
        <f t="shared" si="1"/>
        <v>30.303030303030305</v>
      </c>
      <c r="C29" s="263">
        <f>'srovnání účinností'!G18</f>
        <v>135044</v>
      </c>
      <c r="D29" s="393">
        <f>'srovnání účinností'!F18</f>
        <v>3.3</v>
      </c>
    </row>
    <row r="30" spans="1:11" ht="30" customHeight="1" x14ac:dyDescent="0.25">
      <c r="A30" s="391" t="s">
        <v>383</v>
      </c>
      <c r="B30" s="272">
        <f t="shared" si="1"/>
        <v>28.571428571428573</v>
      </c>
      <c r="C30" s="263">
        <f>'srovnání účinností'!G19</f>
        <v>223725.28914000001</v>
      </c>
      <c r="D30" s="393">
        <f>'srovnání účinností'!F19</f>
        <v>3.5</v>
      </c>
    </row>
    <row r="31" spans="1:11" ht="31.5" customHeight="1" x14ac:dyDescent="0.25">
      <c r="A31" s="391" t="s">
        <v>384</v>
      </c>
      <c r="B31" s="272">
        <f t="shared" si="1"/>
        <v>57.142857142857146</v>
      </c>
      <c r="C31" s="263">
        <f>'srovnání účinností'!G20</f>
        <v>248890.04321999999</v>
      </c>
      <c r="D31" s="393">
        <f>'srovnání účinností'!F20</f>
        <v>1.75</v>
      </c>
    </row>
    <row r="32" spans="1:11" ht="32.25" customHeight="1" x14ac:dyDescent="0.25">
      <c r="A32" s="385" t="s">
        <v>270</v>
      </c>
      <c r="B32" s="272">
        <f t="shared" si="1"/>
        <v>30.303030303030305</v>
      </c>
      <c r="C32" s="263">
        <f>'srovnání účinností'!G12</f>
        <v>267809.42769000004</v>
      </c>
      <c r="D32" s="393">
        <f>'srovnání účinností'!F12</f>
        <v>3.3</v>
      </c>
    </row>
    <row r="33" spans="1:4" ht="35.25" customHeight="1" thickBot="1" x14ac:dyDescent="0.3">
      <c r="A33" s="386" t="s">
        <v>272</v>
      </c>
      <c r="B33" s="272">
        <f t="shared" si="1"/>
        <v>34.482758620689658</v>
      </c>
      <c r="C33" s="264">
        <f>'srovnání účinností'!G14</f>
        <v>251534.13999999998</v>
      </c>
      <c r="D33" s="393">
        <f>'srovnání účinností'!F14</f>
        <v>2.9</v>
      </c>
    </row>
    <row r="34" spans="1:4" ht="13.5" thickTop="1" x14ac:dyDescent="0.25">
      <c r="A34" s="200"/>
      <c r="B34" s="200"/>
      <c r="C34" s="203"/>
    </row>
    <row r="35" spans="1:4" ht="13" x14ac:dyDescent="0.25">
      <c r="A35" s="200"/>
      <c r="B35" s="200"/>
      <c r="C35" s="203"/>
    </row>
    <row r="36" spans="1:4" ht="47.25" customHeight="1" x14ac:dyDescent="0.25">
      <c r="A36" s="200"/>
      <c r="B36" s="200"/>
      <c r="C36" s="203"/>
    </row>
    <row r="37" spans="1:4" ht="13" x14ac:dyDescent="0.25">
      <c r="A37" s="200"/>
      <c r="B37" s="200"/>
      <c r="C37" s="203"/>
    </row>
    <row r="38" spans="1:4" ht="13" x14ac:dyDescent="0.25">
      <c r="A38" s="200"/>
      <c r="B38" s="200"/>
      <c r="C38" s="203"/>
    </row>
    <row r="39" spans="1:4" ht="51.75" customHeight="1" x14ac:dyDescent="0.25">
      <c r="A39" s="200"/>
      <c r="B39" s="200"/>
      <c r="C39" s="209"/>
    </row>
    <row r="40" spans="1:4" ht="13" x14ac:dyDescent="0.25">
      <c r="A40" s="200"/>
      <c r="B40" s="200"/>
      <c r="C40" s="209"/>
    </row>
    <row r="41" spans="1:4" ht="13" x14ac:dyDescent="0.25">
      <c r="A41" s="200"/>
      <c r="B41" s="200"/>
      <c r="C41" s="209"/>
    </row>
    <row r="42" spans="1:4" ht="36" customHeight="1" x14ac:dyDescent="0.25">
      <c r="A42" s="200"/>
      <c r="B42" s="200"/>
      <c r="C42" s="203"/>
    </row>
    <row r="43" spans="1:4" ht="13" x14ac:dyDescent="0.25">
      <c r="A43" s="200"/>
      <c r="B43" s="200"/>
      <c r="C43" s="203"/>
    </row>
    <row r="44" spans="1:4" ht="13" x14ac:dyDescent="0.25">
      <c r="A44" s="200"/>
      <c r="B44" s="200"/>
      <c r="C44" s="203"/>
    </row>
    <row r="45" spans="1:4" ht="44.25" customHeight="1" x14ac:dyDescent="0.25">
      <c r="A45" s="200"/>
      <c r="B45" s="200"/>
      <c r="C45" s="203"/>
    </row>
    <row r="46" spans="1:4" ht="13" x14ac:dyDescent="0.25">
      <c r="A46" s="200"/>
      <c r="B46" s="200"/>
      <c r="C46" s="203"/>
    </row>
    <row r="47" spans="1:4" ht="13" x14ac:dyDescent="0.25">
      <c r="A47" s="200"/>
      <c r="B47" s="200"/>
      <c r="C47" s="203"/>
    </row>
    <row r="48" spans="1:4" ht="46.5" customHeight="1" x14ac:dyDescent="0.25">
      <c r="A48" s="200"/>
      <c r="B48" s="200"/>
      <c r="C48" s="203"/>
    </row>
    <row r="49" spans="1:3" ht="13" x14ac:dyDescent="0.25">
      <c r="A49" s="200"/>
      <c r="B49" s="200"/>
      <c r="C49" s="203"/>
    </row>
    <row r="50" spans="1:3" ht="13" x14ac:dyDescent="0.25">
      <c r="A50" s="200"/>
      <c r="B50" s="200"/>
      <c r="C50" s="203"/>
    </row>
    <row r="51" spans="1:3" ht="44.25" customHeight="1" x14ac:dyDescent="0.25">
      <c r="A51" s="200"/>
      <c r="B51" s="200"/>
      <c r="C51" s="203"/>
    </row>
    <row r="52" spans="1:3" ht="13" x14ac:dyDescent="0.25">
      <c r="A52" s="200"/>
      <c r="B52" s="200"/>
      <c r="C52" s="203"/>
    </row>
    <row r="53" spans="1:3" ht="13" x14ac:dyDescent="0.25">
      <c r="A53" s="200"/>
      <c r="B53" s="200"/>
      <c r="C53" s="203"/>
    </row>
    <row r="54" spans="1:3" ht="60" customHeight="1" x14ac:dyDescent="0.25">
      <c r="A54" s="200"/>
      <c r="B54" s="200"/>
      <c r="C54" s="209"/>
    </row>
    <row r="55" spans="1:3" ht="13" x14ac:dyDescent="0.25">
      <c r="A55" s="200"/>
      <c r="B55" s="200"/>
      <c r="C55" s="209"/>
    </row>
    <row r="56" spans="1:3" ht="13" x14ac:dyDescent="0.25">
      <c r="A56" s="200"/>
      <c r="B56" s="200"/>
      <c r="C56" s="209"/>
    </row>
    <row r="57" spans="1:3" ht="48" customHeight="1" x14ac:dyDescent="0.25">
      <c r="A57" s="200"/>
      <c r="B57" s="200"/>
      <c r="C57" s="203"/>
    </row>
    <row r="58" spans="1:3" ht="13" x14ac:dyDescent="0.25">
      <c r="A58" s="200"/>
      <c r="B58" s="200"/>
      <c r="C58" s="203"/>
    </row>
    <row r="59" spans="1:3" ht="13" x14ac:dyDescent="0.25">
      <c r="A59" s="200"/>
      <c r="B59" s="200"/>
      <c r="C59" s="203"/>
    </row>
  </sheetData>
  <pageMargins left="0.70866141732283472" right="0.70866141732283472" top="0.78740157480314965" bottom="0.78740157480314965"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topLeftCell="B4" zoomScale="90" zoomScaleNormal="90" workbookViewId="0">
      <selection activeCell="C14" sqref="C14"/>
    </sheetView>
  </sheetViews>
  <sheetFormatPr defaultColWidth="9.1796875" defaultRowHeight="12.5" x14ac:dyDescent="0.25"/>
  <cols>
    <col min="1" max="1" width="51.81640625" style="281" customWidth="1"/>
    <col min="2" max="2" width="20.453125" style="281" customWidth="1"/>
    <col min="3" max="3" width="10.81640625" style="281" customWidth="1"/>
    <col min="4" max="16384" width="9.1796875" style="281"/>
  </cols>
  <sheetData>
    <row r="1" spans="1:6" ht="62.5" customHeight="1" thickTop="1" thickBot="1" x14ac:dyDescent="0.3">
      <c r="A1" s="279" t="s">
        <v>221</v>
      </c>
      <c r="B1" s="280" t="s">
        <v>508</v>
      </c>
      <c r="C1" s="280" t="s">
        <v>263</v>
      </c>
    </row>
    <row r="2" spans="1:6" ht="27.75" customHeight="1" thickTop="1" x14ac:dyDescent="0.25">
      <c r="A2" s="282" t="s">
        <v>362</v>
      </c>
      <c r="B2" s="283">
        <f>100*('ICER 1.lin.(po indukci)'!D5)</f>
        <v>70.102564102564102</v>
      </c>
      <c r="C2" s="284">
        <f>'ceny léčiv'!U19</f>
        <v>7007.05</v>
      </c>
    </row>
    <row r="3" spans="1:6" ht="29.25" customHeight="1" x14ac:dyDescent="0.25">
      <c r="A3" s="285" t="s">
        <v>296</v>
      </c>
      <c r="B3" s="286">
        <f>100*('ICER 1.lin.(po indukci)'!D8)</f>
        <v>30.813895781637711</v>
      </c>
      <c r="C3" s="287">
        <f>'ceny léčiv'!U8</f>
        <v>40625.01</v>
      </c>
    </row>
    <row r="4" spans="1:6" ht="31.5" customHeight="1" x14ac:dyDescent="0.25">
      <c r="A4" s="285" t="s">
        <v>297</v>
      </c>
      <c r="B4" s="286">
        <f>100*('ICER 1.lin.(po indukci)'!D11)</f>
        <v>22.977928692699493</v>
      </c>
      <c r="C4" s="287">
        <f>'ceny léčiv'!U28</f>
        <v>2690.3519999999999</v>
      </c>
    </row>
    <row r="5" spans="1:6" ht="30" customHeight="1" x14ac:dyDescent="0.25">
      <c r="A5" s="285" t="s">
        <v>298</v>
      </c>
      <c r="B5" s="286">
        <f>100*('ICER 1.lin.(po indukci)'!D14)</f>
        <v>36.211480362537763</v>
      </c>
      <c r="C5" s="287">
        <f>'ceny léčiv'!U29</f>
        <v>512.4896</v>
      </c>
    </row>
    <row r="6" spans="1:6" ht="33.75" customHeight="1" x14ac:dyDescent="0.25">
      <c r="A6" s="288" t="s">
        <v>299</v>
      </c>
      <c r="B6" s="286">
        <f>100*('ICER 1.lin.(po indukci)'!D17)</f>
        <v>41.842293906810035</v>
      </c>
      <c r="C6" s="289">
        <f>'ceny léčiv'!U31</f>
        <v>5367.3088000000007</v>
      </c>
    </row>
    <row r="7" spans="1:6" ht="33.75" customHeight="1" x14ac:dyDescent="0.25">
      <c r="A7" s="446" t="s">
        <v>503</v>
      </c>
      <c r="B7" s="286">
        <f>100*('ICER 1.lin.(po indukci)'!D20)</f>
        <v>36.769230769230774</v>
      </c>
      <c r="C7" s="289">
        <f>'ceny léčiv'!U25</f>
        <v>24353.090800000002</v>
      </c>
    </row>
    <row r="8" spans="1:6" ht="33.75" customHeight="1" thickBot="1" x14ac:dyDescent="0.3">
      <c r="A8" s="290" t="s">
        <v>300</v>
      </c>
      <c r="B8" s="291">
        <v>6</v>
      </c>
      <c r="C8" s="292">
        <v>0</v>
      </c>
    </row>
    <row r="9" spans="1:6" ht="30.75" customHeight="1" thickTop="1" x14ac:dyDescent="0.25">
      <c r="A9" s="293"/>
      <c r="B9" s="294"/>
      <c r="C9" s="295"/>
    </row>
    <row r="10" spans="1:6" ht="27.75" customHeight="1" x14ac:dyDescent="0.25">
      <c r="A10" s="296"/>
      <c r="B10" s="297"/>
      <c r="C10" s="298"/>
    </row>
    <row r="11" spans="1:6" ht="13" x14ac:dyDescent="0.25">
      <c r="A11" s="296"/>
      <c r="B11" s="297"/>
      <c r="C11" s="298"/>
    </row>
    <row r="12" spans="1:6" ht="30.75" customHeight="1" x14ac:dyDescent="0.25">
      <c r="A12" s="296"/>
      <c r="B12" s="297"/>
      <c r="C12" s="298"/>
      <c r="F12" s="299"/>
    </row>
    <row r="13" spans="1:6" ht="36" customHeight="1" x14ac:dyDescent="0.25">
      <c r="A13" s="300"/>
      <c r="B13" s="297"/>
      <c r="C13" s="301"/>
    </row>
    <row r="14" spans="1:6" ht="36" customHeight="1" x14ac:dyDescent="0.25">
      <c r="A14" s="447"/>
      <c r="B14" s="297"/>
      <c r="C14" s="301"/>
    </row>
    <row r="15" spans="1:6" ht="36" customHeight="1" x14ac:dyDescent="0.25">
      <c r="A15" s="447"/>
      <c r="B15" s="297"/>
      <c r="C15" s="301"/>
    </row>
    <row r="16" spans="1:6" ht="37.5" customHeight="1" thickBot="1" x14ac:dyDescent="0.3">
      <c r="A16" s="302"/>
      <c r="B16" s="303"/>
      <c r="C16" s="304"/>
    </row>
    <row r="17" spans="1:1" ht="7.5" customHeight="1" thickTop="1" x14ac:dyDescent="0.25"/>
    <row r="18" spans="1:1" ht="12.75" customHeight="1" x14ac:dyDescent="0.25">
      <c r="A18" s="305" t="s">
        <v>302</v>
      </c>
    </row>
    <row r="19" spans="1:1" x14ac:dyDescent="0.25">
      <c r="A19" s="299" t="s">
        <v>471</v>
      </c>
    </row>
    <row r="20" spans="1:1" x14ac:dyDescent="0.25">
      <c r="A20" s="305" t="s">
        <v>505</v>
      </c>
    </row>
    <row r="21" spans="1:1" x14ac:dyDescent="0.25">
      <c r="A21" s="305" t="s">
        <v>506</v>
      </c>
    </row>
    <row r="22" spans="1:1" x14ac:dyDescent="0.25">
      <c r="A22" s="305" t="s">
        <v>507</v>
      </c>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8"/>
  <sheetViews>
    <sheetView topLeftCell="A10" zoomScale="90" zoomScaleNormal="90" workbookViewId="0">
      <selection activeCell="F23" sqref="F23"/>
    </sheetView>
  </sheetViews>
  <sheetFormatPr defaultColWidth="9.1796875" defaultRowHeight="12.5" x14ac:dyDescent="0.25"/>
  <cols>
    <col min="1" max="1" width="37" style="281" customWidth="1"/>
    <col min="2" max="2" width="9.81640625" style="281" customWidth="1"/>
    <col min="3" max="3" width="12.81640625" style="281" customWidth="1"/>
    <col min="4" max="4" width="15.453125" style="281" customWidth="1"/>
    <col min="5" max="5" width="15.1796875" style="281" customWidth="1"/>
    <col min="6" max="16384" width="9.1796875" style="281"/>
  </cols>
  <sheetData>
    <row r="1" spans="1:6" ht="58.5" customHeight="1" thickTop="1" thickBot="1" x14ac:dyDescent="0.3">
      <c r="A1" s="306" t="s">
        <v>221</v>
      </c>
      <c r="B1" s="419" t="s">
        <v>473</v>
      </c>
      <c r="C1" s="307" t="s">
        <v>303</v>
      </c>
      <c r="D1" s="308" t="s">
        <v>472</v>
      </c>
      <c r="E1" s="309" t="s">
        <v>305</v>
      </c>
      <c r="F1" s="310"/>
    </row>
    <row r="2" spans="1:6" ht="24.75" customHeight="1" thickTop="1" x14ac:dyDescent="0.25">
      <c r="A2" s="311" t="s">
        <v>300</v>
      </c>
      <c r="B2" s="417"/>
      <c r="C2" s="312">
        <v>0</v>
      </c>
      <c r="D2" s="313">
        <v>0.06</v>
      </c>
      <c r="E2" s="314"/>
      <c r="F2" s="315"/>
    </row>
    <row r="3" spans="1:6" ht="13" x14ac:dyDescent="0.25">
      <c r="A3" s="316" t="s">
        <v>224</v>
      </c>
      <c r="B3" s="418"/>
      <c r="C3" s="317"/>
      <c r="D3" s="313">
        <v>0.04</v>
      </c>
      <c r="E3" s="314"/>
      <c r="F3" s="315"/>
    </row>
    <row r="4" spans="1:6" ht="13" x14ac:dyDescent="0.25">
      <c r="A4" s="316" t="s">
        <v>225</v>
      </c>
      <c r="B4" s="418"/>
      <c r="C4" s="317"/>
      <c r="D4" s="313">
        <v>0.09</v>
      </c>
      <c r="E4" s="314"/>
      <c r="F4" s="315"/>
    </row>
    <row r="5" spans="1:6" ht="28.5" customHeight="1" x14ac:dyDescent="0.25">
      <c r="A5" s="318" t="s">
        <v>364</v>
      </c>
      <c r="B5" s="424">
        <v>1.56</v>
      </c>
      <c r="C5" s="319">
        <f>'1.linie - eff.frontier (ind.)'!C2</f>
        <v>7007.05</v>
      </c>
      <c r="D5" s="420">
        <f>(1/B5)+0.06</f>
        <v>0.70102564102564102</v>
      </c>
      <c r="E5" s="314">
        <f>PRODUCT((C5-C2),(1/((D5)-(D2))))</f>
        <v>10930.998000000001</v>
      </c>
      <c r="F5" s="315">
        <v>2</v>
      </c>
    </row>
    <row r="6" spans="1:6" ht="13" x14ac:dyDescent="0.25">
      <c r="A6" s="321" t="s">
        <v>224</v>
      </c>
      <c r="B6" s="425">
        <v>1.67</v>
      </c>
      <c r="C6" s="319"/>
      <c r="D6" s="420">
        <f t="shared" ref="D6:D19" si="0">(1/B6)+0.06</f>
        <v>0.65880239520958095</v>
      </c>
      <c r="E6" s="314">
        <f>PRODUCT((C5-C2),(1/((D6)-(D2))))</f>
        <v>11701.773499999999</v>
      </c>
      <c r="F6" s="315">
        <v>2</v>
      </c>
    </row>
    <row r="7" spans="1:6" ht="13" x14ac:dyDescent="0.25">
      <c r="A7" s="321" t="s">
        <v>225</v>
      </c>
      <c r="B7" s="425">
        <v>1.47</v>
      </c>
      <c r="C7" s="319"/>
      <c r="D7" s="420">
        <f t="shared" si="0"/>
        <v>0.74027210884353734</v>
      </c>
      <c r="E7" s="314">
        <f>PRODUCT((C5-C2),(1/((D7)-(D2))))</f>
        <v>10300.363500000001</v>
      </c>
      <c r="F7" s="315">
        <v>2</v>
      </c>
    </row>
    <row r="8" spans="1:6" ht="31.5" customHeight="1" x14ac:dyDescent="0.25">
      <c r="A8" s="322" t="s">
        <v>306</v>
      </c>
      <c r="B8" s="426">
        <v>4.03</v>
      </c>
      <c r="C8" s="317">
        <f>'1.linie - eff.frontier (ind.)'!C3</f>
        <v>40625.01</v>
      </c>
      <c r="D8" s="421">
        <f t="shared" si="0"/>
        <v>0.30813895781637712</v>
      </c>
      <c r="E8" s="314">
        <f>PRODUCT((C8-C2),(1/((D8)-(D2))))</f>
        <v>163718.79030000005</v>
      </c>
      <c r="F8" s="315">
        <v>3</v>
      </c>
    </row>
    <row r="9" spans="1:6" ht="13" x14ac:dyDescent="0.25">
      <c r="A9" s="316" t="s">
        <v>224</v>
      </c>
      <c r="B9" s="427">
        <v>5.05</v>
      </c>
      <c r="C9" s="317"/>
      <c r="D9" s="421">
        <f t="shared" si="0"/>
        <v>0.25801980198019803</v>
      </c>
      <c r="E9" s="314">
        <f>PRODUCT((C8-C2),(1/((D9)-(D2))))</f>
        <v>205156.30050000001</v>
      </c>
      <c r="F9" s="315">
        <v>3</v>
      </c>
    </row>
    <row r="10" spans="1:6" ht="13" x14ac:dyDescent="0.25">
      <c r="A10" s="316" t="s">
        <v>225</v>
      </c>
      <c r="B10" s="427">
        <v>3.29</v>
      </c>
      <c r="C10" s="317"/>
      <c r="D10" s="421">
        <f t="shared" si="0"/>
        <v>0.363951367781155</v>
      </c>
      <c r="E10" s="314">
        <f>PRODUCT((C8-C2),(1/((D10)-(D2))))</f>
        <v>133656.28290000002</v>
      </c>
      <c r="F10" s="315">
        <v>3</v>
      </c>
    </row>
    <row r="11" spans="1:6" ht="25.5" customHeight="1" x14ac:dyDescent="0.25">
      <c r="A11" s="323" t="s">
        <v>307</v>
      </c>
      <c r="B11" s="428">
        <v>5.89</v>
      </c>
      <c r="C11" s="324">
        <f>'1.linie - eff.frontier (ind.)'!C4</f>
        <v>2690.3519999999999</v>
      </c>
      <c r="D11" s="422">
        <f t="shared" si="0"/>
        <v>0.22977928692699492</v>
      </c>
      <c r="E11" s="314">
        <f>PRODUCT((C11-C2),(1/((D11)-(D2))))</f>
        <v>15846.173279999999</v>
      </c>
      <c r="F11" s="315">
        <v>4</v>
      </c>
    </row>
    <row r="12" spans="1:6" ht="13" x14ac:dyDescent="0.25">
      <c r="A12" s="326" t="s">
        <v>224</v>
      </c>
      <c r="B12" s="429">
        <v>19.7</v>
      </c>
      <c r="C12" s="324"/>
      <c r="D12" s="422">
        <f t="shared" si="0"/>
        <v>0.11076142131979695</v>
      </c>
      <c r="E12" s="314">
        <f>PRODUCT((C11-C2),(1/((D12)-(D2))))</f>
        <v>52999.934399999998</v>
      </c>
      <c r="F12" s="315">
        <v>4</v>
      </c>
    </row>
    <row r="13" spans="1:6" ht="13" x14ac:dyDescent="0.25">
      <c r="A13" s="326" t="s">
        <v>225</v>
      </c>
      <c r="B13" s="429">
        <v>3.01</v>
      </c>
      <c r="C13" s="324"/>
      <c r="D13" s="422">
        <f t="shared" si="0"/>
        <v>0.39222591362126247</v>
      </c>
      <c r="E13" s="314">
        <f>PRODUCT((C11-C2),(1/((D13)-(D2))))</f>
        <v>8097.9595199999994</v>
      </c>
      <c r="F13" s="315">
        <v>4</v>
      </c>
    </row>
    <row r="14" spans="1:6" ht="26.25" customHeight="1" x14ac:dyDescent="0.25">
      <c r="A14" s="327" t="s">
        <v>308</v>
      </c>
      <c r="B14" s="430">
        <v>3.31</v>
      </c>
      <c r="C14" s="328">
        <f>'1.linie - eff.frontier (ind.)'!C5</f>
        <v>512.4896</v>
      </c>
      <c r="D14" s="423">
        <f t="shared" si="0"/>
        <v>0.36211480362537762</v>
      </c>
      <c r="E14" s="314">
        <f>PRODUCT((C14-C2),(1/((D14)-(D2))))</f>
        <v>1696.3405760000001</v>
      </c>
      <c r="F14" s="315">
        <v>5</v>
      </c>
    </row>
    <row r="15" spans="1:6" ht="13" x14ac:dyDescent="0.25">
      <c r="A15" s="330" t="s">
        <v>224</v>
      </c>
      <c r="B15" s="431">
        <v>4.42</v>
      </c>
      <c r="C15" s="328"/>
      <c r="D15" s="423">
        <f t="shared" si="0"/>
        <v>0.28624434389140274</v>
      </c>
      <c r="E15" s="314">
        <f>PRODUCT((C14-C2),(1/((D15)-(D2))))</f>
        <v>2265.2040319999996</v>
      </c>
      <c r="F15" s="315">
        <v>5</v>
      </c>
    </row>
    <row r="16" spans="1:6" ht="13" x14ac:dyDescent="0.25">
      <c r="A16" s="330" t="s">
        <v>225</v>
      </c>
      <c r="B16" s="431">
        <v>2.6</v>
      </c>
      <c r="C16" s="328"/>
      <c r="D16" s="423">
        <f t="shared" si="0"/>
        <v>0.44461538461538458</v>
      </c>
      <c r="E16" s="314">
        <f>PRODUCT((C14-C2),(1/((D16)-(D2))))</f>
        <v>1332.4729600000001</v>
      </c>
      <c r="F16" s="315">
        <v>5</v>
      </c>
    </row>
    <row r="17" spans="1:6" ht="37.5" customHeight="1" x14ac:dyDescent="0.25">
      <c r="A17" s="331" t="s">
        <v>309</v>
      </c>
      <c r="B17" s="432">
        <v>2.79</v>
      </c>
      <c r="C17" s="324">
        <f>'1.linie - eff.frontier (ind.)'!C6</f>
        <v>5367.3088000000007</v>
      </c>
      <c r="D17" s="422">
        <f t="shared" si="0"/>
        <v>0.41842293906810035</v>
      </c>
      <c r="E17" s="314">
        <f>PRODUCT((C17-C2),(1/((D17)-(D2))))</f>
        <v>14974.791552000002</v>
      </c>
      <c r="F17" s="315">
        <v>6</v>
      </c>
    </row>
    <row r="18" spans="1:6" ht="13" x14ac:dyDescent="0.25">
      <c r="A18" s="326" t="s">
        <v>224</v>
      </c>
      <c r="B18" s="429">
        <v>4.26</v>
      </c>
      <c r="C18" s="324"/>
      <c r="D18" s="422">
        <f t="shared" si="0"/>
        <v>0.29474178403755869</v>
      </c>
      <c r="E18" s="314">
        <f>PRODUCT((C17-C2),(1/((D18)-(D2))))</f>
        <v>22864.735488000002</v>
      </c>
      <c r="F18" s="315">
        <v>6</v>
      </c>
    </row>
    <row r="19" spans="1:6" ht="13" x14ac:dyDescent="0.25">
      <c r="A19" s="326" t="s">
        <v>225</v>
      </c>
      <c r="B19" s="429">
        <v>2.04</v>
      </c>
      <c r="C19" s="324"/>
      <c r="D19" s="422">
        <f t="shared" si="0"/>
        <v>0.55019607843137253</v>
      </c>
      <c r="E19" s="314">
        <f>PRODUCT((C17-C2),(1/((D19)-(D2))))</f>
        <v>10949.309952000001</v>
      </c>
      <c r="F19" s="315">
        <v>6</v>
      </c>
    </row>
    <row r="20" spans="1:6" ht="42" customHeight="1" x14ac:dyDescent="0.25">
      <c r="A20" s="327" t="s">
        <v>502</v>
      </c>
      <c r="B20" s="430">
        <v>3.25</v>
      </c>
      <c r="C20" s="328">
        <f>'1.linie - eff.frontier (ind.)'!C7</f>
        <v>24353.090800000002</v>
      </c>
      <c r="D20" s="423">
        <f t="shared" ref="D20:D22" si="1">(1/B20)+0.06</f>
        <v>0.36769230769230771</v>
      </c>
      <c r="E20" s="314">
        <f>PRODUCT((C20-C2),(1/((D20)-(D2))))</f>
        <v>79147.545100000003</v>
      </c>
      <c r="F20" s="315">
        <v>1</v>
      </c>
    </row>
    <row r="21" spans="1:6" ht="13" x14ac:dyDescent="0.25">
      <c r="A21" s="330" t="s">
        <v>224</v>
      </c>
      <c r="B21" s="431">
        <v>5.24</v>
      </c>
      <c r="C21" s="328"/>
      <c r="D21" s="423">
        <f t="shared" si="1"/>
        <v>0.25083969465648853</v>
      </c>
      <c r="E21" s="314">
        <f>PRODUCT((C20-C2),(1/((D21)-(D2))))</f>
        <v>127610.19579200001</v>
      </c>
      <c r="F21" s="315">
        <v>1</v>
      </c>
    </row>
    <row r="22" spans="1:6" ht="13" x14ac:dyDescent="0.25">
      <c r="A22" s="330" t="s">
        <v>225</v>
      </c>
      <c r="B22" s="431">
        <v>2.2799999999999998</v>
      </c>
      <c r="C22" s="328"/>
      <c r="D22" s="423">
        <f t="shared" si="1"/>
        <v>0.4985964912280702</v>
      </c>
      <c r="E22" s="314">
        <f>PRODUCT((C20-C2),(1/((D22)-(D2))))</f>
        <v>55525.047024</v>
      </c>
      <c r="F22" s="315">
        <v>1</v>
      </c>
    </row>
    <row r="23" spans="1:6" ht="40.5" customHeight="1" x14ac:dyDescent="0.25">
      <c r="A23" s="332"/>
      <c r="B23" s="332"/>
      <c r="C23" s="333"/>
      <c r="D23" s="337"/>
      <c r="E23" s="335"/>
      <c r="F23" s="336"/>
    </row>
    <row r="24" spans="1:6" ht="13" x14ac:dyDescent="0.25">
      <c r="A24" s="332"/>
      <c r="B24" s="332"/>
      <c r="C24" s="333"/>
      <c r="D24" s="337"/>
      <c r="E24" s="335"/>
      <c r="F24" s="336"/>
    </row>
    <row r="25" spans="1:6" ht="13" x14ac:dyDescent="0.25">
      <c r="A25" s="332"/>
      <c r="B25" s="332"/>
      <c r="C25" s="333"/>
      <c r="D25" s="337"/>
      <c r="E25" s="335"/>
      <c r="F25" s="336"/>
    </row>
    <row r="26" spans="1:6" ht="45" customHeight="1" x14ac:dyDescent="0.25">
      <c r="A26" s="338"/>
      <c r="B26" s="338"/>
      <c r="C26" s="333"/>
      <c r="D26" s="334"/>
      <c r="E26" s="335"/>
      <c r="F26" s="336"/>
    </row>
    <row r="27" spans="1:6" ht="13" x14ac:dyDescent="0.25">
      <c r="A27" s="332"/>
      <c r="B27" s="332"/>
      <c r="C27" s="333"/>
      <c r="D27" s="334"/>
      <c r="E27" s="335"/>
      <c r="F27" s="336"/>
    </row>
    <row r="28" spans="1:6" ht="13" x14ac:dyDescent="0.25">
      <c r="A28" s="332"/>
      <c r="B28" s="332"/>
      <c r="C28" s="333"/>
      <c r="D28" s="334"/>
      <c r="E28" s="335"/>
      <c r="F28" s="336"/>
    </row>
    <row r="29" spans="1:6" ht="42" customHeight="1" x14ac:dyDescent="0.25">
      <c r="A29" s="332"/>
      <c r="B29" s="332"/>
      <c r="C29" s="333"/>
      <c r="D29" s="334"/>
      <c r="E29" s="335"/>
      <c r="F29" s="336"/>
    </row>
    <row r="30" spans="1:6" ht="13" x14ac:dyDescent="0.25">
      <c r="A30" s="332"/>
      <c r="B30" s="332"/>
      <c r="C30" s="333"/>
      <c r="D30" s="334"/>
      <c r="E30" s="335"/>
      <c r="F30" s="336"/>
    </row>
    <row r="31" spans="1:6" ht="13" x14ac:dyDescent="0.25">
      <c r="A31" s="332"/>
      <c r="B31" s="332"/>
      <c r="C31" s="333"/>
      <c r="D31" s="334"/>
      <c r="E31" s="335"/>
      <c r="F31" s="336"/>
    </row>
    <row r="32" spans="1:6" ht="48" customHeight="1" x14ac:dyDescent="0.25">
      <c r="A32" s="332"/>
      <c r="B32" s="332"/>
      <c r="C32" s="333"/>
      <c r="D32" s="334"/>
      <c r="E32" s="335"/>
      <c r="F32" s="336"/>
    </row>
    <row r="33" spans="1:6" ht="13" x14ac:dyDescent="0.25">
      <c r="A33" s="332"/>
      <c r="B33" s="332"/>
      <c r="C33" s="333"/>
      <c r="D33" s="334"/>
      <c r="E33" s="335"/>
      <c r="F33" s="336"/>
    </row>
    <row r="34" spans="1:6" ht="13" x14ac:dyDescent="0.25">
      <c r="A34" s="332"/>
      <c r="B34" s="332"/>
      <c r="C34" s="333"/>
      <c r="D34" s="334"/>
      <c r="E34" s="335"/>
      <c r="F34" s="336"/>
    </row>
    <row r="35" spans="1:6" ht="47.25" customHeight="1" x14ac:dyDescent="0.25">
      <c r="A35" s="332"/>
      <c r="B35" s="332"/>
      <c r="C35" s="333"/>
      <c r="D35" s="334"/>
      <c r="E35" s="335"/>
      <c r="F35" s="336"/>
    </row>
    <row r="36" spans="1:6" ht="13" x14ac:dyDescent="0.25">
      <c r="A36" s="332"/>
      <c r="B36" s="332"/>
      <c r="C36" s="333"/>
      <c r="D36" s="334"/>
      <c r="E36" s="335"/>
      <c r="F36" s="336"/>
    </row>
    <row r="37" spans="1:6" ht="13" x14ac:dyDescent="0.25">
      <c r="A37" s="332"/>
      <c r="B37" s="332"/>
      <c r="C37" s="333"/>
      <c r="D37" s="334"/>
      <c r="E37" s="335"/>
      <c r="F37" s="336"/>
    </row>
    <row r="38" spans="1:6" ht="51.75" customHeight="1" x14ac:dyDescent="0.25">
      <c r="A38" s="332"/>
      <c r="B38" s="332"/>
      <c r="C38" s="339"/>
      <c r="D38" s="337"/>
      <c r="E38" s="335"/>
      <c r="F38" s="336"/>
    </row>
    <row r="39" spans="1:6" ht="13" x14ac:dyDescent="0.25">
      <c r="A39" s="332"/>
      <c r="B39" s="332"/>
      <c r="C39" s="339"/>
      <c r="D39" s="337"/>
      <c r="E39" s="335"/>
      <c r="F39" s="336"/>
    </row>
    <row r="40" spans="1:6" ht="13" x14ac:dyDescent="0.25">
      <c r="A40" s="332"/>
      <c r="B40" s="332"/>
      <c r="C40" s="339"/>
      <c r="D40" s="337"/>
      <c r="E40" s="335"/>
      <c r="F40" s="336"/>
    </row>
    <row r="41" spans="1:6" ht="36" customHeight="1" x14ac:dyDescent="0.25">
      <c r="A41" s="332"/>
      <c r="B41" s="332"/>
      <c r="C41" s="333"/>
      <c r="D41" s="334"/>
      <c r="E41" s="335"/>
      <c r="F41" s="336"/>
    </row>
    <row r="42" spans="1:6" ht="13" x14ac:dyDescent="0.25">
      <c r="A42" s="332"/>
      <c r="B42" s="332"/>
      <c r="C42" s="333"/>
      <c r="D42" s="334"/>
      <c r="E42" s="335"/>
      <c r="F42" s="336"/>
    </row>
    <row r="43" spans="1:6" ht="13" x14ac:dyDescent="0.25">
      <c r="A43" s="332"/>
      <c r="B43" s="332"/>
      <c r="C43" s="333"/>
      <c r="D43" s="334"/>
      <c r="E43" s="335"/>
      <c r="F43" s="336"/>
    </row>
    <row r="44" spans="1:6" ht="44.25" customHeight="1" x14ac:dyDescent="0.25">
      <c r="A44" s="332"/>
      <c r="B44" s="332"/>
      <c r="C44" s="333"/>
      <c r="D44" s="334"/>
      <c r="E44" s="335"/>
      <c r="F44" s="336"/>
    </row>
    <row r="45" spans="1:6" ht="13" x14ac:dyDescent="0.25">
      <c r="A45" s="332"/>
      <c r="B45" s="332"/>
      <c r="C45" s="333"/>
      <c r="D45" s="334"/>
      <c r="E45" s="335"/>
      <c r="F45" s="336"/>
    </row>
    <row r="46" spans="1:6" ht="13" x14ac:dyDescent="0.25">
      <c r="A46" s="332"/>
      <c r="B46" s="332"/>
      <c r="C46" s="333"/>
      <c r="D46" s="334"/>
      <c r="E46" s="335"/>
      <c r="F46" s="336"/>
    </row>
    <row r="47" spans="1:6" ht="46.5" customHeight="1" x14ac:dyDescent="0.25">
      <c r="A47" s="332"/>
      <c r="B47" s="332"/>
      <c r="C47" s="333"/>
      <c r="D47" s="334"/>
      <c r="E47" s="335"/>
      <c r="F47" s="336"/>
    </row>
    <row r="48" spans="1:6" ht="13" x14ac:dyDescent="0.25">
      <c r="A48" s="332"/>
      <c r="B48" s="332"/>
      <c r="C48" s="333"/>
      <c r="D48" s="334"/>
      <c r="E48" s="335"/>
      <c r="F48" s="336"/>
    </row>
    <row r="49" spans="1:6" ht="13" x14ac:dyDescent="0.25">
      <c r="A49" s="332"/>
      <c r="B49" s="332"/>
      <c r="C49" s="333"/>
      <c r="D49" s="334"/>
      <c r="E49" s="335"/>
      <c r="F49" s="336"/>
    </row>
    <row r="50" spans="1:6" ht="44.25" customHeight="1" x14ac:dyDescent="0.25">
      <c r="A50" s="332"/>
      <c r="B50" s="332"/>
      <c r="C50" s="333"/>
      <c r="D50" s="337"/>
      <c r="E50" s="335"/>
      <c r="F50" s="336"/>
    </row>
    <row r="51" spans="1:6" ht="13" x14ac:dyDescent="0.25">
      <c r="A51" s="332"/>
      <c r="B51" s="332"/>
      <c r="C51" s="333"/>
      <c r="D51" s="337"/>
      <c r="E51" s="335"/>
      <c r="F51" s="336"/>
    </row>
    <row r="52" spans="1:6" ht="13" x14ac:dyDescent="0.25">
      <c r="A52" s="332"/>
      <c r="B52" s="332"/>
      <c r="C52" s="333"/>
      <c r="D52" s="337"/>
      <c r="E52" s="335"/>
      <c r="F52" s="336"/>
    </row>
    <row r="53" spans="1:6" ht="60" customHeight="1" x14ac:dyDescent="0.25">
      <c r="A53" s="332"/>
      <c r="B53" s="332"/>
      <c r="C53" s="339"/>
      <c r="D53" s="337"/>
      <c r="E53" s="335"/>
      <c r="F53" s="336"/>
    </row>
    <row r="54" spans="1:6" ht="13" x14ac:dyDescent="0.25">
      <c r="A54" s="332"/>
      <c r="B54" s="332"/>
      <c r="C54" s="339"/>
      <c r="D54" s="337"/>
      <c r="E54" s="335"/>
      <c r="F54" s="336"/>
    </row>
    <row r="55" spans="1:6" ht="13" x14ac:dyDescent="0.25">
      <c r="A55" s="332"/>
      <c r="B55" s="332"/>
      <c r="C55" s="339"/>
      <c r="D55" s="337"/>
      <c r="E55" s="335"/>
      <c r="F55" s="336"/>
    </row>
    <row r="56" spans="1:6" ht="48" customHeight="1" x14ac:dyDescent="0.25">
      <c r="A56" s="332"/>
      <c r="B56" s="332"/>
      <c r="C56" s="333"/>
      <c r="D56" s="334"/>
      <c r="E56" s="335"/>
      <c r="F56" s="336"/>
    </row>
    <row r="57" spans="1:6" ht="13" x14ac:dyDescent="0.25">
      <c r="A57" s="332"/>
      <c r="B57" s="332"/>
      <c r="C57" s="333"/>
      <c r="D57" s="334"/>
      <c r="E57" s="335"/>
      <c r="F57" s="336"/>
    </row>
    <row r="58" spans="1:6" ht="13" x14ac:dyDescent="0.25">
      <c r="A58" s="332"/>
      <c r="B58" s="332"/>
      <c r="C58" s="333"/>
      <c r="D58" s="334"/>
      <c r="E58" s="335"/>
      <c r="F58" s="336"/>
    </row>
  </sheetData>
  <pageMargins left="0.70866141732283472" right="0.70866141732283472" top="0.78740157480314965" bottom="0.78740157480314965"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D7" zoomScale="90" zoomScaleNormal="90" workbookViewId="0">
      <selection activeCell="A4" sqref="A4"/>
    </sheetView>
  </sheetViews>
  <sheetFormatPr defaultColWidth="9.1796875" defaultRowHeight="12.5" x14ac:dyDescent="0.25"/>
  <cols>
    <col min="1" max="1" width="51.81640625" style="281" customWidth="1"/>
    <col min="2" max="2" width="24.54296875" style="281" customWidth="1"/>
    <col min="3" max="3" width="10.81640625" style="281" customWidth="1"/>
    <col min="4" max="16384" width="9.1796875" style="281"/>
  </cols>
  <sheetData>
    <row r="1" spans="1:6" ht="62.5" customHeight="1" thickTop="1" thickBot="1" x14ac:dyDescent="0.3">
      <c r="A1" s="279" t="s">
        <v>221</v>
      </c>
      <c r="B1" s="280" t="s">
        <v>514</v>
      </c>
      <c r="C1" s="280" t="s">
        <v>263</v>
      </c>
    </row>
    <row r="2" spans="1:6" ht="27.75" customHeight="1" thickTop="1" x14ac:dyDescent="0.25">
      <c r="A2" s="449"/>
      <c r="B2" s="294"/>
      <c r="C2" s="448"/>
    </row>
    <row r="3" spans="1:6" ht="29.25" customHeight="1" x14ac:dyDescent="0.25">
      <c r="A3" s="296"/>
      <c r="B3" s="297"/>
      <c r="C3" s="298"/>
    </row>
    <row r="4" spans="1:6" ht="31.5" customHeight="1" x14ac:dyDescent="0.25">
      <c r="A4" s="449" t="s">
        <v>363</v>
      </c>
      <c r="B4" s="297">
        <v>57</v>
      </c>
      <c r="C4" s="298">
        <f>'ceny léčiv'!W19</f>
        <v>18218.330000000002</v>
      </c>
    </row>
    <row r="5" spans="1:6" ht="30" customHeight="1" x14ac:dyDescent="0.25">
      <c r="A5" s="449" t="s">
        <v>363</v>
      </c>
      <c r="B5" s="297">
        <v>75</v>
      </c>
      <c r="C5" s="298">
        <f>'ceny léčiv'!W19</f>
        <v>18218.330000000002</v>
      </c>
    </row>
    <row r="6" spans="1:6" ht="30.75" customHeight="1" x14ac:dyDescent="0.25">
      <c r="A6" s="296" t="s">
        <v>301</v>
      </c>
      <c r="B6" s="297">
        <v>31</v>
      </c>
      <c r="C6" s="301">
        <f>'ceny léčiv'!W8</f>
        <v>128018.3744</v>
      </c>
    </row>
    <row r="7" spans="1:6" ht="30.75" customHeight="1" x14ac:dyDescent="0.25">
      <c r="A7" s="296" t="s">
        <v>301</v>
      </c>
      <c r="B7" s="297">
        <v>53.4</v>
      </c>
      <c r="C7" s="301">
        <f>'ceny léčiv'!W8</f>
        <v>128018.3744</v>
      </c>
    </row>
    <row r="8" spans="1:6" ht="33.75" customHeight="1" x14ac:dyDescent="0.25">
      <c r="A8" s="296" t="s">
        <v>513</v>
      </c>
      <c r="B8" s="450">
        <v>29.4</v>
      </c>
      <c r="C8" s="451">
        <f>'ceny léčiv'!W28</f>
        <v>8767.6650000000009</v>
      </c>
    </row>
    <row r="9" spans="1:6" ht="30.75" customHeight="1" x14ac:dyDescent="0.25">
      <c r="A9" s="296" t="s">
        <v>513</v>
      </c>
      <c r="B9" s="294">
        <v>47.6</v>
      </c>
      <c r="C9" s="448">
        <f>'ceny léčiv'!W28</f>
        <v>8767.6650000000009</v>
      </c>
    </row>
    <row r="10" spans="1:6" ht="27.75" customHeight="1" x14ac:dyDescent="0.25">
      <c r="A10" s="296" t="s">
        <v>511</v>
      </c>
      <c r="B10" s="297">
        <v>41</v>
      </c>
      <c r="C10" s="298">
        <f>'ceny léčiv'!W30</f>
        <v>1276.1632</v>
      </c>
    </row>
    <row r="11" spans="1:6" ht="27" customHeight="1" x14ac:dyDescent="0.25">
      <c r="A11" s="296" t="s">
        <v>511</v>
      </c>
      <c r="B11" s="297">
        <v>63</v>
      </c>
      <c r="C11" s="298">
        <f>'ceny léčiv'!W30</f>
        <v>1276.1632</v>
      </c>
    </row>
    <row r="12" spans="1:6" ht="35.25" customHeight="1" x14ac:dyDescent="0.25">
      <c r="A12" s="300" t="s">
        <v>512</v>
      </c>
      <c r="B12" s="297">
        <v>16</v>
      </c>
      <c r="C12" s="298">
        <f>'ceny léčiv'!W31</f>
        <v>17491.675999999999</v>
      </c>
      <c r="F12" s="299"/>
    </row>
    <row r="13" spans="1:6" ht="36" customHeight="1" x14ac:dyDescent="0.25">
      <c r="A13" s="300" t="s">
        <v>512</v>
      </c>
      <c r="B13" s="297">
        <v>32.4</v>
      </c>
      <c r="C13" s="301">
        <f>'ceny léčiv'!W31</f>
        <v>17491.675999999999</v>
      </c>
    </row>
    <row r="14" spans="1:6" ht="28.5" customHeight="1" x14ac:dyDescent="0.25">
      <c r="A14" s="452" t="s">
        <v>510</v>
      </c>
      <c r="B14" s="297">
        <v>46</v>
      </c>
      <c r="C14" s="301">
        <f>'ceny léčiv'!W26</f>
        <v>22498.936599999997</v>
      </c>
    </row>
    <row r="15" spans="1:6" ht="30.75" customHeight="1" x14ac:dyDescent="0.25">
      <c r="A15" s="452" t="s">
        <v>509</v>
      </c>
      <c r="B15" s="297">
        <v>28.1</v>
      </c>
      <c r="C15" s="301">
        <f>'ceny léčiv'!W27</f>
        <v>89884.914199999985</v>
      </c>
    </row>
    <row r="16" spans="1:6" ht="25.5" customHeight="1" thickBot="1" x14ac:dyDescent="0.3">
      <c r="A16" s="302" t="s">
        <v>300</v>
      </c>
      <c r="B16" s="303">
        <v>6.4</v>
      </c>
      <c r="C16" s="304">
        <v>0</v>
      </c>
    </row>
    <row r="17" spans="1:1" ht="7.5" customHeight="1" thickTop="1" x14ac:dyDescent="0.25"/>
    <row r="18" spans="1:1" ht="12.75" customHeight="1" x14ac:dyDescent="0.25">
      <c r="A18" s="305" t="s">
        <v>302</v>
      </c>
    </row>
    <row r="19" spans="1:1" x14ac:dyDescent="0.25">
      <c r="A19" s="299">
        <v>33</v>
      </c>
    </row>
    <row r="20" spans="1:1" x14ac:dyDescent="0.25">
      <c r="A20" s="299"/>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8"/>
  <sheetViews>
    <sheetView zoomScale="90" zoomScaleNormal="90" workbookViewId="0">
      <selection activeCell="C5" sqref="C5"/>
    </sheetView>
  </sheetViews>
  <sheetFormatPr defaultColWidth="9.1796875" defaultRowHeight="12.5" x14ac:dyDescent="0.25"/>
  <cols>
    <col min="1" max="1" width="37" style="281" customWidth="1"/>
    <col min="2" max="2" width="12.81640625" style="281" customWidth="1"/>
    <col min="3" max="3" width="16.453125" style="281" customWidth="1"/>
    <col min="4" max="4" width="18.1796875" style="281" customWidth="1"/>
    <col min="5" max="16384" width="9.1796875" style="281"/>
  </cols>
  <sheetData>
    <row r="1" spans="1:5" ht="58.5" customHeight="1" thickTop="1" thickBot="1" x14ac:dyDescent="0.3">
      <c r="A1" s="306" t="s">
        <v>221</v>
      </c>
      <c r="B1" s="307" t="s">
        <v>310</v>
      </c>
      <c r="C1" s="308" t="s">
        <v>304</v>
      </c>
      <c r="D1" s="309" t="s">
        <v>305</v>
      </c>
      <c r="E1" s="310"/>
    </row>
    <row r="2" spans="1:5" ht="24.75" customHeight="1" thickTop="1" x14ac:dyDescent="0.25">
      <c r="A2" s="311" t="s">
        <v>300</v>
      </c>
      <c r="B2" s="312">
        <v>0</v>
      </c>
      <c r="C2" s="313">
        <v>0.06</v>
      </c>
      <c r="D2" s="314"/>
      <c r="E2" s="315"/>
    </row>
    <row r="3" spans="1:5" ht="13" x14ac:dyDescent="0.25">
      <c r="A3" s="316" t="s">
        <v>224</v>
      </c>
      <c r="B3" s="317"/>
      <c r="C3" s="313"/>
      <c r="D3" s="314"/>
      <c r="E3" s="315"/>
    </row>
    <row r="4" spans="1:5" ht="13" x14ac:dyDescent="0.25">
      <c r="A4" s="316" t="s">
        <v>225</v>
      </c>
      <c r="B4" s="317"/>
      <c r="C4" s="313"/>
      <c r="D4" s="314"/>
      <c r="E4" s="315"/>
    </row>
    <row r="5" spans="1:5" ht="28.5" customHeight="1" x14ac:dyDescent="0.25">
      <c r="A5" s="318" t="s">
        <v>364</v>
      </c>
      <c r="B5" s="319">
        <f>'1.linie - eff.frontier (ind.)'!C9</f>
        <v>0</v>
      </c>
      <c r="C5" s="320">
        <v>0.67</v>
      </c>
      <c r="D5" s="314">
        <f>PRODUCT((B5-B2),(1/((C5)-(C2))))</f>
        <v>0</v>
      </c>
      <c r="E5" s="315">
        <v>1</v>
      </c>
    </row>
    <row r="6" spans="1:5" ht="13" x14ac:dyDescent="0.25">
      <c r="A6" s="321" t="s">
        <v>224</v>
      </c>
      <c r="B6" s="319"/>
      <c r="C6" s="320">
        <v>0.51</v>
      </c>
      <c r="D6" s="314">
        <f>PRODUCT((B5-B2),(1/((C6)-(C2))))</f>
        <v>0</v>
      </c>
      <c r="E6" s="315">
        <v>1</v>
      </c>
    </row>
    <row r="7" spans="1:5" ht="13" x14ac:dyDescent="0.25">
      <c r="A7" s="321" t="s">
        <v>225</v>
      </c>
      <c r="B7" s="319"/>
      <c r="C7" s="320">
        <v>0.79</v>
      </c>
      <c r="D7" s="314">
        <f>PRODUCT((B5-B2),(1/((C7)-(C2))))</f>
        <v>0</v>
      </c>
      <c r="E7" s="315">
        <v>1</v>
      </c>
    </row>
    <row r="8" spans="1:5" ht="31.5" customHeight="1" x14ac:dyDescent="0.25">
      <c r="A8" s="322" t="s">
        <v>306</v>
      </c>
      <c r="B8" s="317">
        <f>'1.linie - eff.frontier (ind.)'!C10</f>
        <v>0</v>
      </c>
      <c r="C8" s="313">
        <v>0.34</v>
      </c>
      <c r="D8" s="314">
        <f>PRODUCT((B8-B2),(1/((C8)-(C2))))</f>
        <v>0</v>
      </c>
      <c r="E8" s="315">
        <v>2</v>
      </c>
    </row>
    <row r="9" spans="1:5" ht="13" x14ac:dyDescent="0.25">
      <c r="A9" s="316" t="s">
        <v>224</v>
      </c>
      <c r="B9" s="317"/>
      <c r="C9" s="313">
        <v>0.16</v>
      </c>
      <c r="D9" s="314">
        <f>PRODUCT((B8-B2),(1/((C9)-(C2))))</f>
        <v>0</v>
      </c>
      <c r="E9" s="315">
        <v>2</v>
      </c>
    </row>
    <row r="10" spans="1:5" ht="13" x14ac:dyDescent="0.25">
      <c r="A10" s="316" t="s">
        <v>225</v>
      </c>
      <c r="B10" s="317"/>
      <c r="C10" s="313">
        <v>0.56999999999999995</v>
      </c>
      <c r="D10" s="314">
        <f>PRODUCT((B8-B2),(1/((C10)-(C2))))</f>
        <v>0</v>
      </c>
      <c r="E10" s="315">
        <v>2</v>
      </c>
    </row>
    <row r="11" spans="1:5" ht="25.5" customHeight="1" x14ac:dyDescent="0.25">
      <c r="A11" s="323" t="s">
        <v>307</v>
      </c>
      <c r="B11" s="324">
        <f>'1.linie - eff.frontier (ind.)'!C11</f>
        <v>0</v>
      </c>
      <c r="C11" s="325">
        <v>0.39</v>
      </c>
      <c r="D11" s="314">
        <f>PRODUCT((B11-B2),(1/((C11)-(C2))))</f>
        <v>0</v>
      </c>
      <c r="E11" s="315">
        <v>3</v>
      </c>
    </row>
    <row r="12" spans="1:5" ht="13" x14ac:dyDescent="0.25">
      <c r="A12" s="326" t="s">
        <v>224</v>
      </c>
      <c r="B12" s="324"/>
      <c r="C12" s="325">
        <v>0.18</v>
      </c>
      <c r="D12" s="314">
        <f>PRODUCT((B11-B2),(1/((C12)-(C2))))</f>
        <v>0</v>
      </c>
      <c r="E12" s="315">
        <v>3</v>
      </c>
    </row>
    <row r="13" spans="1:5" ht="13" x14ac:dyDescent="0.25">
      <c r="A13" s="326" t="s">
        <v>225</v>
      </c>
      <c r="B13" s="324"/>
      <c r="C13" s="325">
        <v>0.63</v>
      </c>
      <c r="D13" s="314">
        <f>PRODUCT((B11-B2),(1/((C13)-(C2))))</f>
        <v>0</v>
      </c>
      <c r="E13" s="315">
        <v>3</v>
      </c>
    </row>
    <row r="14" spans="1:5" ht="26.25" customHeight="1" x14ac:dyDescent="0.25">
      <c r="A14" s="327" t="s">
        <v>311</v>
      </c>
      <c r="B14" s="328">
        <f>'1.linie - eff.frontier (ind.)'!C12</f>
        <v>0</v>
      </c>
      <c r="C14" s="329">
        <v>0.33</v>
      </c>
      <c r="D14" s="314">
        <f>PRODUCT((B14-B2),(1/((C14)-(C2))))</f>
        <v>0</v>
      </c>
      <c r="E14" s="315">
        <v>4</v>
      </c>
    </row>
    <row r="15" spans="1:5" ht="13" x14ac:dyDescent="0.25">
      <c r="A15" s="330" t="s">
        <v>224</v>
      </c>
      <c r="B15" s="328"/>
      <c r="C15" s="329">
        <v>0.18</v>
      </c>
      <c r="D15" s="314">
        <f>PRODUCT((B14-B2),(1/((C15)-(C2))))</f>
        <v>0</v>
      </c>
      <c r="E15" s="315">
        <v>4</v>
      </c>
    </row>
    <row r="16" spans="1:5" ht="13" x14ac:dyDescent="0.25">
      <c r="A16" s="330" t="s">
        <v>225</v>
      </c>
      <c r="B16" s="328"/>
      <c r="C16" s="329">
        <v>0.5</v>
      </c>
      <c r="D16" s="314">
        <f>PRODUCT((B14-B2),(1/((C16)-(C2))))</f>
        <v>0</v>
      </c>
      <c r="E16" s="315">
        <v>4</v>
      </c>
    </row>
    <row r="17" spans="1:5" ht="37.5" customHeight="1" x14ac:dyDescent="0.25">
      <c r="A17" s="331" t="s">
        <v>309</v>
      </c>
      <c r="B17" s="324">
        <f>'1.linie - eff.frontier (ind.)'!C13</f>
        <v>0</v>
      </c>
      <c r="C17" s="325">
        <v>0.39</v>
      </c>
      <c r="D17" s="314">
        <f>PRODUCT((B17-B2),(1/((C17)-(C2))))</f>
        <v>0</v>
      </c>
      <c r="E17" s="315">
        <v>5</v>
      </c>
    </row>
    <row r="18" spans="1:5" ht="13" x14ac:dyDescent="0.25">
      <c r="A18" s="326" t="s">
        <v>224</v>
      </c>
      <c r="B18" s="324"/>
      <c r="C18" s="325">
        <v>0.18</v>
      </c>
      <c r="D18" s="314">
        <f>PRODUCT((B17-B2),(1/((C18)-(C2))))</f>
        <v>0</v>
      </c>
      <c r="E18" s="315">
        <v>5</v>
      </c>
    </row>
    <row r="19" spans="1:5" ht="13" x14ac:dyDescent="0.25">
      <c r="A19" s="326" t="s">
        <v>225</v>
      </c>
      <c r="B19" s="324"/>
      <c r="C19" s="325">
        <v>0.63</v>
      </c>
      <c r="D19" s="314">
        <f>PRODUCT((B17-B2),(1/((C19)-(C2))))</f>
        <v>0</v>
      </c>
      <c r="E19" s="315">
        <v>5</v>
      </c>
    </row>
    <row r="20" spans="1:5" ht="45" customHeight="1" x14ac:dyDescent="0.25">
      <c r="A20" s="332"/>
      <c r="B20" s="333"/>
      <c r="C20" s="334"/>
      <c r="D20" s="335"/>
      <c r="E20" s="336"/>
    </row>
    <row r="21" spans="1:5" ht="13" x14ac:dyDescent="0.25">
      <c r="A21" s="332"/>
      <c r="B21" s="333"/>
      <c r="C21" s="334"/>
      <c r="D21" s="335"/>
      <c r="E21" s="336"/>
    </row>
    <row r="22" spans="1:5" ht="13" x14ac:dyDescent="0.25">
      <c r="A22" s="332"/>
      <c r="B22" s="333"/>
      <c r="C22" s="334"/>
      <c r="D22" s="335"/>
      <c r="E22" s="336"/>
    </row>
    <row r="23" spans="1:5" ht="40.5" customHeight="1" x14ac:dyDescent="0.25">
      <c r="A23" s="332"/>
      <c r="B23" s="333"/>
      <c r="C23" s="337"/>
      <c r="D23" s="335"/>
      <c r="E23" s="336"/>
    </row>
    <row r="24" spans="1:5" ht="13" x14ac:dyDescent="0.25">
      <c r="A24" s="332"/>
      <c r="B24" s="333"/>
      <c r="C24" s="337"/>
      <c r="D24" s="335"/>
      <c r="E24" s="336"/>
    </row>
    <row r="25" spans="1:5" ht="13" x14ac:dyDescent="0.25">
      <c r="A25" s="332"/>
      <c r="B25" s="333"/>
      <c r="C25" s="337"/>
      <c r="D25" s="335"/>
      <c r="E25" s="336"/>
    </row>
    <row r="26" spans="1:5" ht="45" customHeight="1" x14ac:dyDescent="0.25">
      <c r="A26" s="338"/>
      <c r="B26" s="333"/>
      <c r="C26" s="334"/>
      <c r="D26" s="335"/>
      <c r="E26" s="336"/>
    </row>
    <row r="27" spans="1:5" ht="13" x14ac:dyDescent="0.25">
      <c r="A27" s="332"/>
      <c r="B27" s="333"/>
      <c r="C27" s="334"/>
      <c r="D27" s="335"/>
      <c r="E27" s="336"/>
    </row>
    <row r="28" spans="1:5" ht="13" x14ac:dyDescent="0.25">
      <c r="A28" s="332"/>
      <c r="B28" s="333"/>
      <c r="C28" s="334"/>
      <c r="D28" s="335"/>
      <c r="E28" s="336"/>
    </row>
    <row r="29" spans="1:5" ht="42" customHeight="1" x14ac:dyDescent="0.25">
      <c r="A29" s="332"/>
      <c r="B29" s="333"/>
      <c r="C29" s="334"/>
      <c r="D29" s="335"/>
      <c r="E29" s="336"/>
    </row>
    <row r="30" spans="1:5" ht="13" x14ac:dyDescent="0.25">
      <c r="A30" s="332"/>
      <c r="B30" s="333"/>
      <c r="C30" s="334"/>
      <c r="D30" s="335"/>
      <c r="E30" s="336"/>
    </row>
    <row r="31" spans="1:5" ht="13" x14ac:dyDescent="0.25">
      <c r="A31" s="332"/>
      <c r="B31" s="333"/>
      <c r="C31" s="334"/>
      <c r="D31" s="335"/>
      <c r="E31" s="336"/>
    </row>
    <row r="32" spans="1:5" ht="48" customHeight="1" x14ac:dyDescent="0.25">
      <c r="A32" s="332"/>
      <c r="B32" s="333"/>
      <c r="C32" s="334"/>
      <c r="D32" s="335"/>
      <c r="E32" s="336"/>
    </row>
    <row r="33" spans="1:5" ht="13" x14ac:dyDescent="0.25">
      <c r="A33" s="332"/>
      <c r="B33" s="333"/>
      <c r="C33" s="334"/>
      <c r="D33" s="335"/>
      <c r="E33" s="336"/>
    </row>
    <row r="34" spans="1:5" ht="13" x14ac:dyDescent="0.25">
      <c r="A34" s="332"/>
      <c r="B34" s="333"/>
      <c r="C34" s="334"/>
      <c r="D34" s="335"/>
      <c r="E34" s="336"/>
    </row>
    <row r="35" spans="1:5" ht="47.25" customHeight="1" x14ac:dyDescent="0.25">
      <c r="A35" s="332"/>
      <c r="B35" s="333"/>
      <c r="C35" s="334"/>
      <c r="D35" s="335"/>
      <c r="E35" s="336"/>
    </row>
    <row r="36" spans="1:5" ht="13" x14ac:dyDescent="0.25">
      <c r="A36" s="332"/>
      <c r="B36" s="333"/>
      <c r="C36" s="334"/>
      <c r="D36" s="335"/>
      <c r="E36" s="336"/>
    </row>
    <row r="37" spans="1:5" ht="13" x14ac:dyDescent="0.25">
      <c r="A37" s="332"/>
      <c r="B37" s="333"/>
      <c r="C37" s="334"/>
      <c r="D37" s="335"/>
      <c r="E37" s="336"/>
    </row>
    <row r="38" spans="1:5" ht="51.75" customHeight="1" x14ac:dyDescent="0.25">
      <c r="A38" s="332"/>
      <c r="B38" s="339"/>
      <c r="C38" s="337"/>
      <c r="D38" s="335"/>
      <c r="E38" s="336"/>
    </row>
    <row r="39" spans="1:5" ht="13" x14ac:dyDescent="0.25">
      <c r="A39" s="332"/>
      <c r="B39" s="339"/>
      <c r="C39" s="337"/>
      <c r="D39" s="335"/>
      <c r="E39" s="336"/>
    </row>
    <row r="40" spans="1:5" ht="13" x14ac:dyDescent="0.25">
      <c r="A40" s="332"/>
      <c r="B40" s="339"/>
      <c r="C40" s="337"/>
      <c r="D40" s="335"/>
      <c r="E40" s="336"/>
    </row>
    <row r="41" spans="1:5" ht="36" customHeight="1" x14ac:dyDescent="0.25">
      <c r="A41" s="332"/>
      <c r="B41" s="333"/>
      <c r="C41" s="334"/>
      <c r="D41" s="335"/>
      <c r="E41" s="336"/>
    </row>
    <row r="42" spans="1:5" ht="13" x14ac:dyDescent="0.25">
      <c r="A42" s="332"/>
      <c r="B42" s="333"/>
      <c r="C42" s="334"/>
      <c r="D42" s="335"/>
      <c r="E42" s="336"/>
    </row>
    <row r="43" spans="1:5" ht="13" x14ac:dyDescent="0.25">
      <c r="A43" s="332"/>
      <c r="B43" s="333"/>
      <c r="C43" s="334"/>
      <c r="D43" s="335"/>
      <c r="E43" s="336"/>
    </row>
    <row r="44" spans="1:5" ht="44.25" customHeight="1" x14ac:dyDescent="0.25">
      <c r="A44" s="332"/>
      <c r="B44" s="333"/>
      <c r="C44" s="334"/>
      <c r="D44" s="335"/>
      <c r="E44" s="336"/>
    </row>
    <row r="45" spans="1:5" ht="13" x14ac:dyDescent="0.25">
      <c r="A45" s="332"/>
      <c r="B45" s="333"/>
      <c r="C45" s="334"/>
      <c r="D45" s="335"/>
      <c r="E45" s="336"/>
    </row>
    <row r="46" spans="1:5" ht="13" x14ac:dyDescent="0.25">
      <c r="A46" s="332"/>
      <c r="B46" s="333"/>
      <c r="C46" s="334"/>
      <c r="D46" s="335"/>
      <c r="E46" s="336"/>
    </row>
    <row r="47" spans="1:5" ht="46.5" customHeight="1" x14ac:dyDescent="0.25">
      <c r="A47" s="332"/>
      <c r="B47" s="333"/>
      <c r="C47" s="334"/>
      <c r="D47" s="335"/>
      <c r="E47" s="336"/>
    </row>
    <row r="48" spans="1:5" ht="13" x14ac:dyDescent="0.25">
      <c r="A48" s="332"/>
      <c r="B48" s="333"/>
      <c r="C48" s="334"/>
      <c r="D48" s="335"/>
      <c r="E48" s="336"/>
    </row>
    <row r="49" spans="1:5" ht="13" x14ac:dyDescent="0.25">
      <c r="A49" s="332"/>
      <c r="B49" s="333"/>
      <c r="C49" s="334"/>
      <c r="D49" s="335"/>
      <c r="E49" s="336"/>
    </row>
    <row r="50" spans="1:5" ht="44.25" customHeight="1" x14ac:dyDescent="0.25">
      <c r="A50" s="332"/>
      <c r="B50" s="333"/>
      <c r="C50" s="337"/>
      <c r="D50" s="335"/>
      <c r="E50" s="336"/>
    </row>
    <row r="51" spans="1:5" ht="13" x14ac:dyDescent="0.25">
      <c r="A51" s="332"/>
      <c r="B51" s="333"/>
      <c r="C51" s="337"/>
      <c r="D51" s="335"/>
      <c r="E51" s="336"/>
    </row>
    <row r="52" spans="1:5" ht="13" x14ac:dyDescent="0.25">
      <c r="A52" s="332"/>
      <c r="B52" s="333"/>
      <c r="C52" s="337"/>
      <c r="D52" s="335"/>
      <c r="E52" s="336"/>
    </row>
    <row r="53" spans="1:5" ht="60" customHeight="1" x14ac:dyDescent="0.25">
      <c r="A53" s="332"/>
      <c r="B53" s="339"/>
      <c r="C53" s="337"/>
      <c r="D53" s="335"/>
      <c r="E53" s="336"/>
    </row>
    <row r="54" spans="1:5" ht="13" x14ac:dyDescent="0.25">
      <c r="A54" s="332"/>
      <c r="B54" s="339"/>
      <c r="C54" s="337"/>
      <c r="D54" s="335"/>
      <c r="E54" s="336"/>
    </row>
    <row r="55" spans="1:5" ht="13" x14ac:dyDescent="0.25">
      <c r="A55" s="332"/>
      <c r="B55" s="339"/>
      <c r="C55" s="337"/>
      <c r="D55" s="335"/>
      <c r="E55" s="336"/>
    </row>
    <row r="56" spans="1:5" ht="48" customHeight="1" x14ac:dyDescent="0.25">
      <c r="A56" s="332"/>
      <c r="B56" s="333"/>
      <c r="C56" s="334"/>
      <c r="D56" s="335"/>
      <c r="E56" s="336"/>
    </row>
    <row r="57" spans="1:5" ht="13" x14ac:dyDescent="0.25">
      <c r="A57" s="332"/>
      <c r="B57" s="333"/>
      <c r="C57" s="334"/>
      <c r="D57" s="335"/>
      <c r="E57" s="336"/>
    </row>
    <row r="58" spans="1:5" ht="13" x14ac:dyDescent="0.25">
      <c r="A58" s="332"/>
      <c r="B58" s="333"/>
      <c r="C58" s="334"/>
      <c r="D58" s="335"/>
      <c r="E58" s="336"/>
    </row>
  </sheetData>
  <pageMargins left="0.70866141732283472" right="0.70866141732283472" top="0.78740157480314965" bottom="0.78740157480314965"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32" zoomScale="90" zoomScaleNormal="90" workbookViewId="0">
      <selection activeCell="W53" sqref="W53"/>
    </sheetView>
  </sheetViews>
  <sheetFormatPr defaultRowHeight="12.5"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vt:i4>
      </vt:variant>
    </vt:vector>
  </HeadingPairs>
  <TitlesOfParts>
    <vt:vector size="15" baseType="lpstr">
      <vt:lpstr>počty pacientů</vt:lpstr>
      <vt:lpstr>srovnání účinností</vt:lpstr>
      <vt:lpstr>ceny léčiv</vt:lpstr>
      <vt:lpstr>CEA (po indukci)</vt:lpstr>
      <vt:lpstr>účinnost (po indukci)</vt:lpstr>
      <vt:lpstr>CEA (udrž.terap.)</vt:lpstr>
      <vt:lpstr>účinnost (udrž.terap.)</vt:lpstr>
      <vt:lpstr>efficient frontier</vt:lpstr>
      <vt:lpstr>1.linie - eff.frontier (ind.)</vt:lpstr>
      <vt:lpstr>ICER 1.lin.(po indukci)</vt:lpstr>
      <vt:lpstr>1.linie - eff.frontier (udr.)</vt:lpstr>
      <vt:lpstr>ICER 1.lin.(udrž.terap.)</vt:lpstr>
      <vt:lpstr>Obrázky</vt:lpstr>
      <vt:lpstr>'ceny léčiv'!Názvy_tisku</vt:lpstr>
      <vt:lpstr>'srovnání účinností'!Názvy_tisku</vt:lpstr>
    </vt:vector>
  </TitlesOfParts>
  <Company>Fakultní nemocnice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Biologická léčba</dc:title>
  <dc:creator>Lenka Králová</dc:creator>
  <cp:lastModifiedBy>Duda Jaroslav, Mgr.</cp:lastModifiedBy>
  <cp:lastPrinted>2022-11-02T10:26:36Z</cp:lastPrinted>
  <dcterms:created xsi:type="dcterms:W3CDTF">2007-08-29T12:39:26Z</dcterms:created>
  <dcterms:modified xsi:type="dcterms:W3CDTF">2024-04-05T08:29:04Z</dcterms:modified>
</cp:coreProperties>
</file>