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24226"/>
  <mc:AlternateContent xmlns:mc="http://schemas.openxmlformats.org/markup-compatibility/2006">
    <mc:Choice Requires="x15">
      <x15ac:absPath xmlns:x15ac="http://schemas.microsoft.com/office/spreadsheetml/2010/11/ac" url="C:\Users\65894\Desktop\FE analýzy\RRSM\"/>
    </mc:Choice>
  </mc:AlternateContent>
  <xr:revisionPtr revIDLastSave="0" documentId="13_ncr:1_{C525D35B-3208-4A09-A4D0-7ECE6E4B34D9}" xr6:coauthVersionLast="36" xr6:coauthVersionMax="36" xr10:uidLastSave="{00000000-0000-0000-0000-000000000000}"/>
  <bookViews>
    <workbookView xWindow="0" yWindow="0" windowWidth="19200" windowHeight="6440" tabRatio="722" xr2:uid="{00000000-000D-0000-FFFF-FFFF00000000}"/>
  </bookViews>
  <sheets>
    <sheet name="Analýza" sheetId="1" r:id="rId1"/>
    <sheet name="Sloupcový graf scénářů" sheetId="4" r:id="rId2"/>
    <sheet name="Nová klasifikace DMD" sheetId="5" r:id="rId3"/>
    <sheet name="Přehled DMD přípravků" sheetId="6" r:id="rId4"/>
    <sheet name="DMD - doporučení ČR 2020" sheetId="7" r:id="rId5"/>
    <sheet name="Volby DMD dle UpToDate" sheetId="8" r:id="rId6"/>
  </sheets>
  <externalReferences>
    <externalReference r:id="rId7"/>
  </externalReferences>
  <definedNames>
    <definedName name="_xlnm._FilterDatabase" localSheetId="0" hidden="1">Analýza!$A$2:$AI$2</definedName>
  </definedNames>
  <calcPr calcId="191029"/>
</workbook>
</file>

<file path=xl/calcChain.xml><?xml version="1.0" encoding="utf-8"?>
<calcChain xmlns="http://schemas.openxmlformats.org/spreadsheetml/2006/main">
  <c r="K23" i="1" l="1"/>
  <c r="K24" i="1" l="1"/>
  <c r="K22" i="1"/>
  <c r="L24" i="1" l="1"/>
  <c r="L23" i="1"/>
  <c r="J23" i="4" l="1"/>
  <c r="J21" i="4"/>
  <c r="J20" i="4"/>
  <c r="J19" i="4"/>
  <c r="J18" i="4"/>
  <c r="J17" i="4"/>
  <c r="J16" i="4"/>
  <c r="J15" i="4"/>
  <c r="J14" i="4"/>
  <c r="J13" i="4"/>
  <c r="J12" i="4"/>
  <c r="J11" i="4"/>
  <c r="J10" i="4"/>
  <c r="J9" i="4"/>
  <c r="J8" i="4"/>
  <c r="J7" i="4"/>
  <c r="J6" i="4"/>
  <c r="J5" i="4"/>
  <c r="J4" i="4"/>
  <c r="J3" i="4"/>
  <c r="J25" i="1" l="1"/>
  <c r="J20" i="1"/>
  <c r="J17" i="1"/>
  <c r="J3" i="1"/>
  <c r="L14" i="1" l="1"/>
  <c r="K14" i="1"/>
  <c r="K20" i="1" l="1"/>
  <c r="K18" i="1"/>
  <c r="K17" i="1"/>
  <c r="K9" i="1"/>
  <c r="K6" i="1"/>
  <c r="K5" i="1"/>
  <c r="J16" i="1" l="1"/>
  <c r="J11" i="1"/>
  <c r="K11" i="1" s="1"/>
  <c r="L25" i="1" l="1"/>
  <c r="K25" i="1"/>
  <c r="S3" i="1" l="1"/>
  <c r="T15" i="1" l="1"/>
  <c r="S25" i="1"/>
  <c r="S24" i="1"/>
  <c r="S23" i="1"/>
  <c r="S22" i="1"/>
  <c r="S17" i="1"/>
  <c r="T17" i="1" s="1"/>
  <c r="S14" i="1"/>
  <c r="T14" i="1" s="1"/>
  <c r="S11" i="1"/>
  <c r="S10" i="1"/>
  <c r="S9" i="1"/>
  <c r="S7" i="1"/>
  <c r="S6" i="1"/>
  <c r="S5" i="1"/>
  <c r="S4" i="1"/>
  <c r="T18" i="1"/>
  <c r="Q25" i="1"/>
  <c r="Q24" i="1"/>
  <c r="R24" i="1" s="1"/>
  <c r="Q23" i="1"/>
  <c r="R23" i="1" s="1"/>
  <c r="Q22" i="1"/>
  <c r="R22" i="1" s="1"/>
  <c r="Q20" i="1"/>
  <c r="Q19" i="1"/>
  <c r="R19" i="1" s="1"/>
  <c r="Q18" i="1"/>
  <c r="R18" i="1" s="1"/>
  <c r="Q17" i="1"/>
  <c r="Q16" i="1"/>
  <c r="R16" i="1" s="1"/>
  <c r="Q15" i="1"/>
  <c r="Q14" i="1"/>
  <c r="R14" i="1" s="1"/>
  <c r="Q10" i="1"/>
  <c r="Q9" i="1"/>
  <c r="Q7" i="1"/>
  <c r="Q6" i="1"/>
  <c r="R6" i="1" s="1"/>
  <c r="Q5" i="1"/>
  <c r="Q4" i="1"/>
  <c r="Q3" i="1"/>
  <c r="R3" i="1" s="1"/>
  <c r="Q11" i="1"/>
  <c r="R11" i="1" s="1"/>
  <c r="R21" i="1"/>
  <c r="P18" i="1"/>
  <c r="R25" i="1"/>
  <c r="R20" i="1"/>
  <c r="R13" i="1"/>
  <c r="R12" i="1"/>
  <c r="R10" i="1"/>
  <c r="R9" i="1"/>
  <c r="R8" i="1"/>
  <c r="R7" i="1"/>
  <c r="R5" i="1"/>
  <c r="R4" i="1"/>
  <c r="R17" i="1" l="1"/>
  <c r="W17" i="1"/>
  <c r="X17" i="1" s="1"/>
  <c r="R15" i="1"/>
  <c r="W15" i="1"/>
  <c r="X15" i="1" s="1"/>
  <c r="P25" i="1"/>
  <c r="P24" i="1"/>
  <c r="P23" i="1"/>
  <c r="P22" i="1"/>
  <c r="P21" i="1"/>
  <c r="P20" i="1"/>
  <c r="P19" i="1"/>
  <c r="P17" i="1"/>
  <c r="P16" i="1"/>
  <c r="P15" i="1"/>
  <c r="P13" i="1"/>
  <c r="P12" i="1"/>
  <c r="P8" i="1"/>
  <c r="L15" i="1"/>
  <c r="K15" i="1"/>
  <c r="L13" i="1"/>
  <c r="K13" i="1"/>
  <c r="Z17" i="1" l="1"/>
  <c r="Y17" i="1"/>
  <c r="Z15" i="1"/>
  <c r="Y15" i="1"/>
  <c r="L20" i="1"/>
  <c r="K19" i="1"/>
  <c r="L19" i="1" l="1"/>
  <c r="O14" i="1" l="1"/>
  <c r="O10" i="1"/>
  <c r="P10" i="1" s="1"/>
  <c r="O9" i="1"/>
  <c r="P9" i="1" s="1"/>
  <c r="O7" i="1"/>
  <c r="P7" i="1" s="1"/>
  <c r="O6" i="1"/>
  <c r="P6" i="1" s="1"/>
  <c r="O5" i="1"/>
  <c r="P5" i="1" s="1"/>
  <c r="O4" i="1"/>
  <c r="P4" i="1" s="1"/>
  <c r="O3" i="1"/>
  <c r="P3" i="1" s="1"/>
  <c r="P14" i="1" l="1"/>
  <c r="Y14" i="1" s="1"/>
  <c r="W14" i="1"/>
  <c r="X14" i="1" s="1"/>
  <c r="L17" i="1"/>
  <c r="Z14" i="1" l="1"/>
  <c r="Y13" i="1"/>
  <c r="W13" i="1"/>
  <c r="T13" i="1"/>
  <c r="X13" i="1" l="1"/>
  <c r="W19" i="1"/>
  <c r="X19" i="1" s="1"/>
  <c r="V19" i="1"/>
  <c r="U19" i="1"/>
  <c r="T19" i="1"/>
  <c r="Y19" i="1" l="1"/>
  <c r="Z19" i="1"/>
  <c r="J10" i="1" l="1"/>
  <c r="J4" i="1"/>
  <c r="K4" i="1" s="1"/>
  <c r="J21" i="1"/>
  <c r="L21" i="1" l="1"/>
  <c r="K21" i="1"/>
  <c r="AQ27" i="1"/>
  <c r="V25" i="1"/>
  <c r="U25" i="1"/>
  <c r="T25" i="1"/>
  <c r="V24" i="1"/>
  <c r="U24" i="1"/>
  <c r="T24" i="1"/>
  <c r="V23" i="1"/>
  <c r="U23" i="1"/>
  <c r="T23" i="1"/>
  <c r="V22" i="1"/>
  <c r="U22" i="1"/>
  <c r="T22" i="1"/>
  <c r="L22" i="1"/>
  <c r="V21" i="1"/>
  <c r="AG21" i="1" s="1"/>
  <c r="U21" i="1"/>
  <c r="T21" i="1"/>
  <c r="W20" i="1"/>
  <c r="X20" i="1" s="1"/>
  <c r="V20" i="1"/>
  <c r="U20" i="1"/>
  <c r="T20" i="1"/>
  <c r="W18" i="1"/>
  <c r="X18" i="1" s="1"/>
  <c r="V16" i="1"/>
  <c r="U16" i="1"/>
  <c r="T16" i="1"/>
  <c r="K16" i="1"/>
  <c r="Y12" i="1"/>
  <c r="W12" i="1"/>
  <c r="T12" i="1"/>
  <c r="K12" i="1"/>
  <c r="V11" i="1"/>
  <c r="T11" i="1"/>
  <c r="O11" i="1"/>
  <c r="P11" i="1" s="1"/>
  <c r="V10" i="1"/>
  <c r="U10" i="1"/>
  <c r="T10" i="1"/>
  <c r="U9" i="1"/>
  <c r="T9" i="1"/>
  <c r="X8" i="1"/>
  <c r="Y8" i="1" s="1"/>
  <c r="Z8" i="1" s="1"/>
  <c r="L8" i="1"/>
  <c r="V7" i="1"/>
  <c r="U7" i="1"/>
  <c r="T7" i="1"/>
  <c r="K7" i="1"/>
  <c r="V6" i="1"/>
  <c r="U6" i="1"/>
  <c r="T6" i="1"/>
  <c r="V5" i="1"/>
  <c r="U5" i="1"/>
  <c r="T5" i="1"/>
  <c r="V4" i="1"/>
  <c r="U4" i="1"/>
  <c r="T4" i="1"/>
  <c r="V3" i="1"/>
  <c r="U3" i="1"/>
  <c r="T3" i="1"/>
  <c r="K3" i="1"/>
  <c r="W3" i="1" l="1"/>
  <c r="X3" i="1" s="1"/>
  <c r="X22" i="1"/>
  <c r="W5" i="1"/>
  <c r="X5" i="1" s="1"/>
  <c r="W11" i="1"/>
  <c r="X11" i="1" s="1"/>
  <c r="W24" i="1"/>
  <c r="Z3" i="1"/>
  <c r="Z11" i="1"/>
  <c r="Z24" i="1"/>
  <c r="X24" i="1"/>
  <c r="W9" i="1"/>
  <c r="X9" i="1" s="1"/>
  <c r="L6" i="1"/>
  <c r="Z9" i="1"/>
  <c r="L18" i="1"/>
  <c r="Y20" i="1"/>
  <c r="Y22" i="1"/>
  <c r="Z18" i="1"/>
  <c r="L11" i="1"/>
  <c r="W4" i="1"/>
  <c r="X4" i="1" s="1"/>
  <c r="Y7" i="1"/>
  <c r="W7" i="1"/>
  <c r="X7" i="1" s="1"/>
  <c r="L5" i="1"/>
  <c r="W6" i="1"/>
  <c r="X6" i="1" s="1"/>
  <c r="L9" i="1"/>
  <c r="Y18" i="1"/>
  <c r="W22" i="1"/>
  <c r="L16" i="1"/>
  <c r="Z4" i="1"/>
  <c r="Y4" i="1"/>
  <c r="L4" i="1"/>
  <c r="L3" i="1"/>
  <c r="W10" i="1"/>
  <c r="X10" i="1" s="1"/>
  <c r="X12" i="1"/>
  <c r="W21" i="1"/>
  <c r="L7" i="1"/>
  <c r="X21" i="1"/>
  <c r="Y6" i="1"/>
  <c r="L12" i="1"/>
  <c r="Y3" i="1"/>
  <c r="Z7" i="1"/>
  <c r="Z20" i="1"/>
  <c r="W23" i="1"/>
  <c r="W16" i="1"/>
  <c r="X16" i="1" s="1"/>
  <c r="Z16" i="1"/>
  <c r="X23" i="1"/>
  <c r="W25" i="1"/>
  <c r="X25" i="1" s="1"/>
  <c r="Y9" i="1" l="1"/>
  <c r="Y24" i="1"/>
  <c r="Y11" i="1"/>
  <c r="Z22" i="1"/>
  <c r="Z6" i="1"/>
  <c r="Y16" i="1"/>
  <c r="Y25" i="1"/>
  <c r="Z25" i="1"/>
  <c r="Y23" i="1"/>
  <c r="Z23" i="1"/>
  <c r="Y5" i="1"/>
  <c r="Z5" i="1"/>
  <c r="Y21" i="1"/>
  <c r="AC21" i="1" s="1"/>
  <c r="Z21" i="1"/>
  <c r="AD21" i="1" s="1"/>
  <c r="Y10" i="1"/>
  <c r="Z10" i="1"/>
  <c r="I15" i="4" l="1"/>
  <c r="H15" i="4"/>
  <c r="K10" i="1" l="1"/>
  <c r="M18" i="1" l="1"/>
  <c r="M23" i="1"/>
  <c r="M13" i="1"/>
  <c r="M4" i="1"/>
  <c r="M16" i="1"/>
  <c r="M20" i="1"/>
  <c r="M24" i="1"/>
  <c r="M15" i="1"/>
  <c r="M22" i="1"/>
  <c r="M14" i="1"/>
  <c r="L10" i="1"/>
  <c r="M7" i="1" l="1"/>
  <c r="AA7" i="1" s="1"/>
  <c r="M10" i="1"/>
  <c r="AB10" i="1" s="1"/>
  <c r="M9" i="1"/>
  <c r="AA9" i="1" s="1"/>
  <c r="M12" i="1"/>
  <c r="AE12" i="1" s="1"/>
  <c r="M8" i="1"/>
  <c r="M5" i="1"/>
  <c r="AF5" i="1" s="1"/>
  <c r="M3" i="1"/>
  <c r="AD3" i="1" s="1"/>
  <c r="M6" i="1"/>
  <c r="AB6" i="1" s="1"/>
  <c r="M19" i="1"/>
  <c r="AG19" i="1" s="1"/>
  <c r="M21" i="1"/>
  <c r="AA21" i="1" s="1"/>
  <c r="M11" i="1"/>
  <c r="AE11" i="1" s="1"/>
  <c r="M25" i="1"/>
  <c r="AA25" i="1" s="1"/>
  <c r="M17" i="1"/>
  <c r="AD17" i="1" s="1"/>
  <c r="AG16" i="1"/>
  <c r="AF16" i="1"/>
  <c r="AE16" i="1"/>
  <c r="G14" i="4" s="1"/>
  <c r="AD16" i="1"/>
  <c r="AA16" i="1"/>
  <c r="AB16" i="1"/>
  <c r="AC16" i="1"/>
  <c r="AF14" i="1"/>
  <c r="AE14" i="1"/>
  <c r="AC14" i="1"/>
  <c r="AD14" i="1"/>
  <c r="AA14" i="1"/>
  <c r="AB14" i="1"/>
  <c r="AC4" i="1"/>
  <c r="AG4" i="1"/>
  <c r="AB4" i="1"/>
  <c r="AD4" i="1"/>
  <c r="AA4" i="1"/>
  <c r="AF4" i="1"/>
  <c r="AE4" i="1"/>
  <c r="AD24" i="1"/>
  <c r="AF24" i="1"/>
  <c r="H23" i="4" s="1"/>
  <c r="AB24" i="1"/>
  <c r="AG24" i="1"/>
  <c r="I23" i="4" s="1"/>
  <c r="AA24" i="1"/>
  <c r="C23" i="4" s="1"/>
  <c r="AC24" i="1"/>
  <c r="E23" i="4" s="1"/>
  <c r="AC22" i="1"/>
  <c r="AD22" i="1"/>
  <c r="AF22" i="1"/>
  <c r="H21" i="4" s="1"/>
  <c r="AG22" i="1"/>
  <c r="AA22" i="1"/>
  <c r="AB22" i="1"/>
  <c r="AF21" i="1"/>
  <c r="AB18" i="1"/>
  <c r="AE18" i="1"/>
  <c r="AC18" i="1"/>
  <c r="AD18" i="1"/>
  <c r="AA18" i="1"/>
  <c r="AD20" i="1"/>
  <c r="AA20" i="1"/>
  <c r="AC20" i="1"/>
  <c r="AG20" i="1"/>
  <c r="AF20" i="1"/>
  <c r="AB20" i="1"/>
  <c r="AE20" i="1"/>
  <c r="AF7" i="1"/>
  <c r="AB7" i="1"/>
  <c r="AC7" i="1"/>
  <c r="AD7" i="1"/>
  <c r="AG7" i="1"/>
  <c r="I19" i="4" s="1"/>
  <c r="AE7" i="1"/>
  <c r="AG5" i="1"/>
  <c r="AC5" i="1"/>
  <c r="N24" i="1"/>
  <c r="AE24" i="1" s="1"/>
  <c r="N22" i="1"/>
  <c r="AE22" i="1" s="1"/>
  <c r="N17" i="1"/>
  <c r="N23" i="1"/>
  <c r="AE23" i="1" s="1"/>
  <c r="N7" i="1"/>
  <c r="N11" i="1"/>
  <c r="AE15" i="1"/>
  <c r="AB15" i="1"/>
  <c r="AC15" i="1"/>
  <c r="AA15" i="1"/>
  <c r="C12" i="4" s="1"/>
  <c r="AD15" i="1"/>
  <c r="AB13" i="1"/>
  <c r="AA13" i="1"/>
  <c r="AE13" i="1"/>
  <c r="AD13" i="1"/>
  <c r="AC13" i="1"/>
  <c r="AG23" i="1"/>
  <c r="AA23" i="1"/>
  <c r="AF23" i="1"/>
  <c r="AB23" i="1"/>
  <c r="AD23" i="1"/>
  <c r="AC23" i="1"/>
  <c r="AG10" i="1"/>
  <c r="I7" i="4" s="1"/>
  <c r="AC10" i="1"/>
  <c r="AD10" i="1"/>
  <c r="AA10" i="1"/>
  <c r="J22" i="4" l="1"/>
  <c r="AF25" i="1"/>
  <c r="H20" i="4" s="1"/>
  <c r="AF12" i="1"/>
  <c r="AA11" i="1"/>
  <c r="F23" i="4"/>
  <c r="C21" i="4"/>
  <c r="G23" i="4"/>
  <c r="AB9" i="1"/>
  <c r="AA5" i="1"/>
  <c r="C5" i="4" s="1"/>
  <c r="AG11" i="1"/>
  <c r="I9" i="4" s="1"/>
  <c r="AC9" i="1"/>
  <c r="E7" i="4" s="1"/>
  <c r="AC3" i="1"/>
  <c r="AF10" i="1"/>
  <c r="AE10" i="1"/>
  <c r="AD5" i="1"/>
  <c r="F5" i="4" s="1"/>
  <c r="AE5" i="1"/>
  <c r="AF9" i="1"/>
  <c r="H7" i="4" s="1"/>
  <c r="AD9" i="1"/>
  <c r="F7" i="4" s="1"/>
  <c r="AB21" i="1"/>
  <c r="D19" i="4" s="1"/>
  <c r="AC11" i="1"/>
  <c r="N6" i="1"/>
  <c r="AB5" i="1"/>
  <c r="AE9" i="1"/>
  <c r="N20" i="1"/>
  <c r="N25" i="1"/>
  <c r="AC12" i="1"/>
  <c r="E18" i="4" s="1"/>
  <c r="N8" i="1"/>
  <c r="AG12" i="1"/>
  <c r="I13" i="4" s="1"/>
  <c r="AD12" i="1"/>
  <c r="F13" i="4" s="1"/>
  <c r="AB12" i="1"/>
  <c r="AI22" i="1"/>
  <c r="AC6" i="1"/>
  <c r="E6" i="4" s="1"/>
  <c r="AA12" i="1"/>
  <c r="C13" i="4" s="1"/>
  <c r="H12" i="4"/>
  <c r="E14" i="4"/>
  <c r="N15" i="1"/>
  <c r="AG25" i="1"/>
  <c r="I12" i="4" s="1"/>
  <c r="AA6" i="1"/>
  <c r="G21" i="4"/>
  <c r="AE25" i="1"/>
  <c r="G16" i="4" s="1"/>
  <c r="I18" i="4"/>
  <c r="AE6" i="1"/>
  <c r="AA3" i="1"/>
  <c r="C3" i="4" s="1"/>
  <c r="I21" i="4"/>
  <c r="AD11" i="1"/>
  <c r="F10" i="4" s="1"/>
  <c r="N10" i="1"/>
  <c r="H18" i="4"/>
  <c r="C4" i="4"/>
  <c r="AF3" i="1"/>
  <c r="H10" i="4" s="1"/>
  <c r="AG3" i="1"/>
  <c r="I3" i="4" s="1"/>
  <c r="G4" i="4"/>
  <c r="C7" i="4"/>
  <c r="AB11" i="1"/>
  <c r="D9" i="4" s="1"/>
  <c r="H5" i="4"/>
  <c r="AG6" i="1"/>
  <c r="I6" i="4" s="1"/>
  <c r="AB3" i="1"/>
  <c r="AI3" i="1" s="1"/>
  <c r="AC25" i="1"/>
  <c r="E4" i="4" s="1"/>
  <c r="AD6" i="1"/>
  <c r="F6" i="4" s="1"/>
  <c r="AF6" i="1"/>
  <c r="H6" i="4" s="1"/>
  <c r="AC17" i="1"/>
  <c r="E15" i="4" s="1"/>
  <c r="I4" i="4"/>
  <c r="F21" i="4"/>
  <c r="AB25" i="1"/>
  <c r="D20" i="4" s="1"/>
  <c r="E21" i="4"/>
  <c r="AD25" i="1"/>
  <c r="F20" i="4" s="1"/>
  <c r="AC19" i="1"/>
  <c r="E19" i="4" s="1"/>
  <c r="AB17" i="1"/>
  <c r="AE17" i="1"/>
  <c r="G15" i="4" s="1"/>
  <c r="AF19" i="1"/>
  <c r="H17" i="4" s="1"/>
  <c r="AE19" i="1"/>
  <c r="AA17" i="1"/>
  <c r="C16" i="4"/>
  <c r="AD19" i="1"/>
  <c r="F19" i="4" s="1"/>
  <c r="AB19" i="1"/>
  <c r="D17" i="4" s="1"/>
  <c r="AA19" i="1"/>
  <c r="C19" i="4" s="1"/>
  <c r="N19" i="1"/>
  <c r="N14" i="1"/>
  <c r="G18" i="4"/>
  <c r="C20" i="4"/>
  <c r="E16" i="4"/>
  <c r="N13" i="1"/>
  <c r="C18" i="4"/>
  <c r="AI18" i="1"/>
  <c r="AI14" i="1"/>
  <c r="AI23" i="1"/>
  <c r="N5" i="1"/>
  <c r="N21" i="1"/>
  <c r="AE21" i="1" s="1"/>
  <c r="N18" i="1"/>
  <c r="N4" i="1"/>
  <c r="AI7" i="1"/>
  <c r="H4" i="4"/>
  <c r="F14" i="4"/>
  <c r="D12" i="4"/>
  <c r="AI15" i="1"/>
  <c r="D18" i="4"/>
  <c r="AI20" i="1"/>
  <c r="H3" i="4"/>
  <c r="F16" i="4"/>
  <c r="F18" i="4"/>
  <c r="D23" i="4"/>
  <c r="AI24" i="1"/>
  <c r="E3" i="4"/>
  <c r="I14" i="4"/>
  <c r="E13" i="4"/>
  <c r="I20" i="4"/>
  <c r="I16" i="4"/>
  <c r="D10" i="4"/>
  <c r="N16" i="1"/>
  <c r="N12" i="1"/>
  <c r="H16" i="4"/>
  <c r="D14" i="4"/>
  <c r="AI16" i="1"/>
  <c r="H14" i="4"/>
  <c r="AI13" i="1"/>
  <c r="F15" i="4"/>
  <c r="N3" i="1"/>
  <c r="AE3" i="1" s="1"/>
  <c r="G3" i="4" s="1"/>
  <c r="N9" i="1"/>
  <c r="H13" i="4"/>
  <c r="G7" i="4"/>
  <c r="G13" i="4"/>
  <c r="E10" i="4"/>
  <c r="D16" i="4"/>
  <c r="H19" i="4"/>
  <c r="D4" i="4"/>
  <c r="AI4" i="1"/>
  <c r="F3" i="4"/>
  <c r="C14" i="4"/>
  <c r="D11" i="4"/>
  <c r="D7" i="4"/>
  <c r="H11" i="4"/>
  <c r="H9" i="4"/>
  <c r="E22" i="4"/>
  <c r="E11" i="4"/>
  <c r="F22" i="4"/>
  <c r="F11" i="4"/>
  <c r="C22" i="4"/>
  <c r="C11" i="4"/>
  <c r="I22" i="4"/>
  <c r="I11" i="4"/>
  <c r="G22" i="4"/>
  <c r="G11" i="4"/>
  <c r="E5" i="4"/>
  <c r="I17" i="4"/>
  <c r="I5" i="4"/>
  <c r="F17" i="4"/>
  <c r="H22" i="4"/>
  <c r="D22" i="4"/>
  <c r="E9" i="4"/>
  <c r="D6" i="4"/>
  <c r="G9" i="4"/>
  <c r="C8" i="4"/>
  <c r="E8" i="4"/>
  <c r="C9" i="4"/>
  <c r="C6" i="4"/>
  <c r="F8" i="4"/>
  <c r="G8" i="4"/>
  <c r="D8" i="4"/>
  <c r="AI10" i="1"/>
  <c r="G20" i="4" l="1"/>
  <c r="AI11" i="1"/>
  <c r="E17" i="4"/>
  <c r="G5" i="4"/>
  <c r="AI9" i="1"/>
  <c r="D3" i="4"/>
  <c r="AI12" i="1"/>
  <c r="D21" i="4"/>
  <c r="I8" i="4"/>
  <c r="G17" i="4"/>
  <c r="AI5" i="1"/>
  <c r="AI6" i="1"/>
  <c r="F9" i="4"/>
  <c r="AI21" i="1"/>
  <c r="D13" i="4"/>
  <c r="D5" i="4"/>
  <c r="E20" i="4"/>
  <c r="H8" i="4"/>
  <c r="F4" i="4"/>
  <c r="G6" i="4"/>
  <c r="C17" i="4"/>
  <c r="C10" i="4"/>
  <c r="AI17" i="1"/>
  <c r="F12" i="4"/>
  <c r="G10" i="4"/>
  <c r="I10" i="4"/>
  <c r="E12" i="4"/>
  <c r="G12" i="4"/>
  <c r="AI19" i="1"/>
  <c r="D15" i="4"/>
  <c r="AI25" i="1"/>
  <c r="C15" i="4"/>
  <c r="G1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Uživatel systému Windows</author>
  </authors>
  <commentList>
    <comment ref="K2" authorId="0" shapeId="0" xr:uid="{00000000-0006-0000-0000-000001000000}">
      <text>
        <r>
          <rPr>
            <b/>
            <sz val="9"/>
            <color indexed="81"/>
            <rFont val="Tahoma"/>
            <family val="2"/>
            <charset val="238"/>
          </rPr>
          <t xml:space="preserve">Uživatel systému Windows:
</t>
        </r>
        <r>
          <rPr>
            <sz val="9"/>
            <color indexed="81"/>
            <rFont val="Tahoma"/>
            <family val="2"/>
            <charset val="238"/>
          </rPr>
          <t xml:space="preserve">
jeden měsíc = 30 dní
tj. 12 x 30 dní
rok = 365 dní. 
Počítáno na model. Pac. Hm: 80 Kg, BSA: 1,96 m2</t>
        </r>
      </text>
    </comment>
    <comment ref="L2" authorId="0" shapeId="0" xr:uid="{00000000-0006-0000-0000-000002000000}">
      <text>
        <r>
          <rPr>
            <b/>
            <sz val="9"/>
            <color indexed="81"/>
            <rFont val="Tahoma"/>
            <family val="2"/>
            <charset val="238"/>
          </rPr>
          <t xml:space="preserve">Uživatel systému Windows:
</t>
        </r>
        <r>
          <rPr>
            <sz val="9"/>
            <color indexed="81"/>
            <rFont val="Tahoma"/>
            <family val="2"/>
            <charset val="238"/>
          </rPr>
          <t xml:space="preserve">
jeden měsíc = 30 dní
tj. 12 x 30 dní
rok = 365 dní. 
Počítáno na model. Pac. Hm: 80 Kg, BSA: 1,96 m2</t>
        </r>
      </text>
    </comment>
    <comment ref="T2" authorId="0" shapeId="0" xr:uid="{00000000-0006-0000-0000-000003000000}">
      <text>
        <r>
          <rPr>
            <b/>
            <sz val="9"/>
            <color indexed="81"/>
            <rFont val="Tahoma"/>
            <family val="2"/>
            <charset val="238"/>
          </rPr>
          <t>Uživatel systému Windows:</t>
        </r>
        <r>
          <rPr>
            <sz val="9"/>
            <color indexed="81"/>
            <rFont val="Tahoma"/>
            <family val="2"/>
            <charset val="238"/>
          </rPr>
          <t xml:space="preserve">
Pro každý přípravek je počítána RR pro 1. a 2. rok dle RR ve sloupci epsilon, pro 3., 4. a 5. je pro všechny přípravky RR rovno 1 (dle zdroje 8 byla v FE modelu pro všechny přípravky předpokládána pravděpodobnost ukončení léčby 16% ve 3. a následujících letech). Hodnota RR je pak zprůměrována na 1 rok pro horizont 5 let.</t>
        </r>
      </text>
    </comment>
    <comment ref="U2" authorId="0" shapeId="0" xr:uid="{00000000-0006-0000-0000-000004000000}">
      <text>
        <r>
          <rPr>
            <b/>
            <sz val="9"/>
            <color indexed="81"/>
            <rFont val="Tahoma"/>
            <family val="2"/>
            <charset val="238"/>
          </rPr>
          <t>Uživatel systému Windows:</t>
        </r>
        <r>
          <rPr>
            <sz val="9"/>
            <color indexed="81"/>
            <rFont val="Tahoma"/>
            <family val="2"/>
            <charset val="238"/>
          </rPr>
          <t xml:space="preserve">
Pro počet QALY byly použity výsledky dle Table ES3 (použit zdroj uvedený pod pozn. 21) - použitý FE model pro RRMS měl následující parametry: DMD naivní pacienti, celoživotní horizont, alemtuzumab může být užíván i více než 3 roky!!!, DMD ukončeno při EDSS 7 a více, průměrný věk pacienta vstupujícího do modelu - 29, poměry EDSS na vstupu do modelu - EDSS 1 (22%), EDSS 2 (28%), EDSS 3 (24%), EDSS 4 (15%), EDSS 5 (6%),... V modelu chyběl kladribin a ofatumumab - hodnota QALY u kladribinu byla odhadnuta na 10,40 dle poměrů QALY kladribinu vůči fingolimodu, alemtuzumabu a natalizumabu v Table 4 zdroje v pozn. 9 a v Table 6 zdroje v pozn. 8, hodnota QALY u ofatumumabu byla odhadnuta také na 10,40 (dle cca stejné hodnoty s kladribinem v Table 6 zdroje v pozn.8). Hodnota poměru QALY pro ponesimod byla převzata dle hodnot QALY posemido vs DMF uvedené v části „Výsledek základního scénáře“ ve zdroji pod pozn. 30 (CAVE! v tomto modelu bylo vstupní EDSS pacientů 5 ve 100%!)</t>
        </r>
      </text>
    </comment>
    <comment ref="V2" authorId="0" shapeId="0" xr:uid="{00000000-0006-0000-0000-000005000000}">
      <text>
        <r>
          <rPr>
            <b/>
            <sz val="9"/>
            <color indexed="81"/>
            <rFont val="Tahoma"/>
            <family val="2"/>
            <charset val="238"/>
          </rPr>
          <t>Uživatel systému Windows:</t>
        </r>
        <r>
          <rPr>
            <sz val="9"/>
            <color indexed="81"/>
            <rFont val="Tahoma"/>
            <family val="2"/>
            <charset val="238"/>
          </rPr>
          <t xml:space="preserve">
Pro počet QALY byl použit zdroj CADTH (viz pozn. 8) - použitý FE model pro RRMS měl následující parametry: populace je mix (DMD již užívající (cca 59%) i DMD naivní pacienti), celoživotní horizont, alemtuzumab a kladribin užívány jen první 2 roky, DMD ukončeno při EDSS 7 a více, průměrný věk pacienta vstupujícího do modelu - 38 ? (dle zdroje z pozn. 10), medián EDSS na vstupu do modelu - 3 ? (dle zdroje z pozn. 10) </t>
        </r>
      </text>
    </comment>
    <comment ref="W2" authorId="0" shapeId="0" xr:uid="{00000000-0006-0000-0000-000006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
(1/gamma + 1/delta)/2*epsilon</t>
        </r>
      </text>
    </comment>
    <comment ref="X2" authorId="0" shapeId="0" xr:uid="{00000000-0006-0000-0000-000007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xml:space="preserve">.: 5-letý časový horizont, žádný "effect waning" (kromě kladribinu), RR pro přerušení léčby je ze sl. epsilon (u alemtuzumabu a kladribinu riziko celých 5 let stejné)
</t>
        </r>
        <r>
          <rPr>
            <u/>
            <sz val="9"/>
            <color indexed="81"/>
            <rFont val="Tahoma"/>
            <family val="2"/>
            <charset val="238"/>
          </rPr>
          <t>Scénář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Y2" authorId="0" shapeId="0" xr:uid="{00000000-0006-0000-0000-000008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 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 
(1/gamma s čarou + 1/delta s čarou)/2*epsilon</t>
        </r>
      </text>
    </comment>
    <comment ref="Z2" authorId="0" shapeId="0" xr:uid="{00000000-0006-0000-0000-000009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
(1/gamma s čarou + 1/delta s čarou)/2*epsilon s čarou</t>
        </r>
      </text>
    </comment>
    <comment ref="AA2" authorId="0" shapeId="0" xr:uid="{00000000-0006-0000-0000-00000A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t>
        </r>
      </text>
    </comment>
    <comment ref="AB2" authorId="0" shapeId="0" xr:uid="{00000000-0006-0000-0000-00000B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AC2" authorId="0" shapeId="0" xr:uid="{00000000-0006-0000-0000-00000C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t>
        </r>
      </text>
    </comment>
    <comment ref="AD2" authorId="0" shapeId="0" xr:uid="{00000000-0006-0000-0000-00000D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t>
        </r>
      </text>
    </comment>
    <comment ref="AE2" authorId="0" shapeId="0" xr:uid="{00000000-0006-0000-0000-00000E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AF2" authorId="0" shapeId="0" xr:uid="{00000000-0006-0000-0000-00000F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6</t>
        </r>
        <r>
          <rPr>
            <sz val="9"/>
            <color indexed="81"/>
            <rFont val="Tahoma"/>
            <family val="2"/>
            <charset val="238"/>
          </rPr>
          <t>.: poměr cen terapií je z 5-letého časového horizontu, poměr utilit (QALY) je ze sloupce zéta</t>
        </r>
      </text>
    </comment>
    <comment ref="AG2" authorId="0" shapeId="0" xr:uid="{00000000-0006-0000-0000-000010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7</t>
        </r>
        <r>
          <rPr>
            <sz val="9"/>
            <color indexed="81"/>
            <rFont val="Tahoma"/>
            <family val="2"/>
            <charset val="238"/>
          </rPr>
          <t>.: poměr cen terapií je z 5-letého časového horizontu, poměr utilit (QALY) je ze sloupce zéta s čarou</t>
        </r>
      </text>
    </comment>
    <comment ref="AH2" authorId="0" shapeId="0" xr:uid="{00000000-0006-0000-0000-000011000000}">
      <text>
        <r>
          <rPr>
            <b/>
            <sz val="9"/>
            <color indexed="81"/>
            <rFont val="Tahoma"/>
            <family val="2"/>
            <charset val="238"/>
          </rPr>
          <t>Uživatel systému Windows:</t>
        </r>
        <r>
          <rPr>
            <sz val="9"/>
            <color indexed="81"/>
            <rFont val="Tahoma"/>
            <family val="2"/>
            <charset val="238"/>
          </rPr>
          <t xml:space="preserve">
</t>
        </r>
      </text>
    </comment>
    <comment ref="AI2" authorId="0" shapeId="0" xr:uid="{00000000-0006-0000-0000-000012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J7" authorId="0" shapeId="0" xr:uid="{00000000-0006-0000-0000-000013000000}">
      <text>
        <r>
          <rPr>
            <b/>
            <sz val="9"/>
            <color indexed="81"/>
            <rFont val="Tahoma"/>
            <family val="2"/>
            <charset val="238"/>
          </rPr>
          <t>Uživatel systému Windows:</t>
        </r>
        <r>
          <rPr>
            <sz val="9"/>
            <color indexed="81"/>
            <rFont val="Tahoma"/>
            <family val="2"/>
            <charset val="238"/>
          </rPr>
          <t xml:space="preserve">
cena dle max. úhrady
</t>
        </r>
      </text>
    </comment>
    <comment ref="K9" authorId="0" shapeId="0" xr:uid="{00000000-0006-0000-0000-000014000000}">
      <text>
        <r>
          <rPr>
            <b/>
            <sz val="9"/>
            <color indexed="81"/>
            <rFont val="Tahoma"/>
            <family val="2"/>
            <charset val="238"/>
          </rPr>
          <t>Uživatel systému Windows:</t>
        </r>
        <r>
          <rPr>
            <sz val="9"/>
            <color indexed="81"/>
            <rFont val="Tahoma"/>
            <family val="2"/>
            <charset val="238"/>
          </rPr>
          <t xml:space="preserve">
nezahrnuje první měsíc iniciace</t>
        </r>
      </text>
    </comment>
    <comment ref="L9" authorId="0" shapeId="0" xr:uid="{00000000-0006-0000-0000-000015000000}">
      <text>
        <r>
          <rPr>
            <b/>
            <sz val="9"/>
            <color indexed="81"/>
            <rFont val="Tahoma"/>
            <family val="2"/>
            <charset val="238"/>
          </rPr>
          <t>Uživatel systému Windows:</t>
        </r>
        <r>
          <rPr>
            <sz val="9"/>
            <color indexed="81"/>
            <rFont val="Tahoma"/>
            <family val="2"/>
            <charset val="238"/>
          </rPr>
          <t xml:space="preserve">
</t>
        </r>
      </text>
    </comment>
    <comment ref="Q11" authorId="0" shapeId="0" xr:uid="{00000000-0006-0000-0000-000016000000}">
      <text>
        <r>
          <rPr>
            <sz val="9"/>
            <color indexed="81"/>
            <rFont val="Tahoma"/>
            <family val="2"/>
            <charset val="238"/>
          </rPr>
          <t xml:space="preserve">Nejsou data pro GA 40 ve zdroji pod pozn. 13, tak byla použita hodnota ze zdroje uvedeném pod pozn. 18
</t>
        </r>
      </text>
    </comment>
    <comment ref="R11" authorId="0" shapeId="0" xr:uid="{00000000-0006-0000-0000-000017000000}">
      <text>
        <r>
          <rPr>
            <sz val="9"/>
            <color indexed="81"/>
            <rFont val="Tahoma"/>
            <family val="2"/>
            <charset val="238"/>
          </rPr>
          <t xml:space="preserve">Nejsou data pro GA 40 ve zdroji pod pozn. 13, tak byla použita hodnota ze zdroje uvedeném pod pozn. 18
</t>
        </r>
      </text>
    </comment>
    <comment ref="S11" authorId="0" shapeId="0" xr:uid="{00000000-0006-0000-0000-000018000000}">
      <text>
        <r>
          <rPr>
            <b/>
            <sz val="9"/>
            <color indexed="81"/>
            <rFont val="Tahoma"/>
            <family val="2"/>
            <charset val="238"/>
          </rPr>
          <t>Uživatel systému Windows:</t>
        </r>
        <r>
          <rPr>
            <sz val="9"/>
            <color indexed="81"/>
            <rFont val="Tahoma"/>
            <family val="2"/>
            <charset val="238"/>
          </rPr>
          <t xml:space="preserve">
Nejsou data pro GA 40 pro posouzení tohoto parametru. Počítáno s předpokládanou hodnotou shodnou jako pro GA 20.</t>
        </r>
      </text>
    </comment>
    <comment ref="U11" authorId="0" shapeId="0" xr:uid="{00000000-0006-0000-0000-000019000000}">
      <text>
        <r>
          <rPr>
            <b/>
            <sz val="9"/>
            <color indexed="81"/>
            <rFont val="Tahoma"/>
            <family val="2"/>
            <charset val="238"/>
          </rPr>
          <t>Uživatel systému Windows:</t>
        </r>
        <r>
          <rPr>
            <sz val="9"/>
            <color indexed="81"/>
            <rFont val="Tahoma"/>
            <family val="2"/>
            <charset val="238"/>
          </rPr>
          <t xml:space="preserve">
</t>
        </r>
      </text>
    </comment>
    <comment ref="V11" authorId="0" shapeId="0" xr:uid="{00000000-0006-0000-0000-00001A000000}">
      <text>
        <r>
          <rPr>
            <b/>
            <sz val="9"/>
            <color indexed="81"/>
            <rFont val="Tahoma"/>
            <family val="2"/>
            <charset val="238"/>
          </rPr>
          <t>Uživatel systému Windows:</t>
        </r>
        <r>
          <rPr>
            <sz val="9"/>
            <color indexed="81"/>
            <rFont val="Tahoma"/>
            <family val="2"/>
            <charset val="238"/>
          </rPr>
          <t xml:space="preserve">
</t>
        </r>
      </text>
    </comment>
    <comment ref="J12" authorId="0" shapeId="0" xr:uid="{00000000-0006-0000-0000-00001B000000}">
      <text>
        <r>
          <rPr>
            <b/>
            <sz val="11"/>
            <color indexed="81"/>
            <rFont val="Tahoma"/>
            <family val="2"/>
            <charset val="238"/>
          </rPr>
          <t>PŘI ZMĚNĚ CENY OPRAVIT HODNOTY VE SLOUPCÍCH AJ a AK !!!!</t>
        </r>
        <r>
          <rPr>
            <sz val="9"/>
            <color indexed="81"/>
            <rFont val="Tahoma"/>
            <family val="2"/>
            <charset val="238"/>
          </rPr>
          <t xml:space="preserve">
</t>
        </r>
      </text>
    </comment>
    <comment ref="K12" authorId="0" shapeId="0" xr:uid="{00000000-0006-0000-0000-00001C000000}">
      <text>
        <r>
          <rPr>
            <b/>
            <sz val="9"/>
            <color indexed="81"/>
            <rFont val="Tahoma"/>
            <family val="2"/>
            <charset val="238"/>
          </rPr>
          <t>Uživatel systému Windows:</t>
        </r>
        <r>
          <rPr>
            <sz val="9"/>
            <color indexed="81"/>
            <rFont val="Tahoma"/>
            <family val="2"/>
            <charset val="238"/>
          </rPr>
          <t xml:space="preserve">
nezahrnuje iniciaci
</t>
        </r>
      </text>
    </comment>
    <comment ref="L12" authorId="0" shapeId="0" xr:uid="{00000000-0006-0000-0000-00001D000000}">
      <text>
        <r>
          <rPr>
            <b/>
            <sz val="9"/>
            <color indexed="81"/>
            <rFont val="Tahoma"/>
            <family val="2"/>
            <charset val="238"/>
          </rPr>
          <t>Uživatel systému Windows:</t>
        </r>
        <r>
          <rPr>
            <sz val="9"/>
            <color indexed="81"/>
            <rFont val="Tahoma"/>
            <family val="2"/>
            <charset val="238"/>
          </rPr>
          <t xml:space="preserve">
</t>
        </r>
      </text>
    </comment>
    <comment ref="J13" authorId="0" shapeId="0" xr:uid="{00000000-0006-0000-0000-00001E000000}">
      <text>
        <r>
          <rPr>
            <sz val="9"/>
            <color indexed="81"/>
            <rFont val="Tahoma"/>
            <family val="2"/>
            <charset val="238"/>
          </rPr>
          <t>Cena dle max. úhrady SUKLu ze databáze léčiv na www.sukl.cz k 8.9.23</t>
        </r>
      </text>
    </comment>
    <comment ref="K13" authorId="0" shapeId="0" xr:uid="{00000000-0006-0000-0000-00001F000000}">
      <text>
        <r>
          <rPr>
            <b/>
            <sz val="9"/>
            <color indexed="81"/>
            <rFont val="Tahoma"/>
            <family val="2"/>
            <charset val="238"/>
          </rPr>
          <t>Uživatel systému Windows:</t>
        </r>
        <r>
          <rPr>
            <sz val="9"/>
            <color indexed="81"/>
            <rFont val="Tahoma"/>
            <family val="2"/>
            <charset val="238"/>
          </rPr>
          <t xml:space="preserve">
nezahrnuje iniciaci
</t>
        </r>
      </text>
    </comment>
    <comment ref="L13" authorId="0" shapeId="0" xr:uid="{00000000-0006-0000-0000-000020000000}">
      <text>
        <r>
          <rPr>
            <b/>
            <sz val="9"/>
            <color indexed="81"/>
            <rFont val="Tahoma"/>
            <family val="2"/>
            <charset val="238"/>
          </rPr>
          <t>Uživatel systému Windows:</t>
        </r>
        <r>
          <rPr>
            <sz val="9"/>
            <color indexed="81"/>
            <rFont val="Tahoma"/>
            <family val="2"/>
            <charset val="238"/>
          </rPr>
          <t xml:space="preserve">
nezahrnuje iniciaci
</t>
        </r>
      </text>
    </comment>
    <comment ref="J14" authorId="0" shapeId="0" xr:uid="{00000000-0006-0000-0000-000021000000}">
      <text>
        <r>
          <rPr>
            <sz val="9"/>
            <color indexed="81"/>
            <rFont val="Tahoma"/>
            <family val="2"/>
            <charset val="238"/>
          </rPr>
          <t xml:space="preserve">cena dle informace paní Visskové: 1. titrační balení na 14 dní je za 11.004,97 Kč
</t>
        </r>
      </text>
    </comment>
    <comment ref="U14" authorId="0" shapeId="0" xr:uid="{00000000-0006-0000-0000-000022000000}">
      <text>
        <r>
          <rPr>
            <b/>
            <sz val="9"/>
            <color indexed="81"/>
            <rFont val="Tahoma"/>
            <family val="2"/>
            <charset val="238"/>
          </rPr>
          <t>The best study :</t>
        </r>
        <r>
          <rPr>
            <sz val="9"/>
            <color indexed="81"/>
            <rFont val="Tahoma"/>
            <family val="2"/>
            <charset val="238"/>
          </rPr>
          <t xml:space="preserve">
Hodnota poměru QALY pro ponesimod byla převzata dle hodnot QALY posemido vs DMF uvedené v části „Výsledek základního scénáře“ ve zdroji pod pozn. 30 (CAVE! v tomto modelu bylo vstupní EDSS pacientů 5 ve 100%! A ponesimod vyšel velmi dobře ?!
)</t>
        </r>
      </text>
    </comment>
    <comment ref="K15" authorId="0" shapeId="0" xr:uid="{00000000-0006-0000-0000-000024000000}">
      <text>
        <r>
          <rPr>
            <b/>
            <sz val="9"/>
            <color indexed="81"/>
            <rFont val="Tahoma"/>
            <family val="2"/>
            <charset val="238"/>
          </rPr>
          <t>Uživatel systému Windows:</t>
        </r>
        <r>
          <rPr>
            <sz val="9"/>
            <color indexed="81"/>
            <rFont val="Tahoma"/>
            <family val="2"/>
            <charset val="238"/>
          </rPr>
          <t xml:space="preserve">
nezahrnuje iniciaci
</t>
        </r>
      </text>
    </comment>
    <comment ref="L15" authorId="0" shapeId="0" xr:uid="{00000000-0006-0000-0000-000025000000}">
      <text>
        <r>
          <rPr>
            <b/>
            <sz val="9"/>
            <color indexed="81"/>
            <rFont val="Tahoma"/>
            <family val="2"/>
            <charset val="238"/>
          </rPr>
          <t>Uživatel systému Windows:</t>
        </r>
        <r>
          <rPr>
            <sz val="9"/>
            <color indexed="81"/>
            <rFont val="Tahoma"/>
            <family val="2"/>
            <charset val="238"/>
          </rPr>
          <t xml:space="preserve">
nezahrnuje iniciaci
</t>
        </r>
      </text>
    </comment>
    <comment ref="O18" authorId="0" shapeId="0" xr:uid="{00000000-0006-0000-0000-000026000000}">
      <text>
        <r>
          <rPr>
            <sz val="9"/>
            <color indexed="81"/>
            <rFont val="Tahoma"/>
            <family val="2"/>
            <charset val="238"/>
          </rPr>
          <t xml:space="preserve">Předpokládaný stejný efekt natalizumab s.c. vs natalizumab i.v. standard dosing vs natalizumab i.v. EID !!!
</t>
        </r>
      </text>
    </comment>
    <comment ref="P18" authorId="0" shapeId="0" xr:uid="{00000000-0006-0000-0000-000027000000}">
      <text>
        <r>
          <rPr>
            <sz val="9"/>
            <color indexed="81"/>
            <rFont val="Tahoma"/>
            <family val="2"/>
            <charset val="238"/>
          </rPr>
          <t xml:space="preserve">Předpokládaný stejný efekt natalizumab s.c. vs natalizumab i.v. standard dosing vs natalizumab i.v. EID !!!
</t>
        </r>
      </text>
    </comment>
    <comment ref="Q18" authorId="0" shapeId="0" xr:uid="{00000000-0006-0000-0000-000028000000}">
      <text>
        <r>
          <rPr>
            <sz val="9"/>
            <color indexed="81"/>
            <rFont val="Tahoma"/>
            <family val="2"/>
            <charset val="238"/>
          </rPr>
          <t xml:space="preserve">Předpokládaný stejný efekt natalizumab s.c. vs natalizumab i.v. standard dosing vs natalizumab i.v. EID !!!
</t>
        </r>
      </text>
    </comment>
    <comment ref="R18" authorId="0" shapeId="0" xr:uid="{00000000-0006-0000-0000-000029000000}">
      <text>
        <r>
          <rPr>
            <sz val="9"/>
            <color indexed="81"/>
            <rFont val="Tahoma"/>
            <family val="2"/>
            <charset val="238"/>
          </rPr>
          <t xml:space="preserve">Předpokládaný stejný efekt natalizumab s.c. vs natalizumab i.v. standard dosing vs natalizumab i.v. EID !!!
</t>
        </r>
      </text>
    </comment>
    <comment ref="K21" authorId="0" shapeId="0" xr:uid="{00000000-0006-0000-0000-00002A000000}">
      <text>
        <r>
          <rPr>
            <b/>
            <sz val="9"/>
            <color indexed="81"/>
            <rFont val="Tahoma"/>
            <family val="2"/>
            <charset val="238"/>
          </rPr>
          <t>Uživatel systému Windows:</t>
        </r>
        <r>
          <rPr>
            <sz val="9"/>
            <color indexed="81"/>
            <rFont val="Tahoma"/>
            <family val="2"/>
            <charset val="238"/>
          </rPr>
          <t xml:space="preserve">
počítáno:
První dva roky dávkování dle SPC.
Podání třetí dávka ve třetím roce u 44 % pacientů (cena*3*0,4) - dle výsledků studie CARE-MS I a CARE-MS II uvedených v článku: Benešová Y. Alemtuzumab v léčbě roztroušené sklerózy.</t>
        </r>
        <r>
          <rPr>
            <i/>
            <sz val="9"/>
            <color indexed="81"/>
            <rFont val="Tahoma"/>
            <family val="2"/>
            <charset val="238"/>
          </rPr>
          <t xml:space="preserve"> Farmakoterapeutická revue</t>
        </r>
        <r>
          <rPr>
            <sz val="9"/>
            <color indexed="81"/>
            <rFont val="Tahoma"/>
            <family val="2"/>
            <charset val="238"/>
          </rPr>
          <t>. 05/2018</t>
        </r>
      </text>
    </comment>
    <comment ref="L21" authorId="0" shapeId="0" xr:uid="{00000000-0006-0000-0000-00002B000000}">
      <text>
        <r>
          <rPr>
            <b/>
            <sz val="9"/>
            <color indexed="81"/>
            <rFont val="Tahoma"/>
            <family val="2"/>
            <charset val="238"/>
          </rPr>
          <t>Uživatel systému Windows:</t>
        </r>
        <r>
          <rPr>
            <sz val="9"/>
            <color indexed="81"/>
            <rFont val="Tahoma"/>
            <family val="2"/>
            <charset val="238"/>
          </rPr>
          <t xml:space="preserve">
cena za 1. dávka první rok + cena za druhou dávku druhý rok.</t>
        </r>
      </text>
    </comment>
    <comment ref="Q21" authorId="0" shapeId="0" xr:uid="{00000000-0006-0000-0000-00002C000000}">
      <text>
        <r>
          <rPr>
            <sz val="9"/>
            <color indexed="81"/>
            <rFont val="Tahoma"/>
            <family val="2"/>
            <charset val="238"/>
          </rPr>
          <t xml:space="preserve">Nejsou data pro alemtuzumab ve zdroji pod pozn. 13, tak byla použita hodnota ze zdroje uvedeném pod pozn. 18 !!!
</t>
        </r>
      </text>
    </comment>
    <comment ref="R21" authorId="0" shapeId="0" xr:uid="{00000000-0006-0000-0000-00002D000000}">
      <text>
        <r>
          <rPr>
            <sz val="9"/>
            <color indexed="81"/>
            <rFont val="Tahoma"/>
            <family val="2"/>
            <charset val="238"/>
          </rPr>
          <t xml:space="preserve">Nejsou data pro alemtuzumab ve zdroji pod pozn. 13, tak byla použita hodnota ze zdroje uvedeném pod pozn. 18 !!!
</t>
        </r>
      </text>
    </comment>
    <comment ref="W21" authorId="0" shapeId="0" xr:uid="{00000000-0006-0000-0000-00002E000000}">
      <text>
        <r>
          <rPr>
            <b/>
            <sz val="9"/>
            <color indexed="81"/>
            <rFont val="Tahoma"/>
            <family val="2"/>
            <charset val="238"/>
          </rPr>
          <t>Uživatel systému Windows:</t>
        </r>
        <r>
          <rPr>
            <sz val="9"/>
            <color indexed="81"/>
            <rFont val="Tahoma"/>
            <family val="2"/>
            <charset val="238"/>
          </rPr>
          <t xml:space="preserve">
přidán koeficient 0,5, který "snižuje" váhu členu "Přerušení pro NÚ ", protože se lék užívá pouze dva roky (+ cca 50% pacientů ve 3. roce léčby), nikoli kontinuálně. Vztaženo, stejně jako cena, na horizont pěti let.
</t>
        </r>
      </text>
    </comment>
    <comment ref="Z21" authorId="0" shapeId="0" xr:uid="{00000000-0006-0000-0000-00002F000000}">
      <text>
        <r>
          <rPr>
            <b/>
            <sz val="9"/>
            <color indexed="81"/>
            <rFont val="Tahoma"/>
            <family val="2"/>
            <charset val="238"/>
          </rPr>
          <t>Uživatel systému Windows:</t>
        </r>
        <r>
          <rPr>
            <sz val="9"/>
            <color indexed="81"/>
            <rFont val="Tahoma"/>
            <family val="2"/>
            <charset val="238"/>
          </rPr>
          <t xml:space="preserve">
</t>
        </r>
      </text>
    </comment>
    <comment ref="K22" authorId="0" shapeId="0" xr:uid="{00000000-0006-0000-0000-000030000000}">
      <text>
        <r>
          <rPr>
            <b/>
            <sz val="9"/>
            <color indexed="81"/>
            <rFont val="Tahoma"/>
            <family val="2"/>
            <charset val="238"/>
          </rPr>
          <t>Uživatel systému Windows:</t>
        </r>
        <r>
          <rPr>
            <sz val="9"/>
            <color indexed="81"/>
            <rFont val="Tahoma"/>
            <family val="2"/>
            <charset val="238"/>
          </rPr>
          <t xml:space="preserve">
rozloženo do pěti let - </t>
        </r>
        <r>
          <rPr>
            <u/>
            <sz val="9"/>
            <color indexed="81"/>
            <rFont val="Tahoma"/>
            <family val="2"/>
            <charset val="238"/>
          </rPr>
          <t>ale připočítán 0,5x další 1 roční cyklus!</t>
        </r>
      </text>
    </comment>
    <comment ref="L22" authorId="0" shapeId="0" xr:uid="{00000000-0006-0000-0000-000031000000}">
      <text>
        <r>
          <rPr>
            <b/>
            <sz val="9"/>
            <color indexed="81"/>
            <rFont val="Tahoma"/>
            <family val="2"/>
            <charset val="238"/>
          </rPr>
          <t>Uživatel systému Windows:</t>
        </r>
        <r>
          <rPr>
            <sz val="9"/>
            <color indexed="81"/>
            <rFont val="Tahoma"/>
            <family val="2"/>
            <charset val="238"/>
          </rPr>
          <t xml:space="preserve">
pouze za první dva roky</t>
        </r>
      </text>
    </comment>
    <comment ref="O22" authorId="0" shapeId="0" xr:uid="{00000000-0006-0000-0000-000032000000}">
      <text>
        <r>
          <rPr>
            <b/>
            <sz val="9"/>
            <color indexed="81"/>
            <rFont val="Tahoma"/>
            <family val="2"/>
            <charset val="238"/>
          </rPr>
          <t>Uživatel systému Windows:</t>
        </r>
        <r>
          <rPr>
            <sz val="9"/>
            <color indexed="81"/>
            <rFont val="Tahoma"/>
            <family val="2"/>
            <charset val="238"/>
          </rPr>
          <t xml:space="preserve">
</t>
        </r>
      </text>
    </comment>
    <comment ref="W22" authorId="0" shapeId="0" xr:uid="{00000000-0006-0000-0000-000033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2" authorId="0" shapeId="0" xr:uid="{00000000-0006-0000-0000-000034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 ref="Z22" authorId="0" shapeId="0" xr:uid="{00000000-0006-0000-0000-000035000000}">
      <text>
        <r>
          <rPr>
            <b/>
            <sz val="9"/>
            <color indexed="81"/>
            <rFont val="Tahoma"/>
            <family val="2"/>
            <charset val="238"/>
          </rPr>
          <t>Uživatel systému Windows:</t>
        </r>
        <r>
          <rPr>
            <sz val="9"/>
            <color indexed="81"/>
            <rFont val="Tahoma"/>
            <family val="2"/>
            <charset val="238"/>
          </rPr>
          <t xml:space="preserve">
</t>
        </r>
      </text>
    </comment>
    <comment ref="O23" authorId="0" shapeId="0" xr:uid="{00000000-0006-0000-0000-000036000000}">
      <text>
        <r>
          <rPr>
            <b/>
            <sz val="9"/>
            <color indexed="81"/>
            <rFont val="Tahoma"/>
            <family val="2"/>
            <charset val="238"/>
          </rPr>
          <t>Uživatel systému Windows:</t>
        </r>
        <r>
          <rPr>
            <sz val="9"/>
            <color indexed="81"/>
            <rFont val="Tahoma"/>
            <family val="2"/>
            <charset val="238"/>
          </rPr>
          <t xml:space="preserve">
</t>
        </r>
      </text>
    </comment>
    <comment ref="W23" authorId="0" shapeId="0" xr:uid="{00000000-0006-0000-0000-000037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3" authorId="0" shapeId="0" xr:uid="{00000000-0006-0000-0000-000038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 ref="O24" authorId="0" shapeId="0" xr:uid="{00000000-0006-0000-0000-000039000000}">
      <text>
        <r>
          <rPr>
            <b/>
            <sz val="9"/>
            <color indexed="81"/>
            <rFont val="Tahoma"/>
            <family val="2"/>
            <charset val="238"/>
          </rPr>
          <t>Uživatel systému Windows:</t>
        </r>
        <r>
          <rPr>
            <sz val="9"/>
            <color indexed="81"/>
            <rFont val="Tahoma"/>
            <family val="2"/>
            <charset val="238"/>
          </rPr>
          <t xml:space="preserve">
</t>
        </r>
      </text>
    </comment>
    <comment ref="W24" authorId="0" shapeId="0" xr:uid="{00000000-0006-0000-0000-00003A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
Přidán koeficient 0,4, který "snižuje" váhu členu "Přerušení pro NÚ ", protože se lék užívá pouze dva roky, nikoli kontinuálně. Vztaženo, stejně jako cena, na horizont pěti let.</t>
        </r>
      </text>
    </comment>
    <comment ref="X24" authorId="0" shapeId="0" xr:uid="{00000000-0006-0000-0000-00003B000000}">
      <text>
        <r>
          <rPr>
            <b/>
            <sz val="9"/>
            <color indexed="81"/>
            <rFont val="Tahoma"/>
            <family val="2"/>
            <charset val="238"/>
          </rPr>
          <t>Uživatel systému Windows:</t>
        </r>
        <r>
          <rPr>
            <sz val="9"/>
            <color indexed="81"/>
            <rFont val="Tahoma"/>
            <family val="2"/>
            <charset val="238"/>
          </rPr>
          <t xml:space="preserve">
Přidán koeficient 1,15 - adjustace snížení účinnosti v 3-5 roce o 25 % (dle komentáře ke studii Clarity Extension u parametru NEDA-3 od prof.Havrdové ve Farmakoterapii 2021, 17(1): 71. Ve zdrojové NMA(pozn.2 níže) nebylo zahrnuto. Horizont pěti  let.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Uživatel systému Windows</author>
  </authors>
  <commentList>
    <comment ref="C2" authorId="0" shapeId="0" xr:uid="{00000000-0006-0000-0100-000001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1</t>
        </r>
        <r>
          <rPr>
            <sz val="9"/>
            <color indexed="81"/>
            <rFont val="Tahoma"/>
            <family val="2"/>
            <charset val="238"/>
          </rPr>
          <t>.: 5-letý časový horizont, žádný "effect waning" (kromě kladribinu), RR pro přerušení léčby je ze sl. epsilon (u alemtuzumabu a kladribinu RR sníženo kvůli užívání kratší než 5 let)</t>
        </r>
      </text>
    </comment>
    <comment ref="D2" authorId="0" shapeId="0" xr:uid="{00000000-0006-0000-0100-000002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2</t>
        </r>
        <r>
          <rPr>
            <sz val="9"/>
            <color indexed="81"/>
            <rFont val="Tahoma"/>
            <family val="2"/>
            <charset val="238"/>
          </rPr>
          <t>.: 5-letý časový horizont, žádný "effect waning" (kromě kladribinu), RR pro přerušení léčby je ze sl. epsilon (u alemtuzumabu a kladribinu riziko celých 5 let stejné)</t>
        </r>
      </text>
    </comment>
    <comment ref="E2" authorId="0" shapeId="0" xr:uid="{00000000-0006-0000-0100-000003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3</t>
        </r>
        <r>
          <rPr>
            <sz val="9"/>
            <color indexed="81"/>
            <rFont val="Tahoma"/>
            <family val="2"/>
            <charset val="238"/>
          </rPr>
          <t>.:5-letý časový horizont, "effect waning": 3. a 4. rok pro všechny přípravky jen 75% efektu, 5. rok pak jen 50% efektu, RR pro přerušení léčby je ze sl. epsilon (u alemtuzumabu a kladribinu riziko celých 5 let stejné), cena za léčbu alemtuzumabem zprůměrovaná za 5 let při jen 2 letém užívání !!!!</t>
        </r>
      </text>
    </comment>
    <comment ref="F2" authorId="0" shapeId="0" xr:uid="{00000000-0006-0000-0100-000004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4</t>
        </r>
        <r>
          <rPr>
            <sz val="9"/>
            <color indexed="81"/>
            <rFont val="Tahoma"/>
            <family val="2"/>
            <charset val="238"/>
          </rPr>
          <t>.: 5-letý časový horizont, "effect waning": 3. a 4. rok pro všechny přípravky jen 75% efektu, 5. rok pak jen 50% efektu, RR pro přerušení léčby je ze sl. epsilon s čarou, cena za léčbu alemtuzumabem zprůměrovaná za 5 let při jen 2 letém užívání.</t>
        </r>
      </text>
    </comment>
    <comment ref="G2" authorId="0" shapeId="0" xr:uid="{00000000-0006-0000-0100-000005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5</t>
        </r>
        <r>
          <rPr>
            <sz val="9"/>
            <color indexed="81"/>
            <rFont val="Tahoma"/>
            <family val="2"/>
            <charset val="238"/>
          </rPr>
          <t xml:space="preserve">.: 2-letý časový horizont, žádný "effect waning", RR pro přerušení léčby je ze sl. epsilon, cena za léčbu alemtuzumabem a kladribinem je zprůměrovaná za první 2 roky na 1 rok </t>
        </r>
      </text>
    </comment>
    <comment ref="H2" authorId="0" shapeId="0" xr:uid="{00000000-0006-0000-0100-000006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6</t>
        </r>
        <r>
          <rPr>
            <sz val="9"/>
            <color indexed="81"/>
            <rFont val="Tahoma"/>
            <family val="2"/>
            <charset val="238"/>
          </rPr>
          <t>.: poměr cen terapií je z 5-letého časového horizontu, poměr utilit (QALY) je ze sloupce zéta</t>
        </r>
      </text>
    </comment>
    <comment ref="I2" authorId="0" shapeId="0" xr:uid="{00000000-0006-0000-0100-000007000000}">
      <text>
        <r>
          <rPr>
            <b/>
            <sz val="9"/>
            <color indexed="81"/>
            <rFont val="Tahoma"/>
            <family val="2"/>
            <charset val="238"/>
          </rPr>
          <t>Uživatel systému Windows:</t>
        </r>
        <r>
          <rPr>
            <sz val="9"/>
            <color indexed="81"/>
            <rFont val="Tahoma"/>
            <family val="2"/>
            <charset val="238"/>
          </rPr>
          <t xml:space="preserve">
</t>
        </r>
        <r>
          <rPr>
            <u/>
            <sz val="9"/>
            <color indexed="81"/>
            <rFont val="Tahoma"/>
            <family val="2"/>
            <charset val="238"/>
          </rPr>
          <t>Scénař 7</t>
        </r>
        <r>
          <rPr>
            <sz val="9"/>
            <color indexed="81"/>
            <rFont val="Tahoma"/>
            <family val="2"/>
            <charset val="238"/>
          </rPr>
          <t>.: poměr cen terapií je z 5-letého časového horizontu, poměr utilit (QALY) je ze sloupce zéta s čarou</t>
        </r>
      </text>
    </comment>
  </commentList>
</comments>
</file>

<file path=xl/sharedStrings.xml><?xml version="1.0" encoding="utf-8"?>
<sst xmlns="http://schemas.openxmlformats.org/spreadsheetml/2006/main" count="345" uniqueCount="215">
  <si>
    <t>účinná látka</t>
  </si>
  <si>
    <t>léková forma</t>
  </si>
  <si>
    <t>výrobce</t>
  </si>
  <si>
    <t>ATC skupina</t>
  </si>
  <si>
    <t>název přípravku</t>
  </si>
  <si>
    <t>ozanimod</t>
  </si>
  <si>
    <t>p.o.</t>
  </si>
  <si>
    <t>L04AA38</t>
  </si>
  <si>
    <t>Novartis</t>
  </si>
  <si>
    <t>ofatumumab</t>
  </si>
  <si>
    <t>s.c.</t>
  </si>
  <si>
    <t>L01XC10</t>
  </si>
  <si>
    <t>L04AA31</t>
  </si>
  <si>
    <t>teriflunomid</t>
  </si>
  <si>
    <t>Sanofi - Aventis</t>
  </si>
  <si>
    <t>Biogen</t>
  </si>
  <si>
    <t>interferon beta-1a</t>
  </si>
  <si>
    <t>i.m.</t>
  </si>
  <si>
    <t>L03AB07</t>
  </si>
  <si>
    <t>interferony</t>
  </si>
  <si>
    <t>Merck</t>
  </si>
  <si>
    <t>Bayer</t>
  </si>
  <si>
    <t>interferon beta-1b</t>
  </si>
  <si>
    <t>L03AB08</t>
  </si>
  <si>
    <t>peginterferon beta-1a</t>
  </si>
  <si>
    <t>L03AB13</t>
  </si>
  <si>
    <t>L03AX13</t>
  </si>
  <si>
    <t>glatiramer acetát</t>
  </si>
  <si>
    <t>Teva</t>
  </si>
  <si>
    <t>14 mg jedenkrát denně</t>
  </si>
  <si>
    <r>
      <rPr>
        <b/>
        <sz val="12"/>
        <color theme="1"/>
        <rFont val="Calibri"/>
        <family val="2"/>
        <charset val="238"/>
        <scheme val="minor"/>
      </rPr>
      <t>AUBAGIO</t>
    </r>
    <r>
      <rPr>
        <sz val="12"/>
        <color theme="1"/>
        <rFont val="Calibri"/>
        <family val="2"/>
        <charset val="238"/>
        <scheme val="minor"/>
      </rPr>
      <t xml:space="preserve"> 14MG TBL FLM 28</t>
    </r>
  </si>
  <si>
    <r>
      <rPr>
        <b/>
        <sz val="12"/>
        <color theme="1"/>
        <rFont val="Calibri"/>
        <family val="2"/>
        <charset val="238"/>
        <scheme val="minor"/>
      </rPr>
      <t>AVONEX</t>
    </r>
    <r>
      <rPr>
        <sz val="12"/>
        <color theme="1"/>
        <rFont val="Calibri"/>
        <family val="2"/>
        <charset val="238"/>
        <scheme val="minor"/>
      </rPr>
      <t xml:space="preserve"> 30MCG/0,5ML INJ SOL 4X0,5ML+4J</t>
    </r>
  </si>
  <si>
    <r>
      <rPr>
        <b/>
        <sz val="12"/>
        <color theme="1"/>
        <rFont val="Calibri"/>
        <family val="2"/>
        <charset val="238"/>
        <scheme val="minor"/>
      </rPr>
      <t xml:space="preserve">REBIF </t>
    </r>
    <r>
      <rPr>
        <sz val="12"/>
        <color theme="1"/>
        <rFont val="Calibri"/>
        <family val="2"/>
        <charset val="238"/>
        <scheme val="minor"/>
      </rPr>
      <t>44MCG INJ SOL ISP 12X0,5ML</t>
    </r>
  </si>
  <si>
    <r>
      <rPr>
        <b/>
        <sz val="12"/>
        <color theme="1"/>
        <rFont val="Calibri"/>
        <family val="2"/>
        <charset val="238"/>
        <scheme val="minor"/>
      </rPr>
      <t>REBIF 22</t>
    </r>
    <r>
      <rPr>
        <sz val="12"/>
        <color theme="1"/>
        <rFont val="Calibri"/>
        <family val="2"/>
        <charset val="238"/>
        <scheme val="minor"/>
      </rPr>
      <t>MCG INJ SOL ISP 12X0,5ML</t>
    </r>
  </si>
  <si>
    <r>
      <t xml:space="preserve">PLEGRIDY </t>
    </r>
    <r>
      <rPr>
        <sz val="12"/>
        <color theme="1"/>
        <rFont val="Calibri"/>
        <family val="2"/>
        <charset val="238"/>
        <scheme val="minor"/>
      </rPr>
      <t>125MCG INJ SOL 2X0,5ML</t>
    </r>
  </si>
  <si>
    <r>
      <rPr>
        <b/>
        <sz val="12"/>
        <color theme="1"/>
        <rFont val="Calibri"/>
        <family val="2"/>
        <charset val="238"/>
        <scheme val="minor"/>
      </rPr>
      <t xml:space="preserve">COPAXONE </t>
    </r>
    <r>
      <rPr>
        <sz val="12"/>
        <color theme="1"/>
        <rFont val="Calibri"/>
        <family val="2"/>
        <charset val="238"/>
        <scheme val="minor"/>
      </rPr>
      <t>20MG/ML INJ SOL ISP 28X1ML</t>
    </r>
  </si>
  <si>
    <t>20 mg jedenkrát denně</t>
  </si>
  <si>
    <t>není na trhu</t>
  </si>
  <si>
    <r>
      <rPr>
        <b/>
        <sz val="12"/>
        <color theme="0" tint="-0.499984740745262"/>
        <rFont val="Calibri"/>
        <family val="2"/>
        <charset val="238"/>
        <scheme val="minor"/>
      </rPr>
      <t>EXTAVIA</t>
    </r>
    <r>
      <rPr>
        <sz val="12"/>
        <color theme="0" tint="-0.499984740745262"/>
        <rFont val="Calibri"/>
        <family val="2"/>
        <charset val="238"/>
        <scheme val="minor"/>
      </rPr>
      <t xml:space="preserve"> 250mcg/ml inj 15x1,2ml</t>
    </r>
  </si>
  <si>
    <t>Biogen s.r.o.</t>
  </si>
  <si>
    <t>fingolimod</t>
  </si>
  <si>
    <t>L04AA27</t>
  </si>
  <si>
    <t>0,5 mg jedenkrát denně</t>
  </si>
  <si>
    <t>i.v.</t>
  </si>
  <si>
    <t>L04AA23</t>
  </si>
  <si>
    <t>ocrelizumab</t>
  </si>
  <si>
    <t>L04AA36</t>
  </si>
  <si>
    <t>Roche s.r.o.</t>
  </si>
  <si>
    <t>alemtuzumab</t>
  </si>
  <si>
    <t>L04AA34</t>
  </si>
  <si>
    <t>Kladribin</t>
  </si>
  <si>
    <t>L04AA40</t>
  </si>
  <si>
    <t>-</t>
  </si>
  <si>
    <r>
      <rPr>
        <vertAlign val="superscript"/>
        <sz val="9"/>
        <color theme="1"/>
        <rFont val="Calibri"/>
        <family val="2"/>
        <charset val="238"/>
        <scheme val="minor"/>
      </rPr>
      <t>4</t>
    </r>
    <r>
      <rPr>
        <sz val="9"/>
        <color theme="1"/>
        <rFont val="Calibri"/>
        <family val="2"/>
        <charset val="238"/>
        <scheme val="minor"/>
      </rPr>
      <t xml:space="preserve"> Samjoo A., et al., Efficacy classification of modern therapies in multiple sclerosis. </t>
    </r>
    <r>
      <rPr>
        <i/>
        <sz val="9"/>
        <color theme="1"/>
        <rFont val="Calibri"/>
        <family val="2"/>
        <charset val="238"/>
        <scheme val="minor"/>
      </rPr>
      <t>J. Comp. Eff. Res</t>
    </r>
    <r>
      <rPr>
        <sz val="9"/>
        <color theme="1"/>
        <rFont val="Calibri"/>
        <family val="2"/>
        <charset val="238"/>
        <scheme val="minor"/>
      </rPr>
      <t>. (2021) 10(6), 495–507</t>
    </r>
  </si>
  <si>
    <r>
      <rPr>
        <vertAlign val="superscript"/>
        <sz val="9"/>
        <color theme="1"/>
        <rFont val="Calibri"/>
        <family val="2"/>
        <charset val="238"/>
        <scheme val="minor"/>
      </rPr>
      <t>6</t>
    </r>
    <r>
      <rPr>
        <sz val="9"/>
        <color theme="1"/>
        <rFont val="Calibri"/>
        <family val="2"/>
        <charset val="238"/>
        <scheme val="minor"/>
      </rPr>
      <t xml:space="preserve"> Giovannoni G., et al., A Systematic Review and Mixed Treatment Comparison of Pharmaceutical Interventions for Multiple Sclerosis. </t>
    </r>
    <r>
      <rPr>
        <i/>
        <sz val="9"/>
        <color theme="1"/>
        <rFont val="Calibri"/>
        <family val="2"/>
        <charset val="238"/>
        <scheme val="minor"/>
      </rPr>
      <t>Neurol The</t>
    </r>
    <r>
      <rPr>
        <sz val="9"/>
        <color theme="1"/>
        <rFont val="Calibri"/>
        <family val="2"/>
        <charset val="238"/>
        <scheme val="minor"/>
      </rPr>
      <t>r (2020) 9:359–374</t>
    </r>
  </si>
  <si>
    <r>
      <rPr>
        <vertAlign val="superscript"/>
        <sz val="9"/>
        <color theme="1"/>
        <rFont val="Calibri"/>
        <family val="2"/>
        <charset val="238"/>
        <scheme val="minor"/>
      </rPr>
      <t>3</t>
    </r>
    <r>
      <rPr>
        <sz val="9"/>
        <color theme="1"/>
        <rFont val="Calibri"/>
        <family val="2"/>
        <charset val="238"/>
        <scheme val="minor"/>
      </rPr>
      <t xml:space="preserve"> Liu Z., et al., Disease modifying therapies in relapsing-remitting multiple sclerosis: A systematic review and network meta-analysis, </t>
    </r>
    <r>
      <rPr>
        <i/>
        <sz val="9"/>
        <color theme="1"/>
        <rFont val="Calibri"/>
        <family val="2"/>
        <charset val="238"/>
        <scheme val="minor"/>
      </rPr>
      <t>Autoimmunity Reviews</t>
    </r>
    <r>
      <rPr>
        <sz val="9"/>
        <color theme="1"/>
        <rFont val="Calibri"/>
        <family val="2"/>
        <charset val="238"/>
        <scheme val="minor"/>
      </rPr>
      <t xml:space="preserve"> (2021)</t>
    </r>
  </si>
  <si>
    <r>
      <rPr>
        <vertAlign val="superscript"/>
        <sz val="9"/>
        <color theme="1"/>
        <rFont val="Calibri"/>
        <family val="2"/>
        <charset val="238"/>
        <scheme val="minor"/>
      </rPr>
      <t>7</t>
    </r>
    <r>
      <rPr>
        <sz val="9"/>
        <color theme="1"/>
        <rFont val="Calibri"/>
        <family val="2"/>
        <charset val="238"/>
        <scheme val="minor"/>
      </rPr>
      <t xml:space="preserve"> Li H., et al., Comparative efficacy and acceptability of disease‑modifying therapies in patients with relapsing–remitting multiple sclerosis: a systematic review and network meta‑analysis. </t>
    </r>
    <r>
      <rPr>
        <i/>
        <sz val="9"/>
        <color theme="1"/>
        <rFont val="Calibri"/>
        <family val="2"/>
        <charset val="238"/>
        <scheme val="minor"/>
      </rPr>
      <t>Journal of Neurology</t>
    </r>
    <r>
      <rPr>
        <sz val="9"/>
        <color theme="1"/>
        <rFont val="Calibri"/>
        <family val="2"/>
        <charset val="238"/>
        <scheme val="minor"/>
      </rPr>
      <t xml:space="preserve"> (2020) 267:3489–3498</t>
    </r>
  </si>
  <si>
    <r>
      <rPr>
        <vertAlign val="superscript"/>
        <sz val="9"/>
        <color theme="1"/>
        <rFont val="Calibri"/>
        <family val="2"/>
        <charset val="238"/>
        <scheme val="minor"/>
      </rPr>
      <t>8</t>
    </r>
    <r>
      <rPr>
        <sz val="9"/>
        <color theme="1"/>
        <rFont val="Calibri"/>
        <family val="2"/>
        <charset val="238"/>
        <scheme val="minor"/>
      </rPr>
      <t xml:space="preserve"> CADTH Drug Reimbursement Review Pharmacoeconomics Report for Ofatumumab (Kesimpta). April 2021</t>
    </r>
  </si>
  <si>
    <t>Kompozitní poměr
BENEFIT/ SAFETY
vůči DMF - SCÉNAŘ 1</t>
  </si>
  <si>
    <t>NÁKLADOVÁ EFEKTIVITA
vůči DMT -                          SCÉNÁŘ 1</t>
  </si>
  <si>
    <t>NÁKLADOVÁ EFEKTIVITA
vůči DMT -                          SCÉNÁŘ 2</t>
  </si>
  <si>
    <r>
      <rPr>
        <vertAlign val="superscript"/>
        <sz val="9"/>
        <color theme="1"/>
        <rFont val="Calibri"/>
        <family val="2"/>
        <charset val="238"/>
        <scheme val="minor"/>
      </rPr>
      <t>9</t>
    </r>
    <r>
      <rPr>
        <sz val="9"/>
        <color theme="1"/>
        <rFont val="Calibri"/>
        <family val="2"/>
        <charset val="238"/>
        <scheme val="minor"/>
      </rPr>
      <t xml:space="preserve"> CADTH Common Drug Review Pharmacoeconomics Report for Cladribine (Mavenclad). October 2018</t>
    </r>
  </si>
  <si>
    <t>Kompozitní poměr
BENEFIT/ SAFETY
vůči DMF - SCÉNAŘ 3</t>
  </si>
  <si>
    <t>Kompozitní poměr
BENEFIT/ SAFETY
vůči DMF - SCÉNAŘ 4</t>
  </si>
  <si>
    <r>
      <rPr>
        <vertAlign val="superscript"/>
        <sz val="9"/>
        <color theme="1"/>
        <rFont val="Calibri"/>
        <family val="2"/>
        <charset val="238"/>
        <scheme val="minor"/>
      </rPr>
      <t>10</t>
    </r>
    <r>
      <rPr>
        <sz val="9"/>
        <color theme="1"/>
        <rFont val="Calibri"/>
        <family val="2"/>
        <charset val="238"/>
        <scheme val="minor"/>
      </rPr>
      <t xml:space="preserve"> CADTH Common Drug Review Clinical Review Report for Ofatumumab (Kesimpta). April 2021</t>
    </r>
  </si>
  <si>
    <t>?</t>
  </si>
  <si>
    <t>Kompozitní poměr
BENEFIT/ SAFETY
vůči DMF - SCÉNAŘ 2
SCÉNAŘ 5</t>
  </si>
  <si>
    <r>
      <t>NÁKLADOVÁ</t>
    </r>
    <r>
      <rPr>
        <b/>
        <u/>
        <sz val="11"/>
        <color rgb="FFFFFF00"/>
        <rFont val="Calibri"/>
        <family val="2"/>
        <charset val="238"/>
        <scheme val="minor"/>
      </rPr>
      <t xml:space="preserve"> UTILITA</t>
    </r>
    <r>
      <rPr>
        <b/>
        <sz val="11"/>
        <color rgb="FFFFFF00"/>
        <rFont val="Calibri"/>
        <family val="2"/>
        <charset val="238"/>
        <scheme val="minor"/>
      </rPr>
      <t xml:space="preserve">
vůči DMT -                          SCÉNÁŘ 6</t>
    </r>
  </si>
  <si>
    <r>
      <t xml:space="preserve">NÁKLADOVÁ </t>
    </r>
    <r>
      <rPr>
        <b/>
        <u/>
        <sz val="11"/>
        <color rgb="FFFFFF00"/>
        <rFont val="Calibri"/>
        <family val="2"/>
        <charset val="238"/>
        <scheme val="minor"/>
      </rPr>
      <t>UTILITA</t>
    </r>
    <r>
      <rPr>
        <b/>
        <sz val="11"/>
        <color rgb="FFFFFF00"/>
        <rFont val="Calibri"/>
        <family val="2"/>
        <charset val="238"/>
        <scheme val="minor"/>
      </rPr>
      <t xml:space="preserve">
vůči DMT -                          SCÉNÁŘ 7</t>
    </r>
  </si>
  <si>
    <t>NÁKLADOVÁ EFEKTIVITA
vůči DMT -                          SCÉNÁŘ 3</t>
  </si>
  <si>
    <t>NÁKLADOVÁ EFEKTIVITA
vůči DMT -                          SCÉNÁŘ 4</t>
  </si>
  <si>
    <t>NÁKLADOVÁ EFEKTIVITA
vůči DMT -                          SCÉNÁŘ 5</t>
  </si>
  <si>
    <r>
      <rPr>
        <b/>
        <sz val="11"/>
        <rFont val="Arial"/>
        <family val="2"/>
        <charset val="238"/>
      </rPr>
      <t>RR</t>
    </r>
    <r>
      <rPr>
        <b/>
        <sz val="10"/>
        <rFont val="Arial"/>
        <family val="2"/>
        <charset val="238"/>
      </rPr>
      <t xml:space="preserve">
</t>
    </r>
    <r>
      <rPr>
        <b/>
        <i/>
        <sz val="10"/>
        <rFont val="Arial"/>
        <family val="2"/>
        <charset val="238"/>
      </rPr>
      <t>terapie</t>
    </r>
    <r>
      <rPr>
        <b/>
        <sz val="10"/>
        <rFont val="Arial"/>
        <family val="2"/>
        <charset val="238"/>
      </rPr>
      <t xml:space="preserve"> vs DMF
v celkovém QALY 
 </t>
    </r>
    <r>
      <rPr>
        <b/>
        <sz val="9"/>
        <rFont val="Arial"/>
        <family val="2"/>
        <charset val="238"/>
      </rPr>
      <t xml:space="preserve">(pro scénář 7.)
</t>
    </r>
    <r>
      <rPr>
        <b/>
        <i/>
        <sz val="9"/>
        <rFont val="Arial"/>
        <family val="2"/>
        <charset val="238"/>
      </rPr>
      <t>sloupec ζ</t>
    </r>
  </si>
  <si>
    <r>
      <rPr>
        <b/>
        <sz val="11"/>
        <color theme="0"/>
        <rFont val="Arial"/>
        <family val="2"/>
        <charset val="238"/>
      </rPr>
      <t>RR</t>
    </r>
    <r>
      <rPr>
        <b/>
        <sz val="10"/>
        <color theme="0"/>
        <rFont val="Arial"/>
        <family val="2"/>
        <charset val="238"/>
      </rPr>
      <t xml:space="preserve">
</t>
    </r>
    <r>
      <rPr>
        <b/>
        <i/>
        <sz val="10"/>
        <color theme="0"/>
        <rFont val="Arial"/>
        <family val="2"/>
        <charset val="238"/>
      </rPr>
      <t>terapie</t>
    </r>
    <r>
      <rPr>
        <b/>
        <sz val="10"/>
        <color theme="0"/>
        <rFont val="Arial"/>
        <family val="2"/>
        <charset val="238"/>
      </rPr>
      <t xml:space="preserve"> vs DMF
v paramateru "Přerušení léčby" 
</t>
    </r>
    <r>
      <rPr>
        <b/>
        <sz val="9"/>
        <color theme="0"/>
        <rFont val="Arial"/>
        <family val="2"/>
        <charset val="238"/>
      </rPr>
      <t xml:space="preserve">(pro scénář 4.)
</t>
    </r>
    <r>
      <rPr>
        <b/>
        <i/>
        <sz val="9"/>
        <color theme="0"/>
        <rFont val="Arial"/>
        <family val="2"/>
        <charset val="238"/>
      </rPr>
      <t>sloupec ε´</t>
    </r>
  </si>
  <si>
    <r>
      <t xml:space="preserve">Obratový bonus </t>
    </r>
    <r>
      <rPr>
        <b/>
        <sz val="11"/>
        <color rgb="FFFFFF00"/>
        <rFont val="Calibri"/>
        <family val="2"/>
        <charset val="238"/>
      </rPr>
      <t>[%]</t>
    </r>
  </si>
  <si>
    <t>SCÉNÁŘ 1</t>
  </si>
  <si>
    <t xml:space="preserve"> SCÉNÁŘ 3</t>
  </si>
  <si>
    <r>
      <rPr>
        <b/>
        <sz val="12"/>
        <color theme="1"/>
        <rFont val="Calibri"/>
        <family val="2"/>
        <charset val="238"/>
        <scheme val="minor"/>
      </rPr>
      <t>AVONEX</t>
    </r>
    <r>
      <rPr>
        <sz val="12"/>
        <color theme="1"/>
        <rFont val="Calibri"/>
        <family val="2"/>
        <charset val="238"/>
        <scheme val="minor"/>
      </rPr>
      <t xml:space="preserve"> 30 mg</t>
    </r>
  </si>
  <si>
    <r>
      <rPr>
        <b/>
        <sz val="12"/>
        <color theme="1"/>
        <rFont val="Calibri"/>
        <family val="2"/>
        <charset val="238"/>
        <scheme val="minor"/>
      </rPr>
      <t>AUBAGIO</t>
    </r>
    <r>
      <rPr>
        <sz val="12"/>
        <color theme="1"/>
        <rFont val="Calibri"/>
        <family val="2"/>
        <charset val="238"/>
        <scheme val="minor"/>
      </rPr>
      <t xml:space="preserve"> 14 mg</t>
    </r>
  </si>
  <si>
    <r>
      <rPr>
        <b/>
        <sz val="12"/>
        <color theme="1"/>
        <rFont val="Calibri"/>
        <family val="2"/>
        <charset val="238"/>
        <scheme val="minor"/>
      </rPr>
      <t xml:space="preserve">REBIF </t>
    </r>
    <r>
      <rPr>
        <sz val="12"/>
        <color theme="1"/>
        <rFont val="Calibri"/>
        <family val="2"/>
        <charset val="238"/>
        <scheme val="minor"/>
      </rPr>
      <t>22 mg</t>
    </r>
  </si>
  <si>
    <r>
      <rPr>
        <b/>
        <sz val="12"/>
        <color theme="1"/>
        <rFont val="Calibri"/>
        <family val="2"/>
        <charset val="238"/>
        <scheme val="minor"/>
      </rPr>
      <t xml:space="preserve">REBIF </t>
    </r>
    <r>
      <rPr>
        <sz val="12"/>
        <color theme="1"/>
        <rFont val="Calibri"/>
        <family val="2"/>
        <charset val="238"/>
        <scheme val="minor"/>
      </rPr>
      <t>44 mg</t>
    </r>
  </si>
  <si>
    <r>
      <t xml:space="preserve">PLEGRIDY </t>
    </r>
    <r>
      <rPr>
        <sz val="12"/>
        <color theme="1"/>
        <rFont val="Calibri"/>
        <family val="2"/>
        <charset val="238"/>
        <scheme val="minor"/>
      </rPr>
      <t>125 ug</t>
    </r>
  </si>
  <si>
    <r>
      <rPr>
        <b/>
        <sz val="12"/>
        <color theme="1"/>
        <rFont val="Calibri"/>
        <family val="2"/>
        <charset val="238"/>
        <scheme val="minor"/>
      </rPr>
      <t xml:space="preserve">COPAXONE </t>
    </r>
    <r>
      <rPr>
        <sz val="12"/>
        <color theme="1"/>
        <rFont val="Calibri"/>
        <family val="2"/>
        <charset val="238"/>
        <scheme val="minor"/>
      </rPr>
      <t>20 mg</t>
    </r>
  </si>
  <si>
    <r>
      <rPr>
        <b/>
        <sz val="12"/>
        <color theme="1"/>
        <rFont val="Calibri"/>
        <family val="2"/>
        <charset val="238"/>
        <scheme val="minor"/>
      </rPr>
      <t xml:space="preserve">COPAXONE </t>
    </r>
    <r>
      <rPr>
        <sz val="12"/>
        <color theme="1"/>
        <rFont val="Calibri"/>
        <family val="2"/>
        <charset val="238"/>
        <scheme val="minor"/>
      </rPr>
      <t>40 mg</t>
    </r>
  </si>
  <si>
    <r>
      <t xml:space="preserve">Dle:  Benešová Y. Alemtuzumab v léčbě roztroušené sklerózy. </t>
    </r>
    <r>
      <rPr>
        <i/>
        <sz val="11"/>
        <color theme="1"/>
        <rFont val="Calibri"/>
        <family val="2"/>
        <charset val="238"/>
        <scheme val="minor"/>
      </rPr>
      <t>Farmakoterapeutická revue.</t>
    </r>
    <r>
      <rPr>
        <sz val="11"/>
        <color theme="1"/>
        <rFont val="Calibri"/>
        <family val="2"/>
        <charset val="238"/>
        <scheme val="minor"/>
      </rPr>
      <t xml:space="preserve"> 2018, 5</t>
    </r>
  </si>
  <si>
    <r>
      <t xml:space="preserve">Dle: Nytrová P. a kol. Roztroušená skleróza - včasná diagnostika a možnosti léčby. </t>
    </r>
    <r>
      <rPr>
        <i/>
        <sz val="9"/>
        <color theme="1"/>
        <rFont val="Calibri"/>
        <family val="2"/>
        <charset val="238"/>
        <scheme val="minor"/>
      </rPr>
      <t>Farmakoterapeutická revue</t>
    </r>
    <r>
      <rPr>
        <sz val="9"/>
        <color theme="1"/>
        <rFont val="Calibri"/>
        <family val="2"/>
        <charset val="238"/>
        <scheme val="minor"/>
      </rPr>
      <t>. 2019, 1</t>
    </r>
  </si>
  <si>
    <t>Dle UpToDate z 22.5.2021</t>
  </si>
  <si>
    <t xml:space="preserve">        Dle: Olek MJ, Mowry E. Indications for switching or stopping disease-modifying therapy for multiple sclerosis. UpToDate. Topic 129095 Version 5.0</t>
  </si>
  <si>
    <t>dimethylfumarát (DMF)</t>
  </si>
  <si>
    <r>
      <rPr>
        <vertAlign val="superscript"/>
        <sz val="9"/>
        <color theme="1"/>
        <rFont val="Calibri"/>
        <family val="2"/>
        <charset val="238"/>
        <scheme val="minor"/>
      </rPr>
      <t>2</t>
    </r>
    <r>
      <rPr>
        <sz val="9"/>
        <color theme="1"/>
        <rFont val="Calibri"/>
        <family val="2"/>
        <charset val="238"/>
        <scheme val="minor"/>
      </rPr>
      <t xml:space="preserve"> Dle Table 5 v: ICER. Final Evidence Report: DMTs for RRMS and PPMS. 2017. Pro kladribin vs placebo a ofatumumab vs placebo bylo RR převzato ze zdroje 3 a 4 (hodnoty RR pro ARR v těchto zdrojích u ostatních látek byly od ICER zdroje odlišné max. +/- 15%) a následně přepočítáno vůči DMF. </t>
    </r>
  </si>
  <si>
    <r>
      <rPr>
        <vertAlign val="superscript"/>
        <sz val="9"/>
        <color theme="1"/>
        <rFont val="Calibri"/>
        <family val="2"/>
        <charset val="238"/>
        <scheme val="minor"/>
      </rPr>
      <t>5</t>
    </r>
    <r>
      <rPr>
        <sz val="9"/>
        <color theme="1"/>
        <rFont val="Calibri"/>
        <family val="2"/>
        <charset val="238"/>
        <scheme val="minor"/>
      </rPr>
      <t xml:space="preserve"> Dle Table 7 v: ICER. Final Evidence Report: DMTs for RRMS and PPMS. 2017. Pro kladribin vs placebo bylo RR zprůměrováno dle hodnot ze zdrojů 3 (zde pro parametr CDP3) a 6 (zde pro parametr CDP6), pro ofatumumab vs placebo byla použita hodnota RR ze zdroje 3 -hodnoty RR pro CDP u ostatních látek byly od ICER zdroje odlišné max. +/- 18%. Následně bylo RR u kladribinu a ofatumumabu přepočítáno vůči DMF dle zdroje ICER. </t>
    </r>
  </si>
  <si>
    <t>Průměr náklad.efekt. vůči DMF ze scénářů 2 - 4</t>
  </si>
  <si>
    <t>kladribin</t>
  </si>
  <si>
    <t>anti α4-integrin mAb</t>
  </si>
  <si>
    <t>anti-CD20 (marker B-lymf.) mAb</t>
  </si>
  <si>
    <t>anti-CD52 mAb</t>
  </si>
  <si>
    <t>inhibitor mitochond. DHO-DH (inhibuje biosynt.pyrimidinu)</t>
  </si>
  <si>
    <t>funkční antagonista (modulátor) S1P receptorů</t>
  </si>
  <si>
    <t xml:space="preserve"> selektivní imunosupresivum (purin. antimetabolit)</t>
  </si>
  <si>
    <t>imunomodulans (směs náhod. polymerů 4 aminokys.)</t>
  </si>
  <si>
    <t>interferony (cytokin s imunomodul.úč.)</t>
  </si>
  <si>
    <t>aktivátor Nrf2 cesty (přesný mech. úč. u MS není znám)</t>
  </si>
  <si>
    <r>
      <t>farmakolog. skupina - efekt (dle</t>
    </r>
    <r>
      <rPr>
        <vertAlign val="superscript"/>
        <sz val="8"/>
        <rFont val="Arial"/>
        <family val="2"/>
        <charset val="238"/>
      </rPr>
      <t>14</t>
    </r>
    <r>
      <rPr>
        <sz val="8"/>
        <rFont val="Arial"/>
        <family val="2"/>
        <charset val="238"/>
      </rPr>
      <t>)</t>
    </r>
  </si>
  <si>
    <t xml:space="preserve">        Dle: KLINICKÝ DOPORUČENÝ POSTUP PRO DIAGNOSTIKU A LÉČBU ROZTROUŠENÉ SKLERÓZY A NEUROMYELITIS OPTICA A ONEMOCNĚNÍ JEJÍHO ŠIRŠÍHO SPEKTRA, verze 2.0. ČNS ČLS JEP. Březen 2020</t>
  </si>
  <si>
    <r>
      <t xml:space="preserve">Poměr ceny k ceně DMF                                </t>
    </r>
    <r>
      <rPr>
        <b/>
        <sz val="9"/>
        <color theme="0"/>
        <rFont val="Calibri"/>
        <family val="2"/>
        <charset val="238"/>
        <scheme val="minor"/>
      </rPr>
      <t>(pro scénáře 1.- 4., 6. a 7. počítající 5 letý horizont)
sloupec α´</t>
    </r>
  </si>
  <si>
    <r>
      <t xml:space="preserve">Poměr ceny k ceně DMF
</t>
    </r>
    <r>
      <rPr>
        <b/>
        <sz val="9"/>
        <color theme="0"/>
        <rFont val="Calibri"/>
        <family val="2"/>
        <charset val="238"/>
        <scheme val="minor"/>
      </rPr>
      <t>(pro scénář 5. počítající 2 letý horizont)
sloupec β´</t>
    </r>
  </si>
  <si>
    <r>
      <rPr>
        <b/>
        <sz val="12"/>
        <color theme="1"/>
        <rFont val="Calibri"/>
        <family val="2"/>
        <charset val="238"/>
        <scheme val="minor"/>
      </rPr>
      <t>BETAFERON</t>
    </r>
    <r>
      <rPr>
        <sz val="12"/>
        <color theme="1"/>
        <rFont val="Calibri"/>
        <family val="2"/>
        <charset val="238"/>
        <scheme val="minor"/>
      </rPr>
      <t xml:space="preserve"> 250MCG/ML INJ PSO LQF 15+15X1,2ML </t>
    </r>
  </si>
  <si>
    <t>u CIS a v 1. LINII RRSM – v 1.linii jen u pac nepřesahující EDSS skóre 4,5</t>
  </si>
  <si>
    <t xml:space="preserve">u 2. LINIE MÁ TROCHU JINÉ PODMÍNKY NEŽ OSTATNÍ DMD, V 1. LINII JEN U RYCHLE PROGREDUJÍCÍ ZÁVAŽNÉ FORMY – ALE NEMÁ LIMIT HODNOTY EDSS (stejně jako Lemtrada) PRO ÚHRADU JAKO OSTATNÍ DMD </t>
  </si>
  <si>
    <t>síla účinku u RRRS</t>
  </si>
  <si>
    <t xml:space="preserve">v 1. LINII (v 1.linii je u aktivní formy ale také navíc podmínka významného nálezu na MRI, která není u ostatních DMD) i 2. LINII RRSM – jen u pac. nepřesahující EDSS skóre 5,5 </t>
  </si>
  <si>
    <r>
      <rPr>
        <b/>
        <sz val="12"/>
        <color theme="1"/>
        <rFont val="Calibri"/>
        <family val="2"/>
        <charset val="238"/>
        <scheme val="minor"/>
      </rPr>
      <t xml:space="preserve">PONVORY </t>
    </r>
    <r>
      <rPr>
        <sz val="12"/>
        <color theme="1"/>
        <rFont val="Calibri"/>
        <family val="2"/>
        <charset val="238"/>
        <scheme val="minor"/>
      </rPr>
      <t>20MG TBL FLM 28</t>
    </r>
  </si>
  <si>
    <t>Janssen-Cilag</t>
  </si>
  <si>
    <t>ponesimod</t>
  </si>
  <si>
    <t>20 mg jedenkrát denně po 14denní titraci!</t>
  </si>
  <si>
    <t>11 Stanovisko ČNS k EID u Tysabri ke Správnímu řízení č. SUKLS30591/2019 z 18.2.2021</t>
  </si>
  <si>
    <r>
      <t xml:space="preserve">12 Foley JF, et al. Comparison of switching to 6-week dosing of natalizumab versus continuing with 4-week dosing in patients 
with relapsing-remitting multiple sclerosis (NOVA): a randomised, controlled, open-label, phase 3b trial. </t>
    </r>
    <r>
      <rPr>
        <i/>
        <sz val="9"/>
        <color theme="1"/>
        <rFont val="Calibri"/>
        <family val="2"/>
        <charset val="238"/>
        <scheme val="minor"/>
      </rPr>
      <t>Lancet Neuro</t>
    </r>
    <r>
      <rPr>
        <sz val="9"/>
        <color theme="1"/>
        <rFont val="Calibri"/>
        <family val="2"/>
        <charset val="238"/>
        <scheme val="minor"/>
      </rPr>
      <t>l 2022; 21: 608–19</t>
    </r>
  </si>
  <si>
    <t>natalizumab s.c.</t>
  </si>
  <si>
    <t>natalizumab i.v. EID</t>
  </si>
  <si>
    <t xml:space="preserve">i.v. </t>
  </si>
  <si>
    <r>
      <t xml:space="preserve">300 mg každé 4 týdny </t>
    </r>
    <r>
      <rPr>
        <u/>
        <sz val="10"/>
        <color rgb="FF000000"/>
        <rFont val="Calibri"/>
        <family val="2"/>
        <charset val="238"/>
        <scheme val="minor"/>
      </rPr>
      <t>s.c. podané ale zdrav. pracovníkem!!</t>
    </r>
  </si>
  <si>
    <t>20 mg s.c. v týdnech 0, 1 a 2, pak od 4. týdne každý měsíc</t>
  </si>
  <si>
    <t>týden iniciace 120 mg 2x denně, dále 240 mg 2x denně</t>
  </si>
  <si>
    <t>diroximel-fumarát</t>
  </si>
  <si>
    <t>L04AX07</t>
  </si>
  <si>
    <t>L04AX09</t>
  </si>
  <si>
    <t>týden iniciace 231 mg 2x denně, dále 462 mg 2x denně</t>
  </si>
  <si>
    <t>L04AA50</t>
  </si>
  <si>
    <t>L04AA42</t>
  </si>
  <si>
    <t>siponimod</t>
  </si>
  <si>
    <r>
      <rPr>
        <b/>
        <sz val="12"/>
        <color theme="1"/>
        <rFont val="Calibri"/>
        <family val="2"/>
        <charset val="238"/>
        <scheme val="minor"/>
      </rPr>
      <t>TECFIDERA</t>
    </r>
    <r>
      <rPr>
        <sz val="12"/>
        <color theme="1"/>
        <rFont val="Calibri"/>
        <family val="2"/>
        <charset val="238"/>
        <scheme val="minor"/>
      </rPr>
      <t xml:space="preserve"> 240MG CPS ETD 56</t>
    </r>
  </si>
  <si>
    <r>
      <rPr>
        <b/>
        <sz val="12"/>
        <color theme="1"/>
        <rFont val="Calibri"/>
        <family val="2"/>
        <charset val="238"/>
        <scheme val="minor"/>
      </rPr>
      <t>VUMERITY</t>
    </r>
    <r>
      <rPr>
        <sz val="12"/>
        <color theme="1"/>
        <rFont val="Calibri"/>
        <family val="2"/>
        <charset val="238"/>
        <scheme val="minor"/>
      </rPr>
      <t xml:space="preserve"> 231MG CPS ETD 120</t>
    </r>
  </si>
  <si>
    <r>
      <rPr>
        <b/>
        <sz val="12"/>
        <color theme="1"/>
        <rFont val="Calibri"/>
        <family val="2"/>
        <charset val="238"/>
        <scheme val="minor"/>
      </rPr>
      <t xml:space="preserve">ZEPOSIA </t>
    </r>
    <r>
      <rPr>
        <sz val="12"/>
        <color theme="1"/>
        <rFont val="Calibri"/>
        <family val="2"/>
        <charset val="238"/>
        <scheme val="minor"/>
      </rPr>
      <t>0,92MG CPS DUR 28</t>
    </r>
  </si>
  <si>
    <r>
      <rPr>
        <b/>
        <sz val="12"/>
        <color theme="1"/>
        <rFont val="Calibri"/>
        <family val="2"/>
        <charset val="238"/>
        <scheme val="minor"/>
      </rPr>
      <t>GILENYA</t>
    </r>
    <r>
      <rPr>
        <sz val="12"/>
        <color theme="1"/>
        <rFont val="Calibri"/>
        <family val="2"/>
        <charset val="238"/>
        <scheme val="minor"/>
      </rPr>
      <t xml:space="preserve"> 0,5MG CPS DUR 28</t>
    </r>
  </si>
  <si>
    <r>
      <rPr>
        <b/>
        <sz val="12"/>
        <color theme="1"/>
        <rFont val="Calibri"/>
        <family val="2"/>
        <charset val="238"/>
        <scheme val="minor"/>
      </rPr>
      <t>MAYZENT</t>
    </r>
    <r>
      <rPr>
        <sz val="12"/>
        <color theme="1"/>
        <rFont val="Calibri"/>
        <family val="2"/>
        <charset val="238"/>
        <scheme val="minor"/>
      </rPr>
      <t xml:space="preserve"> 2MG TBL FLM 28</t>
    </r>
  </si>
  <si>
    <r>
      <rPr>
        <b/>
        <sz val="12"/>
        <color theme="1"/>
        <rFont val="Calibri"/>
        <family val="2"/>
        <charset val="238"/>
        <scheme val="minor"/>
      </rPr>
      <t>TYSABRI</t>
    </r>
    <r>
      <rPr>
        <sz val="12"/>
        <color theme="1"/>
        <rFont val="Calibri"/>
        <family val="2"/>
        <charset val="238"/>
        <scheme val="minor"/>
      </rPr>
      <t xml:space="preserve"> 150MG INJ SOL 2x 1ml</t>
    </r>
  </si>
  <si>
    <r>
      <rPr>
        <b/>
        <sz val="12"/>
        <color theme="1"/>
        <rFont val="Calibri"/>
        <family val="2"/>
        <charset val="238"/>
        <scheme val="minor"/>
      </rPr>
      <t>TYSABRI</t>
    </r>
    <r>
      <rPr>
        <sz val="12"/>
        <color theme="1"/>
        <rFont val="Calibri"/>
        <family val="2"/>
        <charset val="238"/>
        <scheme val="minor"/>
      </rPr>
      <t xml:space="preserve"> 300MG INF CNC 1</t>
    </r>
  </si>
  <si>
    <r>
      <rPr>
        <b/>
        <sz val="12"/>
        <color theme="1"/>
        <rFont val="Calibri"/>
        <family val="2"/>
        <charset val="238"/>
        <scheme val="minor"/>
      </rPr>
      <t>OCREVUS</t>
    </r>
    <r>
      <rPr>
        <sz val="12"/>
        <color theme="1"/>
        <rFont val="Calibri"/>
        <family val="2"/>
        <charset val="238"/>
        <scheme val="minor"/>
      </rPr>
      <t xml:space="preserve"> 300MG INF CNC SOL 1X10ML</t>
    </r>
  </si>
  <si>
    <r>
      <rPr>
        <b/>
        <sz val="12"/>
        <color theme="1"/>
        <rFont val="Calibri"/>
        <family val="2"/>
        <charset val="238"/>
        <scheme val="minor"/>
      </rPr>
      <t>LEMTRADA</t>
    </r>
    <r>
      <rPr>
        <sz val="12"/>
        <color theme="1"/>
        <rFont val="Calibri"/>
        <family val="2"/>
        <charset val="238"/>
        <scheme val="minor"/>
      </rPr>
      <t xml:space="preserve"> 12MG INF CNC SOL 1X1,2ML</t>
    </r>
  </si>
  <si>
    <t>0,92 mg jedenkrát denně po 7denní titraci!</t>
  </si>
  <si>
    <t>v 1. linii u SPRS u pac. vstupně s EDSS skóre 4-6,5 !</t>
  </si>
  <si>
    <t>Merck spol.            s .r.o.</t>
  </si>
  <si>
    <r>
      <t xml:space="preserve">RR
</t>
    </r>
    <r>
      <rPr>
        <b/>
        <i/>
        <sz val="11"/>
        <color theme="0"/>
        <rFont val="Arial"/>
        <family val="2"/>
        <charset val="238"/>
      </rPr>
      <t>terapie</t>
    </r>
    <r>
      <rPr>
        <b/>
        <sz val="11"/>
        <color theme="0"/>
        <rFont val="Arial"/>
        <family val="2"/>
        <charset val="238"/>
      </rPr>
      <t xml:space="preserve"> VS DMF
v paramateru ARR</t>
    </r>
    <r>
      <rPr>
        <b/>
        <vertAlign val="superscript"/>
        <sz val="11"/>
        <color theme="0"/>
        <rFont val="Arial"/>
        <family val="2"/>
        <charset val="238"/>
      </rPr>
      <t xml:space="preserve">13
</t>
    </r>
    <r>
      <rPr>
        <b/>
        <i/>
        <vertAlign val="superscript"/>
        <sz val="11"/>
        <color theme="0"/>
        <rFont val="Arial"/>
        <family val="2"/>
        <charset val="238"/>
      </rPr>
      <t xml:space="preserve">sloupec </t>
    </r>
    <r>
      <rPr>
        <b/>
        <i/>
        <vertAlign val="superscript"/>
        <sz val="11"/>
        <color theme="0"/>
        <rFont val="Calibri"/>
        <family val="2"/>
        <charset val="238"/>
      </rPr>
      <t>γ</t>
    </r>
  </si>
  <si>
    <r>
      <t>13 Chen Ch, et al. Comparative efficacy and safety of disease-modifying therapies in patients with relapsing multiple sclerosis: A systematic review and network meta-analysis. J</t>
    </r>
    <r>
      <rPr>
        <i/>
        <sz val="9"/>
        <color theme="1"/>
        <rFont val="Calibri"/>
        <family val="2"/>
        <charset val="238"/>
        <scheme val="minor"/>
      </rPr>
      <t xml:space="preserve">ournal of the American Pharmacists Association </t>
    </r>
    <r>
      <rPr>
        <sz val="9"/>
        <color theme="1"/>
        <rFont val="Calibri"/>
        <family val="2"/>
        <charset val="238"/>
        <scheme val="minor"/>
      </rPr>
      <t>xxx (2022) 1e15.</t>
    </r>
  </si>
  <si>
    <r>
      <t xml:space="preserve">RR
</t>
    </r>
    <r>
      <rPr>
        <b/>
        <i/>
        <sz val="11"/>
        <color theme="0"/>
        <rFont val="Arial"/>
        <family val="2"/>
        <charset val="238"/>
      </rPr>
      <t>terapie</t>
    </r>
    <r>
      <rPr>
        <b/>
        <sz val="11"/>
        <color theme="0"/>
        <rFont val="Arial"/>
        <family val="2"/>
        <charset val="238"/>
      </rPr>
      <t xml:space="preserve"> VS DMF
v paramateru ARR</t>
    </r>
    <r>
      <rPr>
        <b/>
        <vertAlign val="superscript"/>
        <sz val="11"/>
        <color theme="0"/>
        <rFont val="Arial"/>
        <family val="2"/>
        <charset val="238"/>
      </rPr>
      <t xml:space="preserve">13
waning efekt 5 let
</t>
    </r>
    <r>
      <rPr>
        <b/>
        <i/>
        <vertAlign val="superscript"/>
        <sz val="11"/>
        <color theme="0"/>
        <rFont val="Arial"/>
        <family val="2"/>
        <charset val="238"/>
      </rPr>
      <t>sloupec γ´</t>
    </r>
  </si>
  <si>
    <r>
      <t xml:space="preserve">14 Giovannoni G, et al. A Placebo-Controlled Trial of Oral Cladribine for Relapsing Multiple Sclerosis.  </t>
    </r>
    <r>
      <rPr>
        <i/>
        <sz val="9"/>
        <color theme="1"/>
        <rFont val="Calibri"/>
        <family val="2"/>
        <charset val="238"/>
        <scheme val="minor"/>
      </rPr>
      <t>N Engl J Med</t>
    </r>
    <r>
      <rPr>
        <sz val="9"/>
        <color theme="1"/>
        <rFont val="Calibri"/>
        <family val="2"/>
        <charset val="238"/>
        <scheme val="minor"/>
      </rPr>
      <t xml:space="preserve"> 2010;362:416-426</t>
    </r>
  </si>
  <si>
    <r>
      <t>i.v. EID (off-label)</t>
    </r>
    <r>
      <rPr>
        <vertAlign val="superscript"/>
        <sz val="10"/>
        <color rgb="FF000000"/>
        <rFont val="Calibri"/>
        <family val="2"/>
        <charset val="238"/>
        <scheme val="minor"/>
      </rPr>
      <t>11,12</t>
    </r>
    <r>
      <rPr>
        <sz val="10"/>
        <color rgb="FF000000"/>
        <rFont val="Calibri"/>
        <family val="2"/>
        <charset val="238"/>
        <scheme val="minor"/>
      </rPr>
      <t>: 1. rok  300mg každé 4 týdny, pak 300mg kazdých 6 týdnů (</t>
    </r>
    <r>
      <rPr>
        <u/>
        <sz val="10"/>
        <color rgb="FF000000"/>
        <rFont val="Calibri"/>
        <family val="2"/>
        <charset val="238"/>
        <scheme val="minor"/>
      </rPr>
      <t>aplikace cca 1 hod</t>
    </r>
    <r>
      <rPr>
        <sz val="10"/>
        <color rgb="FF000000"/>
        <rFont val="Calibri"/>
        <family val="2"/>
        <charset val="238"/>
        <scheme val="minor"/>
      </rPr>
      <t>)</t>
    </r>
  </si>
  <si>
    <t xml:space="preserve">15 U všech i.v. infuzí počítáno s následujícím (dle zdroje uvedeném pod pozn. 16, počítáno s hodnotou cca 1Kč za bod): kód 9223 -  i.v.infuze (148 Kč/infuzi), kód 6115 - dohled nad infuzí 30 min (170Kč max. 3x za 1 infuzi). </t>
  </si>
  <si>
    <t xml:space="preserve">     Lemtrada navíc cena za herpes profylaxi: 30dní + počet dní aplikace (tj. 5 či 3 dny) 2x200mg/den (cena za Herpesin tbl 25x200mg k 24.10.22 je 172,69 Kč (NCSD)). U s.c. podání aplikované zdravotníkem (dle zdroje uvedeném pod pozn. 16, počítáno s hodnotou cca 1Kč za bod): 36Kč /injekci</t>
  </si>
  <si>
    <t>16 Číselník Seznamu zdravotních výkonů s bodovými hodnotami č. 1389 - platnost od 26.9.2022. Staženo z www.vzp.cz</t>
  </si>
  <si>
    <r>
      <t xml:space="preserve">17 Wray S, et al. Infection risk with alemtuzumab decreases over time: pooled analysis of 6-year data from the CAMMS223, CARE-MS I, and CARE-MS II studies and the CAMMS03409 extension study. </t>
    </r>
    <r>
      <rPr>
        <i/>
        <sz val="9"/>
        <color theme="1"/>
        <rFont val="Calibri"/>
        <family val="2"/>
        <charset val="238"/>
        <scheme val="minor"/>
      </rPr>
      <t>Multiple Sclerosis Journal</t>
    </r>
    <r>
      <rPr>
        <sz val="9"/>
        <color theme="1"/>
        <rFont val="Calibri"/>
        <family val="2"/>
        <charset val="238"/>
        <scheme val="minor"/>
      </rPr>
      <t>. 2019, Vol. 25(12) 1605–1617</t>
    </r>
  </si>
  <si>
    <r>
      <t xml:space="preserve">RR
</t>
    </r>
    <r>
      <rPr>
        <b/>
        <i/>
        <sz val="11"/>
        <color theme="0"/>
        <rFont val="Arial"/>
        <family val="2"/>
        <charset val="238"/>
      </rPr>
      <t>terapie</t>
    </r>
    <r>
      <rPr>
        <b/>
        <sz val="11"/>
        <color theme="0"/>
        <rFont val="Arial"/>
        <family val="2"/>
        <charset val="238"/>
      </rPr>
      <t xml:space="preserve"> VS DMF
v paramateru CDP-3</t>
    </r>
    <r>
      <rPr>
        <b/>
        <vertAlign val="superscript"/>
        <sz val="11"/>
        <color theme="0"/>
        <rFont val="Arial"/>
        <family val="2"/>
        <charset val="238"/>
      </rPr>
      <t xml:space="preserve">13,18
</t>
    </r>
    <r>
      <rPr>
        <b/>
        <i/>
        <vertAlign val="superscript"/>
        <sz val="11"/>
        <color theme="0"/>
        <rFont val="Arial"/>
        <family val="2"/>
        <charset val="238"/>
      </rPr>
      <t xml:space="preserve">sloupec </t>
    </r>
    <r>
      <rPr>
        <b/>
        <i/>
        <vertAlign val="superscript"/>
        <sz val="11"/>
        <color theme="0"/>
        <rFont val="Calibri"/>
        <family val="2"/>
        <charset val="238"/>
      </rPr>
      <t>δ</t>
    </r>
  </si>
  <si>
    <r>
      <t xml:space="preserve">RR
</t>
    </r>
    <r>
      <rPr>
        <b/>
        <i/>
        <sz val="11"/>
        <color theme="0"/>
        <rFont val="Arial"/>
        <family val="2"/>
        <charset val="238"/>
      </rPr>
      <t>terapie</t>
    </r>
    <r>
      <rPr>
        <b/>
        <sz val="11"/>
        <color theme="0"/>
        <rFont val="Arial"/>
        <family val="2"/>
        <charset val="238"/>
      </rPr>
      <t xml:space="preserve"> VS DMF
v paramateru CDP-3</t>
    </r>
    <r>
      <rPr>
        <b/>
        <vertAlign val="superscript"/>
        <sz val="11"/>
        <color theme="0"/>
        <rFont val="Arial"/>
        <family val="2"/>
        <charset val="238"/>
      </rPr>
      <t xml:space="preserve">13,18
waning efekt 5 let
</t>
    </r>
    <r>
      <rPr>
        <b/>
        <i/>
        <vertAlign val="superscript"/>
        <sz val="11"/>
        <color theme="0"/>
        <rFont val="Arial"/>
        <family val="2"/>
        <charset val="238"/>
      </rPr>
      <t>sloupec δ´</t>
    </r>
  </si>
  <si>
    <r>
      <t xml:space="preserve">18 Pro alemtuzumab a GA 40mg byly vzaty hodnoty CDP (ve zdroji pod pozn. 13 totiž nebyly) dle Table 7 v: ICER. Final Evidence Report: DMTs for RRMS and PPMS. 2017. </t>
    </r>
    <r>
      <rPr>
        <u/>
        <sz val="9"/>
        <color theme="1"/>
        <rFont val="Calibri"/>
        <family val="2"/>
        <charset val="238"/>
        <scheme val="minor"/>
      </rPr>
      <t>Hodnoty RR pro CDP vůči placebu byly u DMF téměř totožné v obou zdrojích !!!</t>
    </r>
  </si>
  <si>
    <r>
      <t xml:space="preserve">RR
</t>
    </r>
    <r>
      <rPr>
        <b/>
        <i/>
        <sz val="10"/>
        <color theme="0"/>
        <rFont val="Arial"/>
        <family val="2"/>
        <charset val="238"/>
      </rPr>
      <t>terapie</t>
    </r>
    <r>
      <rPr>
        <b/>
        <sz val="10"/>
        <color theme="0"/>
        <rFont val="Arial"/>
        <family val="2"/>
        <charset val="238"/>
      </rPr>
      <t xml:space="preserve"> vs DMF
v paramateru "Přerušení léčby               pro NÚ</t>
    </r>
    <r>
      <rPr>
        <b/>
        <vertAlign val="superscript"/>
        <sz val="10"/>
        <color theme="0"/>
        <rFont val="Arial"/>
        <family val="2"/>
        <charset val="238"/>
      </rPr>
      <t>13</t>
    </r>
    <r>
      <rPr>
        <b/>
        <sz val="10"/>
        <color theme="0"/>
        <rFont val="Arial"/>
        <family val="2"/>
        <charset val="238"/>
      </rPr>
      <t xml:space="preserve">"                                                             </t>
    </r>
    <r>
      <rPr>
        <b/>
        <sz val="9"/>
        <color theme="0"/>
        <rFont val="Arial"/>
        <family val="2"/>
        <charset val="238"/>
      </rPr>
      <t xml:space="preserve">(pro scénáře 1.-3. a 5.)
</t>
    </r>
    <r>
      <rPr>
        <b/>
        <i/>
        <sz val="9"/>
        <color theme="0"/>
        <rFont val="Arial"/>
        <family val="2"/>
        <charset val="238"/>
      </rPr>
      <t xml:space="preserve">sloupec </t>
    </r>
    <r>
      <rPr>
        <b/>
        <i/>
        <sz val="9"/>
        <color theme="0"/>
        <rFont val="Calibri"/>
        <family val="2"/>
        <charset val="238"/>
      </rPr>
      <t>ε</t>
    </r>
  </si>
  <si>
    <r>
      <rPr>
        <b/>
        <sz val="12"/>
        <color theme="1"/>
        <rFont val="Calibri"/>
        <family val="2"/>
        <charset val="238"/>
        <scheme val="minor"/>
      </rPr>
      <t>VUMERITY</t>
    </r>
    <r>
      <rPr>
        <sz val="12"/>
        <color theme="1"/>
        <rFont val="Calibri"/>
        <family val="2"/>
        <charset val="238"/>
        <scheme val="minor"/>
      </rPr>
      <t xml:space="preserve"> 231 mg</t>
    </r>
  </si>
  <si>
    <t>diroximel fumarát</t>
  </si>
  <si>
    <r>
      <rPr>
        <b/>
        <sz val="12"/>
        <color theme="1"/>
        <rFont val="Calibri"/>
        <family val="2"/>
        <charset val="238"/>
        <scheme val="minor"/>
      </rPr>
      <t xml:space="preserve">ZEPOSIA </t>
    </r>
    <r>
      <rPr>
        <sz val="12"/>
        <color theme="1"/>
        <rFont val="Calibri"/>
        <family val="2"/>
        <charset val="238"/>
        <scheme val="minor"/>
      </rPr>
      <t>0,92 mg</t>
    </r>
  </si>
  <si>
    <r>
      <rPr>
        <b/>
        <sz val="12"/>
        <color theme="1"/>
        <rFont val="Calibri"/>
        <family val="2"/>
        <charset val="238"/>
        <scheme val="minor"/>
      </rPr>
      <t xml:space="preserve">PONVORY </t>
    </r>
    <r>
      <rPr>
        <sz val="12"/>
        <color theme="1"/>
        <rFont val="Calibri"/>
        <family val="2"/>
        <charset val="238"/>
        <scheme val="minor"/>
      </rPr>
      <t>20 mg</t>
    </r>
  </si>
  <si>
    <r>
      <rPr>
        <b/>
        <sz val="12"/>
        <color theme="1"/>
        <rFont val="Calibri"/>
        <family val="2"/>
        <charset val="238"/>
        <scheme val="minor"/>
      </rPr>
      <t>TYSABRI</t>
    </r>
    <r>
      <rPr>
        <sz val="12"/>
        <color theme="1"/>
        <rFont val="Calibri"/>
        <family val="2"/>
        <charset val="238"/>
        <scheme val="minor"/>
      </rPr>
      <t xml:space="preserve"> 150 mg inj</t>
    </r>
  </si>
  <si>
    <r>
      <rPr>
        <b/>
        <sz val="12"/>
        <color theme="1"/>
        <rFont val="Calibri"/>
        <family val="2"/>
        <charset val="238"/>
        <scheme val="minor"/>
      </rPr>
      <t>TECFIDERA</t>
    </r>
    <r>
      <rPr>
        <sz val="12"/>
        <color theme="1"/>
        <rFont val="Calibri"/>
        <family val="2"/>
        <charset val="238"/>
        <scheme val="minor"/>
      </rPr>
      <t xml:space="preserve"> 240 mg</t>
    </r>
  </si>
  <si>
    <r>
      <rPr>
        <b/>
        <sz val="12"/>
        <color theme="1"/>
        <rFont val="Calibri"/>
        <family val="2"/>
        <charset val="238"/>
        <scheme val="minor"/>
      </rPr>
      <t>GILENYA</t>
    </r>
    <r>
      <rPr>
        <sz val="12"/>
        <color theme="1"/>
        <rFont val="Calibri"/>
        <family val="2"/>
        <charset val="238"/>
        <scheme val="minor"/>
      </rPr>
      <t xml:space="preserve"> 0,5 mg</t>
    </r>
  </si>
  <si>
    <r>
      <rPr>
        <b/>
        <sz val="12"/>
        <color theme="1"/>
        <rFont val="Calibri"/>
        <family val="2"/>
        <charset val="238"/>
        <scheme val="minor"/>
      </rPr>
      <t>TYSABRI</t>
    </r>
    <r>
      <rPr>
        <sz val="12"/>
        <color theme="1"/>
        <rFont val="Calibri"/>
        <family val="2"/>
        <charset val="238"/>
        <scheme val="minor"/>
      </rPr>
      <t xml:space="preserve"> 300 mg inf</t>
    </r>
  </si>
  <si>
    <r>
      <rPr>
        <b/>
        <sz val="12"/>
        <color theme="1"/>
        <rFont val="Calibri"/>
        <family val="2"/>
        <charset val="238"/>
        <scheme val="minor"/>
      </rPr>
      <t>OCREVUS</t>
    </r>
    <r>
      <rPr>
        <sz val="12"/>
        <color theme="1"/>
        <rFont val="Calibri"/>
        <family val="2"/>
        <charset val="238"/>
        <scheme val="minor"/>
      </rPr>
      <t xml:space="preserve"> 300 mg</t>
    </r>
  </si>
  <si>
    <r>
      <rPr>
        <b/>
        <sz val="12"/>
        <color theme="1"/>
        <rFont val="Calibri"/>
        <family val="2"/>
        <charset val="238"/>
        <scheme val="minor"/>
      </rPr>
      <t>LEMTRADA</t>
    </r>
    <r>
      <rPr>
        <sz val="12"/>
        <color theme="1"/>
        <rFont val="Calibri"/>
        <family val="2"/>
        <charset val="238"/>
        <scheme val="minor"/>
      </rPr>
      <t xml:space="preserve"> 12 mg</t>
    </r>
  </si>
  <si>
    <r>
      <rPr>
        <b/>
        <sz val="12"/>
        <color theme="1"/>
        <rFont val="Calibri"/>
        <family val="2"/>
        <charset val="238"/>
        <scheme val="minor"/>
      </rPr>
      <t>KESIMPTA</t>
    </r>
    <r>
      <rPr>
        <sz val="12"/>
        <color theme="1"/>
        <rFont val="Calibri"/>
        <family val="2"/>
        <charset val="238"/>
        <scheme val="minor"/>
      </rPr>
      <t xml:space="preserve"> 20 mg</t>
    </r>
  </si>
  <si>
    <r>
      <rPr>
        <b/>
        <sz val="12"/>
        <color theme="1"/>
        <rFont val="Calibri"/>
        <family val="2"/>
        <charset val="238"/>
        <scheme val="minor"/>
      </rPr>
      <t>MAYZENT</t>
    </r>
    <r>
      <rPr>
        <sz val="12"/>
        <color theme="1"/>
        <rFont val="Calibri"/>
        <family val="2"/>
        <charset val="238"/>
        <scheme val="minor"/>
      </rPr>
      <t xml:space="preserve"> 2 mg</t>
    </r>
  </si>
  <si>
    <t>SCÉNÁŘ 5                        (2letý hor.)</t>
  </si>
  <si>
    <t>COST-EFFECT                 (jen ARR)</t>
  </si>
  <si>
    <t xml:space="preserve"> SCÉNÁŘ 4                      (waning pro eff. i NÚ)</t>
  </si>
  <si>
    <t>SCÉNÁŘ 2                        (u ALE a CLA riz. 5 let)</t>
  </si>
  <si>
    <r>
      <t>30 µ</t>
    </r>
    <r>
      <rPr>
        <sz val="9"/>
        <color theme="1"/>
        <rFont val="Calibri"/>
        <family val="2"/>
        <charset val="238"/>
        <scheme val="minor"/>
      </rPr>
      <t>g jedenkrát týdně</t>
    </r>
  </si>
  <si>
    <r>
      <t>250 µ</t>
    </r>
    <r>
      <rPr>
        <sz val="9"/>
        <color theme="1"/>
        <rFont val="Calibri"/>
        <family val="2"/>
        <charset val="238"/>
        <scheme val="minor"/>
      </rPr>
      <t>g obden</t>
    </r>
  </si>
  <si>
    <r>
      <t>250 µ</t>
    </r>
    <r>
      <rPr>
        <sz val="9"/>
        <color theme="0" tint="-0.499984740745262"/>
        <rFont val="Calibri"/>
        <family val="2"/>
        <charset val="238"/>
        <scheme val="minor"/>
      </rPr>
      <t>g obden</t>
    </r>
  </si>
  <si>
    <t>2 mg 1x denně po 5denní titraci, kromě pac. s genotypy CYP2C9*2*3 či *1*3, kteří mají udrž. 1x1mg!</t>
  </si>
  <si>
    <r>
      <rPr>
        <b/>
        <sz val="11"/>
        <rFont val="Arial"/>
        <family val="2"/>
        <charset val="238"/>
      </rPr>
      <t>RR</t>
    </r>
    <r>
      <rPr>
        <b/>
        <sz val="10"/>
        <rFont val="Arial"/>
        <family val="2"/>
        <charset val="238"/>
      </rPr>
      <t xml:space="preserve">
</t>
    </r>
    <r>
      <rPr>
        <b/>
        <i/>
        <sz val="10"/>
        <rFont val="Arial"/>
        <family val="2"/>
        <charset val="238"/>
      </rPr>
      <t>terapie</t>
    </r>
    <r>
      <rPr>
        <b/>
        <sz val="10"/>
        <rFont val="Arial"/>
        <family val="2"/>
        <charset val="238"/>
      </rPr>
      <t xml:space="preserve"> vs DMF
v celkovém QALY (DMD naiv. pac.)
 </t>
    </r>
    <r>
      <rPr>
        <b/>
        <sz val="9"/>
        <rFont val="Arial"/>
        <family val="2"/>
        <charset val="238"/>
      </rPr>
      <t xml:space="preserve">(pro scénář 6.)
</t>
    </r>
    <r>
      <rPr>
        <b/>
        <i/>
        <sz val="9"/>
        <rFont val="Arial"/>
        <family val="2"/>
        <charset val="238"/>
      </rPr>
      <t xml:space="preserve">sloupec </t>
    </r>
    <r>
      <rPr>
        <b/>
        <i/>
        <sz val="9"/>
        <rFont val="Calibri"/>
        <family val="2"/>
        <charset val="238"/>
      </rPr>
      <t>ζ</t>
    </r>
  </si>
  <si>
    <t xml:space="preserve">1. dávka 63 µg (den 0), 2. dávka 94 µg (den 14) a 3. dávka 125 µg (den 28), pak nadále 125 µg každých 14 dní </t>
  </si>
  <si>
    <t>40 mg 3x týdně s odstupem min. 48 hod</t>
  </si>
  <si>
    <r>
      <rPr>
        <b/>
        <sz val="12"/>
        <color theme="1"/>
        <rFont val="Calibri"/>
        <family val="2"/>
        <charset val="238"/>
        <scheme val="minor"/>
      </rPr>
      <t xml:space="preserve">COPAXONE </t>
    </r>
    <r>
      <rPr>
        <sz val="12"/>
        <color theme="1"/>
        <rFont val="Calibri"/>
        <family val="2"/>
        <charset val="238"/>
        <scheme val="minor"/>
      </rPr>
      <t>40MG/ML INJ SOL ISP 36X1ML</t>
    </r>
  </si>
  <si>
    <t>STŘEDNĚ SILNÝ (ESKALACE)</t>
  </si>
  <si>
    <t xml:space="preserve">V 2. LINII, V 1. LINII JEN U RYCHLE PROGREDUJÍCÍ ZÁVAŽNÉ FORMY !!!  – jen u pac. nepřesahující EDSS skóre 5,5                       </t>
  </si>
  <si>
    <t xml:space="preserve">22 µg třikrát týdně </t>
  </si>
  <si>
    <r>
      <t>44 µ</t>
    </r>
    <r>
      <rPr>
        <sz val="9"/>
        <color theme="1"/>
        <rFont val="Calibri"/>
        <family val="2"/>
        <charset val="238"/>
        <scheme val="minor"/>
      </rPr>
      <t xml:space="preserve">g třikrát týdně
</t>
    </r>
  </si>
  <si>
    <r>
      <rPr>
        <b/>
        <sz val="12"/>
        <color theme="1"/>
        <rFont val="Calibri"/>
        <family val="2"/>
        <charset val="238"/>
        <scheme val="minor"/>
      </rPr>
      <t xml:space="preserve">KESIMPTA </t>
    </r>
    <r>
      <rPr>
        <sz val="12"/>
        <color theme="1"/>
        <rFont val="Calibri"/>
        <family val="2"/>
        <charset val="238"/>
        <scheme val="minor"/>
      </rPr>
      <t>20MG INJ SOL PEP 1X0,4ML</t>
    </r>
  </si>
  <si>
    <t>cena za jednotku (NCSD) s event. bonusem k 8.9.2023</t>
  </si>
  <si>
    <t>1  Databáze léčiv na www.sukl.cz k 8.9.2023</t>
  </si>
  <si>
    <r>
      <t>úhradové podmínky v ČR k datu 8. 9. 2023 - zjednodušené formulace dle</t>
    </r>
    <r>
      <rPr>
        <b/>
        <vertAlign val="superscript"/>
        <sz val="12"/>
        <rFont val="Arial"/>
        <family val="2"/>
        <charset val="238"/>
      </rPr>
      <t>1</t>
    </r>
  </si>
  <si>
    <t xml:space="preserve">v 1. (v 1.linii také i u rychle progred. závažné formy, jinak má „měkčí“ kritéria pro defin. vysoké aktivity než GA, IFN a teriflun.) ) i 2. LINII RRSM – jen u pac. nepřesahující EDSS skóre 5,0 </t>
  </si>
  <si>
    <t>JEN V 1. LINII (má ale „měkčí“ kritéria pro definici vysoké aktivity než než GA, IFN a teriflun.) RRSM !! – jen u pac. nepřesahující EDSS skóre 5,0)</t>
  </si>
  <si>
    <t>u 2. LINIE  má navíc možnost i jen pro MR podmínky progrese (jako MAVENCLAD), v 1. LINII JEN U RYCHLE PROGREDUJÍCÍ ZÁVAŽNÉ FORMY – ALE NEMÁ LIMIT HODNOTY EDSS (stejně jako Tysabri) PRO ÚHRADU JAKO OSTATNÍ DMD !</t>
  </si>
  <si>
    <t xml:space="preserve">v 1. LINII (v 1.linii je u aktivní formy ale také navíc podmínka významného nálezu na MRI, která není u ostatních DMD) i 2. LINII RRSM (má navíc možnost i jen pro MR podmínky progrese jako LEMTRADA)– jen u pac. nepřesahující EDSS skóre 5,5 </t>
  </si>
  <si>
    <r>
      <t xml:space="preserve">1. cyklus: 12 mg/den po dobu 5 dní (60 mg), po 12 měsících: 2. cyklus: 12 mg/den po dobu 3 dní (36 mg), lze zvážit až další 2 cyk. </t>
    </r>
    <r>
      <rPr>
        <sz val="9"/>
        <color theme="1"/>
        <rFont val="Calibri"/>
        <family val="2"/>
        <charset val="238"/>
      </rPr>
      <t>ā</t>
    </r>
    <r>
      <rPr>
        <sz val="9"/>
        <color theme="1"/>
        <rFont val="Calibri"/>
        <family val="2"/>
        <charset val="238"/>
        <scheme val="minor"/>
      </rPr>
      <t xml:space="preserve"> 12 měs. po 3 dny (36 mg) (</t>
    </r>
    <r>
      <rPr>
        <u/>
        <sz val="9"/>
        <color theme="1"/>
        <rFont val="Calibri"/>
        <family val="2"/>
        <charset val="238"/>
        <scheme val="minor"/>
      </rPr>
      <t>aplik. cca 4 hod, nutná premedikace a také profylaxe (1 měs. po ukončení cyklu) herpetické infekce</t>
    </r>
    <r>
      <rPr>
        <u/>
        <vertAlign val="superscript"/>
        <sz val="9"/>
        <color theme="1"/>
        <rFont val="Calibri"/>
        <family val="2"/>
        <charset val="238"/>
        <scheme val="minor"/>
      </rPr>
      <t>17</t>
    </r>
    <r>
      <rPr>
        <sz val="9"/>
        <color theme="1"/>
        <rFont val="Calibri"/>
        <family val="2"/>
        <charset val="238"/>
        <scheme val="minor"/>
      </rPr>
      <t>)</t>
    </r>
  </si>
  <si>
    <t>Dávkovací schéma dle SPC k 11.9. 2023</t>
  </si>
  <si>
    <r>
      <rPr>
        <b/>
        <sz val="12"/>
        <color theme="1"/>
        <rFont val="Calibri"/>
        <family val="2"/>
        <charset val="238"/>
        <scheme val="minor"/>
      </rPr>
      <t>MAVENCLAD</t>
    </r>
    <r>
      <rPr>
        <sz val="12"/>
        <color theme="1"/>
        <rFont val="Calibri"/>
        <family val="2"/>
        <charset val="238"/>
        <scheme val="minor"/>
      </rPr>
      <t xml:space="preserve"> 10MG TBL NOB 1
pacient s hmt. 40-49 kg</t>
    </r>
  </si>
  <si>
    <r>
      <rPr>
        <b/>
        <sz val="12"/>
        <color theme="1"/>
        <rFont val="Calibri"/>
        <family val="2"/>
        <charset val="238"/>
        <scheme val="minor"/>
      </rPr>
      <t>MAVENCLAD</t>
    </r>
    <r>
      <rPr>
        <sz val="12"/>
        <color theme="1"/>
        <rFont val="Calibri"/>
        <family val="2"/>
        <charset val="238"/>
        <scheme val="minor"/>
      </rPr>
      <t xml:space="preserve"> 10MG TBL NOB 1
pacient s hmt. 70-79 kg</t>
    </r>
  </si>
  <si>
    <r>
      <rPr>
        <b/>
        <sz val="12"/>
        <color theme="1"/>
        <rFont val="Calibri"/>
        <family val="2"/>
        <charset val="238"/>
        <scheme val="minor"/>
      </rPr>
      <t>MAVENCLAD</t>
    </r>
    <r>
      <rPr>
        <sz val="12"/>
        <color theme="1"/>
        <rFont val="Calibri"/>
        <family val="2"/>
        <charset val="238"/>
        <scheme val="minor"/>
      </rPr>
      <t xml:space="preserve"> 10MG TBL NOB 1
pacient s hmt. 90-99 kg</t>
    </r>
  </si>
  <si>
    <r>
      <t xml:space="preserve">1,75 mg/kg za rok (každý léčeb. pulz zahrnuje 2 týdny léčby) po dobu dvou let. (3,5 mg/kg za dva roky)
</t>
    </r>
    <r>
      <rPr>
        <u/>
        <sz val="9"/>
        <color theme="1"/>
        <rFont val="Calibri"/>
        <family val="2"/>
        <charset val="238"/>
        <scheme val="minor"/>
      </rPr>
      <t>Zde: 280 mg / 2 roky</t>
    </r>
    <r>
      <rPr>
        <sz val="9"/>
        <color theme="1"/>
        <rFont val="Calibri"/>
        <family val="2"/>
        <charset val="238"/>
        <scheme val="minor"/>
      </rPr>
      <t xml:space="preserve"> (za 4 roky od zahájení léčby odhad. 50 % pac. s dalšími 2 ročnímy cykly (viz soubory "Ceny-srpen 2023" a "Úhrad.podm…k 8.9.2023)</t>
    </r>
  </si>
  <si>
    <t>BMS</t>
  </si>
  <si>
    <r>
      <t xml:space="preserve">1,75 mg/kg za rok (každý léčebný pulz zahrnuje 2 týdny léčby) po dobu dvou let. (3,5 mg/kg za dva roky)
</t>
    </r>
    <r>
      <rPr>
        <u/>
        <sz val="9"/>
        <color theme="1"/>
        <rFont val="Calibri"/>
        <family val="2"/>
        <charset val="238"/>
        <scheme val="minor"/>
      </rPr>
      <t xml:space="preserve">Zde: 160 mg / 2 roky </t>
    </r>
    <r>
      <rPr>
        <sz val="9"/>
        <color theme="1"/>
        <rFont val="Calibri"/>
        <family val="2"/>
        <charset val="238"/>
        <scheme val="minor"/>
      </rPr>
      <t xml:space="preserve"> (za 4 roky od zahájení léčby odhad. 50 % pac. s dalšími 2 ročnímy cykly (viz soubory "Ceny-srpen 2023" a "Úhrad.podm…k 8.9.2023)</t>
    </r>
  </si>
  <si>
    <r>
      <t xml:space="preserve">1,75 mg/kg za rok (každý léčebný pulz zahrnuje 2 týdny léčby) po dobu dvou let. (3,5 mg/kg za dva roky)
</t>
    </r>
    <r>
      <rPr>
        <u/>
        <sz val="9"/>
        <color theme="1"/>
        <rFont val="Calibri"/>
        <family val="2"/>
        <charset val="238"/>
        <scheme val="minor"/>
      </rPr>
      <t>Zde: 340 mg / 2 roky</t>
    </r>
    <r>
      <rPr>
        <sz val="9"/>
        <color theme="1"/>
        <rFont val="Calibri"/>
        <family val="2"/>
        <charset val="238"/>
        <scheme val="minor"/>
      </rPr>
      <t xml:space="preserve">  (za 4 roky od zahájení léčby odhad. 50 % pac. s dalšími 2 ročnímy cykly (viz soubory "Ceny-srpen 2023" a "Úhrad.podm…k 8.9.2023)</t>
    </r>
  </si>
  <si>
    <r>
      <t xml:space="preserve">600 mg každých 6 měs. (1. dávka jsou 2 samost. inf. 300mg po 2 týd.!!) </t>
    </r>
    <r>
      <rPr>
        <sz val="9"/>
        <color theme="1"/>
        <rFont val="Calibri"/>
        <family val="2"/>
        <charset val="238"/>
        <scheme val="minor"/>
      </rPr>
      <t xml:space="preserve">- </t>
    </r>
    <r>
      <rPr>
        <u/>
        <sz val="9"/>
        <color theme="1"/>
        <rFont val="Calibri"/>
        <family val="2"/>
        <charset val="238"/>
        <scheme val="minor"/>
      </rPr>
      <t xml:space="preserve">aplik. cca 2,5-3,5 hod, nutná premedikace </t>
    </r>
    <r>
      <rPr>
        <sz val="9"/>
        <color theme="1"/>
        <rFont val="Calibri"/>
        <family val="2"/>
        <charset val="238"/>
        <scheme val="minor"/>
      </rPr>
      <t>!</t>
    </r>
  </si>
  <si>
    <r>
      <rPr>
        <b/>
        <sz val="12"/>
        <color theme="0"/>
        <rFont val="Calibri"/>
        <family val="2"/>
        <charset val="238"/>
        <scheme val="minor"/>
      </rPr>
      <t xml:space="preserve">Cena za 1 rok léčby (bez diskontace!)       </t>
    </r>
    <r>
      <rPr>
        <b/>
        <sz val="10"/>
        <color theme="0"/>
        <rFont val="Calibri"/>
        <family val="2"/>
        <charset val="238"/>
        <scheme val="minor"/>
      </rPr>
      <t xml:space="preserve"> vč. aplik. a profylaxe u i.v., s.c. hospital.</t>
    </r>
    <r>
      <rPr>
        <b/>
        <vertAlign val="superscript"/>
        <sz val="10"/>
        <color theme="0"/>
        <rFont val="Calibri"/>
        <family val="2"/>
        <charset val="238"/>
        <scheme val="minor"/>
      </rPr>
      <t>15</t>
    </r>
    <r>
      <rPr>
        <b/>
        <sz val="10"/>
        <color theme="0"/>
        <rFont val="Calibri"/>
        <family val="2"/>
        <charset val="238"/>
        <scheme val="minor"/>
      </rPr>
      <t xml:space="preserve">                    </t>
    </r>
    <r>
      <rPr>
        <b/>
        <sz val="9"/>
        <color theme="0"/>
        <rFont val="Calibri"/>
        <family val="2"/>
        <charset val="238"/>
        <scheme val="minor"/>
      </rPr>
      <t xml:space="preserve">(pro scénáře 1.-4., 6. a 7. počítající 5 letý horizont)
</t>
    </r>
    <r>
      <rPr>
        <b/>
        <i/>
        <sz val="9"/>
        <color theme="0"/>
        <rFont val="Calibri"/>
        <family val="2"/>
        <charset val="238"/>
        <scheme val="minor"/>
      </rPr>
      <t xml:space="preserve">sloupec </t>
    </r>
    <r>
      <rPr>
        <b/>
        <i/>
        <sz val="9"/>
        <color theme="0"/>
        <rFont val="Calibri"/>
        <family val="2"/>
        <charset val="238"/>
      </rPr>
      <t>α</t>
    </r>
  </si>
  <si>
    <r>
      <rPr>
        <b/>
        <sz val="12"/>
        <color theme="0"/>
        <rFont val="Calibri"/>
        <family val="2"/>
        <charset val="238"/>
        <scheme val="minor"/>
      </rPr>
      <t>Cena za 1 rok léčby (bez diskontace!)</t>
    </r>
    <r>
      <rPr>
        <b/>
        <sz val="9"/>
        <color theme="0"/>
        <rFont val="Calibri"/>
        <family val="2"/>
        <charset val="238"/>
        <scheme val="minor"/>
      </rPr>
      <t xml:space="preserve">                    vč. aplik. a profylaxe u i.v., s.c. hospital.</t>
    </r>
    <r>
      <rPr>
        <b/>
        <vertAlign val="superscript"/>
        <sz val="9"/>
        <color theme="0"/>
        <rFont val="Calibri"/>
        <family val="2"/>
        <charset val="238"/>
        <scheme val="minor"/>
      </rPr>
      <t>15</t>
    </r>
    <r>
      <rPr>
        <b/>
        <sz val="12"/>
        <color theme="0"/>
        <rFont val="Calibri"/>
        <family val="2"/>
        <charset val="238"/>
        <scheme val="minor"/>
      </rPr>
      <t xml:space="preserve">                  </t>
    </r>
    <r>
      <rPr>
        <b/>
        <sz val="9"/>
        <color theme="0"/>
        <rFont val="Calibri"/>
        <family val="2"/>
        <charset val="238"/>
        <scheme val="minor"/>
      </rPr>
      <t xml:space="preserve">(pro scénář 5. počítající                2 letý horizont)
</t>
    </r>
    <r>
      <rPr>
        <b/>
        <i/>
        <sz val="9"/>
        <color theme="0"/>
        <rFont val="Calibri"/>
        <family val="2"/>
        <charset val="238"/>
        <scheme val="minor"/>
      </rPr>
      <t xml:space="preserve">sloupec </t>
    </r>
    <r>
      <rPr>
        <b/>
        <i/>
        <sz val="9"/>
        <color theme="0"/>
        <rFont val="Calibri"/>
        <family val="2"/>
        <charset val="238"/>
      </rPr>
      <t>β</t>
    </r>
  </si>
  <si>
    <r>
      <rPr>
        <b/>
        <sz val="12"/>
        <color theme="1"/>
        <rFont val="Calibri"/>
        <family val="2"/>
        <charset val="238"/>
        <scheme val="minor"/>
      </rPr>
      <t>MAVENCLAD</t>
    </r>
    <r>
      <rPr>
        <sz val="12"/>
        <color theme="1"/>
        <rFont val="Calibri"/>
        <family val="2"/>
        <charset val="238"/>
        <scheme val="minor"/>
      </rPr>
      <t xml:space="preserve"> 10 mg
pac. s hmt. 70-79 kg</t>
    </r>
  </si>
  <si>
    <r>
      <rPr>
        <b/>
        <sz val="12"/>
        <color theme="1"/>
        <rFont val="Calibri"/>
        <family val="2"/>
        <charset val="238"/>
        <scheme val="minor"/>
      </rPr>
      <t>MAVENCLAD</t>
    </r>
    <r>
      <rPr>
        <sz val="12"/>
        <color theme="1"/>
        <rFont val="Calibri"/>
        <family val="2"/>
        <charset val="238"/>
        <scheme val="minor"/>
      </rPr>
      <t xml:space="preserve"> 10 mg
pac. s hmt. 40-49 kg</t>
    </r>
  </si>
  <si>
    <r>
      <rPr>
        <b/>
        <sz val="12"/>
        <color theme="1"/>
        <rFont val="Calibri"/>
        <family val="2"/>
        <charset val="238"/>
        <scheme val="minor"/>
      </rPr>
      <t>MAVENCLAD</t>
    </r>
    <r>
      <rPr>
        <sz val="12"/>
        <color theme="1"/>
        <rFont val="Calibri"/>
        <family val="2"/>
        <charset val="238"/>
        <scheme val="minor"/>
      </rPr>
      <t xml:space="preserve"> 10 mg
pac. s hmt. 90-99 kg</t>
    </r>
  </si>
  <si>
    <t>SCÉNÁŘ 6                                       (CUA)</t>
  </si>
  <si>
    <t xml:space="preserve"> SCÉNÁŘ 7                                        (CUA)</t>
  </si>
  <si>
    <r>
      <t>STŘEDNĚ SILNÝ (</t>
    </r>
    <r>
      <rPr>
        <u/>
        <sz val="9"/>
        <color theme="1"/>
        <rFont val="Calibri"/>
        <family val="2"/>
        <charset val="238"/>
        <scheme val="minor"/>
      </rPr>
      <t>SPRS</t>
    </r>
    <r>
      <rPr>
        <sz val="9"/>
        <color theme="1"/>
        <rFont val="Calibri"/>
        <family val="2"/>
        <charset val="238"/>
        <scheme val="minor"/>
      </rPr>
      <t>)</t>
    </r>
  </si>
  <si>
    <t>NEJSILNĚJŠÍ                                     (tzv. HET - ESKALACE)</t>
  </si>
  <si>
    <t>NEJSILNĚJŠÍ                                      (tzv. HET - INDUKCE - po 1 relapsu v předch. roce + MRI nález)</t>
  </si>
  <si>
    <t>NEJSILNĚJŠÍ                                                        (tzv. HET - ESKALACE, ale už i po MRI nálezu!)</t>
  </si>
  <si>
    <t>NEJSLABŠÍ                                          (už po 1. atace)</t>
  </si>
  <si>
    <r>
      <t xml:space="preserve">STŘEDNĚ SILNÝ                                        </t>
    </r>
    <r>
      <rPr>
        <sz val="8"/>
        <color theme="1"/>
        <rFont val="Calibri"/>
        <family val="2"/>
        <charset val="238"/>
        <scheme val="minor"/>
      </rPr>
      <t>(po 1 relapsu v předch. roce)</t>
    </r>
  </si>
  <si>
    <t>NEJSILNĚJŠÍ                                      (tzv. HET - INDUKCE - po 1 relapsu v předch. roce + MRI nález, při ESKALACE ale už i po MRI nálezu!)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</si>
</sst>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Kč&quot;"/>
    <numFmt numFmtId="165" formatCode="#,##0\ &quot;Kč&quot;"/>
    <numFmt numFmtId="166" formatCode="_-* #,##0\ [$Kč-405]_-;\-* #,##0\ [$Kč-405]_-;_-* &quot;-&quot;??\ [$Kč-405]_-;_-@_-"/>
    <numFmt numFmtId="167" formatCode="_-* #,##0.00\ [$Kč-405]_-;\-* #,##0.00\ [$Kč-405]_-;_-* &quot;-&quot;??\ [$Kč-405]_-;_-@_-"/>
  </numFmts>
  <fonts count="81" x14ac:knownFonts="1">
    <font>
      <sz val="11"/>
      <color theme="1"/>
      <name val="Calibri"/>
      <family val="2"/>
      <charset val="238"/>
      <scheme val="minor"/>
    </font>
    <font>
      <sz val="9"/>
      <name val="Arial"/>
      <family val="2"/>
      <charset val="238"/>
    </font>
    <font>
      <sz val="10"/>
      <color theme="1"/>
      <name val="Calibri"/>
      <family val="2"/>
      <charset val="238"/>
      <scheme val="minor"/>
    </font>
    <font>
      <sz val="9"/>
      <color theme="1"/>
      <name val="Calibri"/>
      <family val="2"/>
      <charset val="238"/>
      <scheme val="minor"/>
    </font>
    <font>
      <b/>
      <sz val="9"/>
      <name val="Arial"/>
      <family val="2"/>
      <charset val="238"/>
    </font>
    <font>
      <sz val="8"/>
      <name val="Arial"/>
      <family val="2"/>
      <charset val="238"/>
    </font>
    <font>
      <b/>
      <sz val="10"/>
      <name val="Arial"/>
      <family val="2"/>
      <charset val="238"/>
    </font>
    <font>
      <sz val="10"/>
      <color theme="5" tint="-0.249977111117893"/>
      <name val="Arial"/>
      <family val="2"/>
      <charset val="238"/>
    </font>
    <font>
      <sz val="10"/>
      <name val="Calibri"/>
      <family val="2"/>
      <charset val="238"/>
      <scheme val="minor"/>
    </font>
    <font>
      <sz val="8"/>
      <color theme="1"/>
      <name val="Calibri"/>
      <family val="2"/>
      <charset val="238"/>
      <scheme val="minor"/>
    </font>
    <font>
      <u/>
      <sz val="8"/>
      <color theme="1"/>
      <name val="Calibri"/>
      <family val="2"/>
      <charset val="238"/>
      <scheme val="minor"/>
    </font>
    <font>
      <sz val="10"/>
      <name val="Arial"/>
      <family val="2"/>
      <charset val="238"/>
    </font>
    <font>
      <b/>
      <sz val="8"/>
      <name val="Arial"/>
      <family val="2"/>
      <charset val="238"/>
    </font>
    <font>
      <u/>
      <sz val="9"/>
      <color theme="1"/>
      <name val="Calibri"/>
      <family val="2"/>
      <charset val="238"/>
      <scheme val="minor"/>
    </font>
    <font>
      <b/>
      <u val="singleAccounting"/>
      <sz val="10"/>
      <name val="Calibri"/>
      <family val="2"/>
      <charset val="238"/>
      <scheme val="minor"/>
    </font>
    <font>
      <b/>
      <sz val="11"/>
      <color theme="1"/>
      <name val="Calibri"/>
      <family val="2"/>
      <charset val="238"/>
      <scheme val="minor"/>
    </font>
    <font>
      <b/>
      <u/>
      <sz val="10"/>
      <color theme="1"/>
      <name val="Calibri"/>
      <family val="2"/>
      <charset val="238"/>
      <scheme val="minor"/>
    </font>
    <font>
      <sz val="12"/>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0"/>
      <name val="Calibri"/>
      <family val="2"/>
      <charset val="238"/>
      <scheme val="minor"/>
    </font>
    <font>
      <b/>
      <sz val="9"/>
      <color indexed="81"/>
      <name val="Tahoma"/>
      <family val="2"/>
      <charset val="238"/>
    </font>
    <font>
      <sz val="9"/>
      <color indexed="81"/>
      <name val="Tahoma"/>
      <family val="2"/>
      <charset val="238"/>
    </font>
    <font>
      <sz val="12"/>
      <color theme="0" tint="-0.499984740745262"/>
      <name val="Calibri"/>
      <family val="2"/>
      <charset val="238"/>
      <scheme val="minor"/>
    </font>
    <font>
      <b/>
      <sz val="12"/>
      <color theme="0" tint="-0.499984740745262"/>
      <name val="Calibri"/>
      <family val="2"/>
      <charset val="238"/>
      <scheme val="minor"/>
    </font>
    <font>
      <sz val="10"/>
      <color theme="0" tint="-0.499984740745262"/>
      <name val="Calibri"/>
      <family val="2"/>
      <charset val="238"/>
      <scheme val="minor"/>
    </font>
    <font>
      <sz val="9"/>
      <color theme="0" tint="-0.499984740745262"/>
      <name val="Calibri"/>
      <family val="2"/>
      <charset val="238"/>
      <scheme val="minor"/>
    </font>
    <font>
      <b/>
      <sz val="14"/>
      <color theme="1"/>
      <name val="Calibri"/>
      <family val="2"/>
      <charset val="238"/>
      <scheme val="minor"/>
    </font>
    <font>
      <b/>
      <sz val="14"/>
      <color theme="0" tint="-0.499984740745262"/>
      <name val="Calibri"/>
      <family val="2"/>
      <charset val="238"/>
      <scheme val="minor"/>
    </font>
    <font>
      <b/>
      <sz val="11"/>
      <color theme="0"/>
      <name val="Arial"/>
      <family val="2"/>
      <charset val="238"/>
    </font>
    <font>
      <b/>
      <i/>
      <sz val="11"/>
      <color theme="0"/>
      <name val="Arial"/>
      <family val="2"/>
      <charset val="238"/>
    </font>
    <font>
      <sz val="18"/>
      <color theme="1"/>
      <name val="Calibri"/>
      <family val="2"/>
      <charset val="238"/>
      <scheme val="minor"/>
    </font>
    <font>
      <b/>
      <sz val="11"/>
      <color rgb="FFFFFF00"/>
      <name val="Calibri"/>
      <family val="2"/>
      <charset val="238"/>
      <scheme val="minor"/>
    </font>
    <font>
      <b/>
      <sz val="20"/>
      <color theme="1"/>
      <name val="Calibri"/>
      <family val="2"/>
      <charset val="238"/>
      <scheme val="minor"/>
    </font>
    <font>
      <b/>
      <vertAlign val="superscript"/>
      <sz val="11"/>
      <color theme="0"/>
      <name val="Arial"/>
      <family val="2"/>
      <charset val="238"/>
    </font>
    <font>
      <vertAlign val="superscript"/>
      <sz val="9"/>
      <color theme="1"/>
      <name val="Calibri"/>
      <family val="2"/>
      <charset val="238"/>
      <scheme val="minor"/>
    </font>
    <font>
      <i/>
      <sz val="9"/>
      <color indexed="81"/>
      <name val="Tahoma"/>
      <family val="2"/>
      <charset val="238"/>
    </font>
    <font>
      <b/>
      <sz val="10"/>
      <color theme="0"/>
      <name val="Arial"/>
      <family val="2"/>
      <charset val="238"/>
    </font>
    <font>
      <b/>
      <i/>
      <sz val="10"/>
      <color theme="0"/>
      <name val="Arial"/>
      <family val="2"/>
      <charset val="238"/>
    </font>
    <font>
      <b/>
      <sz val="9"/>
      <color theme="0"/>
      <name val="Calibri"/>
      <family val="2"/>
      <charset val="238"/>
      <scheme val="minor"/>
    </font>
    <font>
      <b/>
      <sz val="12"/>
      <color theme="0"/>
      <name val="Calibri"/>
      <family val="2"/>
      <charset val="238"/>
      <scheme val="minor"/>
    </font>
    <font>
      <i/>
      <sz val="9"/>
      <color theme="1"/>
      <name val="Calibri"/>
      <family val="2"/>
      <charset val="238"/>
      <scheme val="minor"/>
    </font>
    <font>
      <b/>
      <sz val="9"/>
      <color theme="0"/>
      <name val="Arial"/>
      <family val="2"/>
      <charset val="238"/>
    </font>
    <font>
      <u/>
      <sz val="9"/>
      <color indexed="81"/>
      <name val="Tahoma"/>
      <family val="2"/>
      <charset val="238"/>
    </font>
    <font>
      <b/>
      <sz val="11"/>
      <name val="Arial"/>
      <family val="2"/>
      <charset val="238"/>
    </font>
    <font>
      <b/>
      <i/>
      <sz val="10"/>
      <name val="Arial"/>
      <family val="2"/>
      <charset val="238"/>
    </font>
    <font>
      <sz val="18"/>
      <color theme="1" tint="0.499984740745262"/>
      <name val="Calibri"/>
      <family val="2"/>
      <charset val="238"/>
      <scheme val="minor"/>
    </font>
    <font>
      <b/>
      <i/>
      <sz val="9"/>
      <color theme="0"/>
      <name val="Calibri"/>
      <family val="2"/>
      <charset val="238"/>
      <scheme val="minor"/>
    </font>
    <font>
      <b/>
      <i/>
      <sz val="9"/>
      <color theme="0"/>
      <name val="Calibri"/>
      <family val="2"/>
      <charset val="238"/>
    </font>
    <font>
      <b/>
      <i/>
      <vertAlign val="superscript"/>
      <sz val="11"/>
      <color theme="0"/>
      <name val="Arial"/>
      <family val="2"/>
      <charset val="238"/>
    </font>
    <font>
      <b/>
      <i/>
      <vertAlign val="superscript"/>
      <sz val="11"/>
      <color theme="0"/>
      <name val="Calibri"/>
      <family val="2"/>
      <charset val="238"/>
    </font>
    <font>
      <b/>
      <i/>
      <sz val="9"/>
      <color theme="0"/>
      <name val="Arial"/>
      <family val="2"/>
      <charset val="238"/>
    </font>
    <font>
      <b/>
      <i/>
      <sz val="9"/>
      <name val="Arial"/>
      <family val="2"/>
      <charset val="238"/>
    </font>
    <font>
      <b/>
      <i/>
      <sz val="9"/>
      <name val="Calibri"/>
      <family val="2"/>
      <charset val="238"/>
    </font>
    <font>
      <b/>
      <u/>
      <sz val="11"/>
      <color rgb="FFFFFF00"/>
      <name val="Calibri"/>
      <family val="2"/>
      <charset val="238"/>
      <scheme val="minor"/>
    </font>
    <font>
      <b/>
      <sz val="11"/>
      <color rgb="FFFFFF00"/>
      <name val="Calibri"/>
      <family val="2"/>
      <charset val="238"/>
    </font>
    <font>
      <i/>
      <sz val="14"/>
      <color theme="1"/>
      <name val="Calibri"/>
      <family val="2"/>
      <charset val="238"/>
      <scheme val="minor"/>
    </font>
    <font>
      <i/>
      <sz val="11"/>
      <color theme="1"/>
      <name val="Calibri"/>
      <family val="2"/>
      <charset val="238"/>
      <scheme val="minor"/>
    </font>
    <font>
      <b/>
      <sz val="9"/>
      <color theme="1"/>
      <name val="Calibri"/>
      <family val="2"/>
      <charset val="238"/>
      <scheme val="minor"/>
    </font>
    <font>
      <sz val="18"/>
      <name val="Calibri"/>
      <family val="2"/>
      <charset val="238"/>
      <scheme val="minor"/>
    </font>
    <font>
      <b/>
      <sz val="14"/>
      <name val="Calibri"/>
      <family val="2"/>
      <charset val="238"/>
      <scheme val="minor"/>
    </font>
    <font>
      <sz val="8.25"/>
      <color theme="1"/>
      <name val="Arial"/>
      <family val="2"/>
      <charset val="238"/>
    </font>
    <font>
      <vertAlign val="superscript"/>
      <sz val="8"/>
      <name val="Arial"/>
      <family val="2"/>
      <charset val="238"/>
    </font>
    <font>
      <sz val="10"/>
      <color rgb="FF000000"/>
      <name val="Calibri"/>
      <family val="2"/>
      <charset val="238"/>
      <scheme val="minor"/>
    </font>
    <font>
      <b/>
      <sz val="12"/>
      <color rgb="FF000000"/>
      <name val="Calibri"/>
      <family val="2"/>
      <charset val="238"/>
      <scheme val="minor"/>
    </font>
    <font>
      <b/>
      <sz val="10"/>
      <color rgb="FF000000"/>
      <name val="Calibri"/>
      <family val="2"/>
      <charset val="238"/>
      <scheme val="minor"/>
    </font>
    <font>
      <b/>
      <sz val="10"/>
      <name val="Calibri"/>
      <family val="2"/>
      <charset val="238"/>
      <scheme val="minor"/>
    </font>
    <font>
      <b/>
      <sz val="12"/>
      <name val="Arial"/>
      <family val="2"/>
      <charset val="238"/>
    </font>
    <font>
      <vertAlign val="superscript"/>
      <sz val="10"/>
      <color rgb="FF000000"/>
      <name val="Calibri"/>
      <family val="2"/>
      <charset val="238"/>
      <scheme val="minor"/>
    </font>
    <font>
      <u/>
      <sz val="10"/>
      <color rgb="FF000000"/>
      <name val="Calibri"/>
      <family val="2"/>
      <charset val="238"/>
      <scheme val="minor"/>
    </font>
    <font>
      <b/>
      <sz val="11"/>
      <color rgb="FF000000"/>
      <name val="Calibri"/>
      <family val="2"/>
      <charset val="238"/>
      <scheme val="minor"/>
    </font>
    <font>
      <b/>
      <sz val="10"/>
      <color theme="0"/>
      <name val="Calibri"/>
      <family val="2"/>
      <charset val="238"/>
      <scheme val="minor"/>
    </font>
    <font>
      <b/>
      <vertAlign val="superscript"/>
      <sz val="10"/>
      <color theme="0"/>
      <name val="Calibri"/>
      <family val="2"/>
      <charset val="238"/>
      <scheme val="minor"/>
    </font>
    <font>
      <b/>
      <vertAlign val="superscript"/>
      <sz val="9"/>
      <color theme="0"/>
      <name val="Calibri"/>
      <family val="2"/>
      <charset val="238"/>
      <scheme val="minor"/>
    </font>
    <font>
      <u/>
      <vertAlign val="superscript"/>
      <sz val="9"/>
      <color theme="1"/>
      <name val="Calibri"/>
      <family val="2"/>
      <charset val="238"/>
      <scheme val="minor"/>
    </font>
    <font>
      <b/>
      <vertAlign val="superscript"/>
      <sz val="10"/>
      <color theme="0"/>
      <name val="Arial"/>
      <family val="2"/>
      <charset val="238"/>
    </font>
    <font>
      <b/>
      <vertAlign val="superscript"/>
      <sz val="12"/>
      <name val="Arial"/>
      <family val="2"/>
      <charset val="238"/>
    </font>
    <font>
      <i/>
      <sz val="14"/>
      <name val="Calibri"/>
      <family val="2"/>
      <charset val="238"/>
      <scheme val="minor"/>
    </font>
    <font>
      <b/>
      <sz val="11"/>
      <color indexed="81"/>
      <name val="Tahoma"/>
      <family val="2"/>
      <charset val="238"/>
    </font>
    <font>
      <sz val="14"/>
      <color theme="1"/>
      <name val="Calibri"/>
      <family val="2"/>
      <charset val="238"/>
      <scheme val="minor"/>
    </font>
    <font>
      <sz val="9"/>
      <color theme="1"/>
      <name val="Calibri"/>
      <family val="2"/>
      <charset val="238"/>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2060"/>
        <bgColor indexed="64"/>
      </patternFill>
    </fill>
    <fill>
      <patternFill patternType="solid">
        <fgColor rgb="FFFFFF00"/>
        <bgColor indexed="64"/>
      </patternFill>
    </fill>
    <fill>
      <patternFill patternType="solid">
        <fgColor rgb="FFD60093"/>
        <bgColor indexed="64"/>
      </patternFill>
    </fill>
    <fill>
      <patternFill patternType="solid">
        <fgColor rgb="FF993366"/>
        <bgColor indexed="64"/>
      </patternFill>
    </fill>
    <fill>
      <patternFill patternType="solid">
        <fgColor rgb="FF9900FF"/>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115">
    <xf numFmtId="0" fontId="0" fillId="0" borderId="0" xfId="0"/>
    <xf numFmtId="0" fontId="0" fillId="0" borderId="0" xfId="0" applyAlignment="1">
      <alignment horizontal="center" vertical="center"/>
    </xf>
    <xf numFmtId="165" fontId="7" fillId="0" borderId="0" xfId="0" applyNumberFormat="1" applyFont="1"/>
    <xf numFmtId="164" fontId="0" fillId="0" borderId="0" xfId="0" applyNumberFormat="1"/>
    <xf numFmtId="0" fontId="0" fillId="0" borderId="0" xfId="0" applyFont="1"/>
    <xf numFmtId="0" fontId="2" fillId="0" borderId="0" xfId="0" applyFont="1"/>
    <xf numFmtId="0" fontId="0" fillId="0" borderId="0" xfId="0" applyAlignment="1">
      <alignment vertical="center"/>
    </xf>
    <xf numFmtId="167" fontId="0" fillId="0" borderId="0" xfId="0" applyNumberFormat="1" applyFont="1"/>
    <xf numFmtId="0" fontId="2" fillId="0" borderId="0" xfId="0" applyFont="1" applyAlignment="1">
      <alignment vertical="center"/>
    </xf>
    <xf numFmtId="0" fontId="13" fillId="0" borderId="0" xfId="0" applyFont="1"/>
    <xf numFmtId="0" fontId="2" fillId="0" borderId="0" xfId="0" applyFont="1" applyFill="1" applyAlignment="1">
      <alignment vertical="center"/>
    </xf>
    <xf numFmtId="0" fontId="0" fillId="0" borderId="0" xfId="0" applyFill="1"/>
    <xf numFmtId="0" fontId="2" fillId="0" borderId="0" xfId="0" applyFont="1" applyFill="1"/>
    <xf numFmtId="0" fontId="3" fillId="0" borderId="0" xfId="0" applyFont="1" applyFill="1" applyAlignment="1"/>
    <xf numFmtId="0" fontId="3" fillId="0" borderId="0" xfId="0" applyFont="1" applyFill="1" applyBorder="1" applyAlignment="1"/>
    <xf numFmtId="0" fontId="2" fillId="0" borderId="0" xfId="0" applyFont="1" applyFill="1" applyBorder="1" applyAlignment="1"/>
    <xf numFmtId="0" fontId="3" fillId="0" borderId="0" xfId="0" applyFont="1" applyFill="1"/>
    <xf numFmtId="0" fontId="3" fillId="0" borderId="0" xfId="0" applyNumberFormat="1" applyFont="1" applyFill="1"/>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164" fontId="0" fillId="0" borderId="1" xfId="0" applyNumberFormat="1" applyFont="1" applyFill="1" applyBorder="1" applyAlignment="1">
      <alignment horizontal="center" vertical="center"/>
    </xf>
    <xf numFmtId="166" fontId="8"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166" fontId="14"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0" fillId="4"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164" fontId="25" fillId="0" borderId="1" xfId="0" applyNumberFormat="1" applyFont="1" applyFill="1" applyBorder="1" applyAlignment="1">
      <alignment horizontal="center" vertical="center" wrapText="1"/>
    </xf>
    <xf numFmtId="164" fontId="27" fillId="0" borderId="1" xfId="0" applyNumberFormat="1" applyFont="1" applyFill="1" applyBorder="1" applyAlignment="1">
      <alignment horizontal="center" vertical="center" wrapText="1"/>
    </xf>
    <xf numFmtId="164" fontId="28" fillId="0"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29" fillId="6" borderId="1" xfId="0" applyFont="1" applyFill="1" applyBorder="1" applyAlignment="1">
      <alignment horizontal="center" vertical="center" wrapText="1"/>
    </xf>
    <xf numFmtId="2" fontId="31" fillId="0" borderId="1" xfId="0" applyNumberFormat="1" applyFont="1" applyFill="1" applyBorder="1" applyAlignment="1">
      <alignment horizontal="center" vertical="center" wrapText="1"/>
    </xf>
    <xf numFmtId="0" fontId="29" fillId="7" borderId="1" xfId="0" applyFont="1" applyFill="1" applyBorder="1" applyAlignment="1">
      <alignment horizontal="center" vertical="center" wrapText="1"/>
    </xf>
    <xf numFmtId="164" fontId="27" fillId="10" borderId="1" xfId="0" applyNumberFormat="1" applyFont="1" applyFill="1" applyBorder="1" applyAlignment="1">
      <alignment horizontal="center" vertical="center" wrapText="1"/>
    </xf>
    <xf numFmtId="2" fontId="31" fillId="10" borderId="1" xfId="0" applyNumberFormat="1" applyFont="1" applyFill="1" applyBorder="1" applyAlignment="1">
      <alignment horizontal="center" vertical="center" wrapText="1"/>
    </xf>
    <xf numFmtId="2" fontId="33" fillId="0" borderId="1" xfId="0" applyNumberFormat="1" applyFont="1" applyBorder="1" applyAlignment="1">
      <alignment horizontal="center" vertical="center"/>
    </xf>
    <xf numFmtId="0" fontId="0" fillId="0" borderId="1" xfId="0" applyBorder="1"/>
    <xf numFmtId="0" fontId="37" fillId="7" borderId="1" xfId="0" applyFont="1" applyFill="1" applyBorder="1" applyAlignment="1">
      <alignment horizontal="center" vertical="center" wrapText="1"/>
    </xf>
    <xf numFmtId="0" fontId="40" fillId="9" borderId="1" xfId="0" applyFont="1" applyFill="1" applyBorder="1" applyAlignment="1">
      <alignment horizontal="center" vertical="center" wrapText="1"/>
    </xf>
    <xf numFmtId="2" fontId="31" fillId="0" borderId="3" xfId="0" applyNumberFormat="1" applyFont="1" applyFill="1" applyBorder="1" applyAlignment="1">
      <alignment horizontal="center" vertical="center" wrapText="1"/>
    </xf>
    <xf numFmtId="2" fontId="33" fillId="0" borderId="3" xfId="0" applyNumberFormat="1" applyFont="1" applyBorder="1" applyAlignment="1">
      <alignment horizontal="center" vertical="center"/>
    </xf>
    <xf numFmtId="0" fontId="29" fillId="8" borderId="1" xfId="0" applyFont="1" applyFill="1" applyBorder="1" applyAlignment="1">
      <alignment horizontal="center" vertical="center" wrapText="1"/>
    </xf>
    <xf numFmtId="0" fontId="32"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2" fontId="31" fillId="10" borderId="3" xfId="0" applyNumberFormat="1" applyFont="1" applyFill="1" applyBorder="1" applyAlignment="1">
      <alignment horizontal="center" vertical="center" wrapText="1"/>
    </xf>
    <xf numFmtId="2" fontId="33" fillId="10" borderId="3" xfId="0" applyNumberFormat="1" applyFont="1" applyFill="1" applyBorder="1" applyAlignment="1">
      <alignment horizontal="center" vertical="center"/>
    </xf>
    <xf numFmtId="2" fontId="46" fillId="0" borderId="1" xfId="0" applyNumberFormat="1" applyFont="1" applyFill="1" applyBorder="1" applyAlignment="1">
      <alignment horizontal="center" vertical="center" wrapText="1"/>
    </xf>
    <xf numFmtId="0" fontId="29" fillId="13" borderId="1"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2" fontId="56" fillId="0" borderId="1" xfId="0" applyNumberFormat="1" applyFont="1" applyBorder="1" applyAlignment="1">
      <alignment horizontal="center" vertical="center"/>
    </xf>
    <xf numFmtId="0" fontId="3" fillId="0" borderId="0" xfId="0" applyFont="1"/>
    <xf numFmtId="0" fontId="2" fillId="0" borderId="0" xfId="0" applyFont="1" applyAlignment="1"/>
    <xf numFmtId="0" fontId="58" fillId="0" borderId="0" xfId="0" applyFont="1"/>
    <xf numFmtId="0" fontId="15" fillId="0" borderId="0" xfId="0" applyFont="1"/>
    <xf numFmtId="0" fontId="8" fillId="0" borderId="1" xfId="0" applyNumberFormat="1"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4" fontId="60" fillId="0" borderId="1" xfId="0" applyNumberFormat="1" applyFont="1" applyFill="1" applyBorder="1" applyAlignment="1">
      <alignment horizontal="center" vertical="center" wrapText="1"/>
    </xf>
    <xf numFmtId="2" fontId="59"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63" fillId="0" borderId="1" xfId="0" applyFont="1" applyBorder="1" applyAlignment="1">
      <alignment horizontal="center" vertical="center"/>
    </xf>
    <xf numFmtId="0" fontId="63" fillId="0" borderId="1" xfId="0" applyFont="1" applyBorder="1" applyAlignment="1">
      <alignment horizontal="center" vertical="center" wrapText="1"/>
    </xf>
    <xf numFmtId="0" fontId="19" fillId="17" borderId="1" xfId="0" applyNumberFormat="1" applyFont="1" applyFill="1" applyBorder="1" applyAlignment="1">
      <alignment horizontal="center" vertical="center" wrapText="1"/>
    </xf>
    <xf numFmtId="0" fontId="66" fillId="17" borderId="1" xfId="0" applyNumberFormat="1" applyFont="1" applyFill="1" applyBorder="1" applyAlignment="1">
      <alignment horizontal="center" vertical="center" wrapText="1"/>
    </xf>
    <xf numFmtId="0" fontId="67" fillId="1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5" fillId="17" borderId="3" xfId="0" applyFont="1" applyFill="1" applyBorder="1" applyAlignment="1">
      <alignment horizontal="center" vertical="center" wrapText="1"/>
    </xf>
    <xf numFmtId="0" fontId="63" fillId="12" borderId="1"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70" fillId="12" borderId="4" xfId="0" applyFont="1" applyFill="1" applyBorder="1" applyAlignment="1">
      <alignment horizontal="center" vertical="center" wrapText="1"/>
    </xf>
    <xf numFmtId="2" fontId="46" fillId="21" borderId="1" xfId="0" applyNumberFormat="1" applyFont="1" applyFill="1" applyBorder="1" applyAlignment="1">
      <alignment horizontal="center" vertical="center" wrapText="1"/>
    </xf>
    <xf numFmtId="2" fontId="46" fillId="22" borderId="1" xfId="0" applyNumberFormat="1" applyFont="1" applyFill="1" applyBorder="1" applyAlignment="1">
      <alignment horizontal="center" vertical="center" wrapText="1"/>
    </xf>
    <xf numFmtId="2" fontId="31" fillId="12"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7" fillId="16" borderId="1" xfId="0" applyFont="1" applyFill="1" applyBorder="1" applyAlignment="1">
      <alignment horizontal="center" vertical="center" wrapText="1"/>
    </xf>
    <xf numFmtId="0" fontId="32" fillId="11" borderId="0" xfId="0" applyFont="1" applyFill="1" applyBorder="1" applyAlignment="1">
      <alignment horizontal="center" vertical="center" wrapText="1"/>
    </xf>
    <xf numFmtId="0" fontId="25"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Fill="1" applyAlignment="1">
      <alignment wrapText="1"/>
    </xf>
    <xf numFmtId="164" fontId="2" fillId="0" borderId="1" xfId="0" applyNumberFormat="1" applyFont="1" applyBorder="1" applyAlignment="1">
      <alignment horizontal="center" vertical="center"/>
    </xf>
    <xf numFmtId="0" fontId="2" fillId="0" borderId="1" xfId="0" applyNumberFormat="1" applyFont="1" applyFill="1" applyBorder="1" applyAlignment="1">
      <alignment horizontal="center" vertical="center" wrapText="1"/>
    </xf>
    <xf numFmtId="0" fontId="66" fillId="17" borderId="1" xfId="0" applyNumberFormat="1" applyFont="1" applyFill="1" applyBorder="1" applyAlignment="1">
      <alignment horizontal="center" vertical="center" wrapText="1"/>
    </xf>
    <xf numFmtId="0" fontId="64" fillId="17" borderId="4" xfId="0" applyFont="1" applyFill="1" applyBorder="1" applyAlignment="1">
      <alignment horizontal="center" vertical="center" wrapText="1"/>
    </xf>
    <xf numFmtId="0" fontId="61" fillId="0" borderId="4" xfId="0" applyFont="1" applyBorder="1" applyAlignment="1">
      <alignment horizontal="center" vertical="center" wrapText="1"/>
    </xf>
    <xf numFmtId="0" fontId="3" fillId="20" borderId="4" xfId="0" applyNumberFormat="1" applyFont="1" applyFill="1" applyBorder="1" applyAlignment="1">
      <alignment horizontal="center" vertical="center" wrapText="1"/>
    </xf>
    <xf numFmtId="0" fontId="3" fillId="19" borderId="4" xfId="0" applyNumberFormat="1" applyFont="1" applyFill="1" applyBorder="1" applyAlignment="1">
      <alignment horizontal="center" vertical="center" wrapText="1"/>
    </xf>
    <xf numFmtId="2" fontId="77" fillId="0" borderId="1" xfId="0" applyNumberFormat="1" applyFont="1" applyBorder="1" applyAlignment="1">
      <alignment horizontal="center" vertical="center"/>
    </xf>
    <xf numFmtId="0" fontId="65" fillId="17" borderId="4" xfId="0"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164" fontId="79" fillId="0" borderId="0" xfId="0" applyNumberFormat="1" applyFont="1"/>
  </cellXfs>
  <cellStyles count="1">
    <cellStyle name="Normální" xfId="0" builtinId="0"/>
  </cellStyles>
  <dxfs count="0"/>
  <tableStyles count="0" defaultTableStyle="TableStyleMedium9" defaultPivotStyle="PivotStyleLight16"/>
  <colors>
    <mruColors>
      <color rgb="FF660066"/>
      <color rgb="FF9900FF"/>
      <color rgb="FF9933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3962440346328"/>
          <c:y val="1.3977076949435079E-2"/>
          <c:w val="0.76901286871037544"/>
          <c:h val="0.94914184391023704"/>
        </c:manualLayout>
      </c:layout>
      <c:barChart>
        <c:barDir val="col"/>
        <c:grouping val="clustered"/>
        <c:varyColors val="0"/>
        <c:ser>
          <c:idx val="0"/>
          <c:order val="0"/>
          <c:tx>
            <c:strRef>
              <c:f>'Sloupcový graf scénářů'!$C$2</c:f>
              <c:strCache>
                <c:ptCount val="1"/>
                <c:pt idx="0">
                  <c:v>SCÉNÁŘ 1</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scénářů'!$C$3:$C$12</c:f>
              <c:numCache>
                <c:formatCode>0.00</c:formatCode>
                <c:ptCount val="10"/>
                <c:pt idx="0">
                  <c:v>1.0134505641080516</c:v>
                </c:pt>
                <c:pt idx="1">
                  <c:v>1.1756214205545916</c:v>
                </c:pt>
                <c:pt idx="2">
                  <c:v>0.74910367854127791</c:v>
                </c:pt>
                <c:pt idx="3">
                  <c:v>1.7575895131550037</c:v>
                </c:pt>
                <c:pt idx="4">
                  <c:v>1.9708427758307605</c:v>
                </c:pt>
                <c:pt idx="5">
                  <c:v>0.99417451247217947</c:v>
                </c:pt>
                <c:pt idx="6">
                  <c:v>1.6976292178460455</c:v>
                </c:pt>
                <c:pt idx="7">
                  <c:v>1.0023038716724133</c:v>
                </c:pt>
                <c:pt idx="8">
                  <c:v>1.8383710560633018</c:v>
                </c:pt>
                <c:pt idx="9">
                  <c:v>0.71684044708279426</c:v>
                </c:pt>
              </c:numCache>
            </c:numRef>
          </c:val>
          <c:extLst>
            <c:ext xmlns:c16="http://schemas.microsoft.com/office/drawing/2014/chart" uri="{C3380CC4-5D6E-409C-BE32-E72D297353CC}">
              <c16:uniqueId val="{00000000-E691-446A-A599-F6CC2AEB97D9}"/>
            </c:ext>
          </c:extLst>
        </c:ser>
        <c:ser>
          <c:idx val="1"/>
          <c:order val="1"/>
          <c:tx>
            <c:strRef>
              <c:f>'Sloupcový graf scénářů'!$D$2</c:f>
              <c:strCache>
                <c:ptCount val="1"/>
                <c:pt idx="0">
                  <c:v>SCÉNÁŘ 2                        (u ALE a CLA riz. 5 let)</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scénářů'!$D$3:$D$12</c:f>
              <c:numCache>
                <c:formatCode>0.00</c:formatCode>
                <c:ptCount val="10"/>
                <c:pt idx="0">
                  <c:v>1.0134505641080516</c:v>
                </c:pt>
                <c:pt idx="1">
                  <c:v>1.1756214205545916</c:v>
                </c:pt>
                <c:pt idx="2">
                  <c:v>0.74910367854127791</c:v>
                </c:pt>
                <c:pt idx="3">
                  <c:v>1.7575895131550037</c:v>
                </c:pt>
                <c:pt idx="4">
                  <c:v>1.9708427758307605</c:v>
                </c:pt>
                <c:pt idx="5">
                  <c:v>0.99417451247217947</c:v>
                </c:pt>
                <c:pt idx="6">
                  <c:v>1.6976292178460455</c:v>
                </c:pt>
                <c:pt idx="7">
                  <c:v>1.0023038716724133</c:v>
                </c:pt>
                <c:pt idx="8">
                  <c:v>1.8383710560633018</c:v>
                </c:pt>
                <c:pt idx="9">
                  <c:v>0.71684044708279426</c:v>
                </c:pt>
              </c:numCache>
            </c:numRef>
          </c:val>
          <c:extLst>
            <c:ext xmlns:c16="http://schemas.microsoft.com/office/drawing/2014/chart" uri="{C3380CC4-5D6E-409C-BE32-E72D297353CC}">
              <c16:uniqueId val="{00000001-E691-446A-A599-F6CC2AEB97D9}"/>
            </c:ext>
          </c:extLst>
        </c:ser>
        <c:ser>
          <c:idx val="2"/>
          <c:order val="2"/>
          <c:tx>
            <c:strRef>
              <c:f>'Sloupcový graf scénářů'!$E$2</c:f>
              <c:strCache>
                <c:ptCount val="1"/>
                <c:pt idx="0">
                  <c:v> SCÉNÁŘ 3</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scénářů'!$E$3:$E$12</c:f>
              <c:numCache>
                <c:formatCode>0.00</c:formatCode>
                <c:ptCount val="10"/>
                <c:pt idx="0">
                  <c:v>1.0134505641080516</c:v>
                </c:pt>
                <c:pt idx="1">
                  <c:v>1.1756214205545916</c:v>
                </c:pt>
                <c:pt idx="2">
                  <c:v>0.74910367854127791</c:v>
                </c:pt>
                <c:pt idx="3">
                  <c:v>1.7575895131550037</c:v>
                </c:pt>
                <c:pt idx="4">
                  <c:v>1.9708427758307605</c:v>
                </c:pt>
                <c:pt idx="5">
                  <c:v>0.99417451247217947</c:v>
                </c:pt>
                <c:pt idx="6">
                  <c:v>1.6976292178460455</c:v>
                </c:pt>
                <c:pt idx="7">
                  <c:v>1.0023038716724133</c:v>
                </c:pt>
                <c:pt idx="8">
                  <c:v>1.8383710560633018</c:v>
                </c:pt>
                <c:pt idx="9">
                  <c:v>0.71684044708279426</c:v>
                </c:pt>
              </c:numCache>
            </c:numRef>
          </c:val>
          <c:extLst>
            <c:ext xmlns:c16="http://schemas.microsoft.com/office/drawing/2014/chart" uri="{C3380CC4-5D6E-409C-BE32-E72D297353CC}">
              <c16:uniqueId val="{00000002-E691-446A-A599-F6CC2AEB97D9}"/>
            </c:ext>
          </c:extLst>
        </c:ser>
        <c:ser>
          <c:idx val="3"/>
          <c:order val="3"/>
          <c:tx>
            <c:strRef>
              <c:f>'Sloupcový graf scénářů'!$F$2</c:f>
              <c:strCache>
                <c:ptCount val="1"/>
                <c:pt idx="0">
                  <c:v> SCÉNÁŘ 4                      (waning pro eff. i NÚ)</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scénářů'!$F$3:$F$12</c:f>
              <c:numCache>
                <c:formatCode>0.00</c:formatCode>
                <c:ptCount val="10"/>
                <c:pt idx="0">
                  <c:v>0.91007860656903006</c:v>
                </c:pt>
                <c:pt idx="1">
                  <c:v>1.0980304067979887</c:v>
                </c:pt>
                <c:pt idx="2">
                  <c:v>0.63673812676008623</c:v>
                </c:pt>
                <c:pt idx="3">
                  <c:v>1.2830403446031529</c:v>
                </c:pt>
                <c:pt idx="4">
                  <c:v>1.2376892632217176</c:v>
                </c:pt>
                <c:pt idx="5">
                  <c:v>0.9106638534245165</c:v>
                </c:pt>
                <c:pt idx="6">
                  <c:v>1.2596408796417657</c:v>
                </c:pt>
                <c:pt idx="7">
                  <c:v>1.0023038716724133</c:v>
                </c:pt>
                <c:pt idx="8">
                  <c:v>1.3530410972625904</c:v>
                </c:pt>
                <c:pt idx="9">
                  <c:v>0.78685742098390432</c:v>
                </c:pt>
              </c:numCache>
            </c:numRef>
          </c:val>
          <c:extLst>
            <c:ext xmlns:c16="http://schemas.microsoft.com/office/drawing/2014/chart" uri="{C3380CC4-5D6E-409C-BE32-E72D297353CC}">
              <c16:uniqueId val="{00000003-E691-446A-A599-F6CC2AEB97D9}"/>
            </c:ext>
          </c:extLst>
        </c:ser>
        <c:ser>
          <c:idx val="4"/>
          <c:order val="4"/>
          <c:tx>
            <c:strRef>
              <c:f>'Sloupcový graf scénářů'!$G$2</c:f>
              <c:strCache>
                <c:ptCount val="1"/>
                <c:pt idx="0">
                  <c:v>SCÉNÁŘ 5                        (2letý hor.)</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scénářů'!$G$3:$G$12</c:f>
              <c:numCache>
                <c:formatCode>0.00</c:formatCode>
                <c:ptCount val="10"/>
                <c:pt idx="0">
                  <c:v>1.0134505641080516</c:v>
                </c:pt>
                <c:pt idx="1">
                  <c:v>1.1756214205545916</c:v>
                </c:pt>
                <c:pt idx="2">
                  <c:v>0.74910367854127791</c:v>
                </c:pt>
                <c:pt idx="3">
                  <c:v>1.7575895131550037</c:v>
                </c:pt>
                <c:pt idx="4">
                  <c:v>1.9708427758307605</c:v>
                </c:pt>
                <c:pt idx="5">
                  <c:v>0.99417451247217947</c:v>
                </c:pt>
                <c:pt idx="6">
                  <c:v>1.6976292178460455</c:v>
                </c:pt>
                <c:pt idx="7">
                  <c:v>1.0023038716724133</c:v>
                </c:pt>
                <c:pt idx="8">
                  <c:v>1.8383710560633018</c:v>
                </c:pt>
                <c:pt idx="9">
                  <c:v>0.71684044708279426</c:v>
                </c:pt>
              </c:numCache>
            </c:numRef>
          </c:val>
          <c:extLst>
            <c:ext xmlns:c16="http://schemas.microsoft.com/office/drawing/2014/chart" uri="{C3380CC4-5D6E-409C-BE32-E72D297353CC}">
              <c16:uniqueId val="{00000004-E691-446A-A599-F6CC2AEB97D9}"/>
            </c:ext>
          </c:extLst>
        </c:ser>
        <c:ser>
          <c:idx val="5"/>
          <c:order val="5"/>
          <c:tx>
            <c:strRef>
              <c:f>'Sloupcový graf scénářů'!$H$2</c:f>
              <c:strCache>
                <c:ptCount val="1"/>
                <c:pt idx="0">
                  <c:v>SCÉNÁŘ 6                                       (CUA)</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scénářů'!$H$3:$H$12</c:f>
              <c:numCache>
                <c:formatCode>0.00</c:formatCode>
                <c:ptCount val="10"/>
                <c:pt idx="0">
                  <c:v>0.69979641141211257</c:v>
                </c:pt>
                <c:pt idx="1">
                  <c:v>0.72878575370312937</c:v>
                </c:pt>
                <c:pt idx="2">
                  <c:v>0.37413236972983144</c:v>
                </c:pt>
                <c:pt idx="3">
                  <c:v>0.69944556903228272</c:v>
                </c:pt>
                <c:pt idx="4">
                  <c:v>0.64649937029016913</c:v>
                </c:pt>
                <c:pt idx="5">
                  <c:v>0.68686738709433337</c:v>
                </c:pt>
                <c:pt idx="6">
                  <c:v>0</c:v>
                </c:pt>
                <c:pt idx="7">
                  <c:v>0</c:v>
                </c:pt>
                <c:pt idx="8">
                  <c:v>0.70236082964362412</c:v>
                </c:pt>
                <c:pt idx="9">
                  <c:v>0</c:v>
                </c:pt>
              </c:numCache>
            </c:numRef>
          </c:val>
          <c:extLst>
            <c:ext xmlns:c16="http://schemas.microsoft.com/office/drawing/2014/chart" uri="{C3380CC4-5D6E-409C-BE32-E72D297353CC}">
              <c16:uniqueId val="{00000005-E691-446A-A599-F6CC2AEB97D9}"/>
            </c:ext>
          </c:extLst>
        </c:ser>
        <c:ser>
          <c:idx val="6"/>
          <c:order val="6"/>
          <c:tx>
            <c:strRef>
              <c:f>'Sloupcový graf scénářů'!$I$2</c:f>
              <c:strCache>
                <c:ptCount val="1"/>
                <c:pt idx="0">
                  <c:v> SCÉNÁŘ 7                                        (CUA)</c:v>
                </c:pt>
              </c:strCache>
            </c:strRef>
          </c:tx>
          <c:invertIfNegative val="0"/>
          <c:cat>
            <c:strRef>
              <c:f>'Sloupcový graf scénářů'!$B$3:$B$12</c:f>
              <c:strCache>
                <c:ptCount val="10"/>
                <c:pt idx="0">
                  <c:v>AUBAGIO 14 mg</c:v>
                </c:pt>
                <c:pt idx="1">
                  <c:v>AVONEX 30 mg</c:v>
                </c:pt>
                <c:pt idx="2">
                  <c:v>REBIF 22 mg</c:v>
                </c:pt>
                <c:pt idx="3">
                  <c:v>REBIF 44 mg</c:v>
                </c:pt>
                <c:pt idx="4">
                  <c:v>PLEGRIDY 125 ug</c:v>
                </c:pt>
                <c:pt idx="5">
                  <c:v>COPAXONE 20 mg</c:v>
                </c:pt>
                <c:pt idx="6">
                  <c:v>COPAXONE 40 mg</c:v>
                </c:pt>
                <c:pt idx="7">
                  <c:v>VUMERITY 231 mg</c:v>
                </c:pt>
                <c:pt idx="8">
                  <c:v>PONVORY 20 mg</c:v>
                </c:pt>
                <c:pt idx="9">
                  <c:v>ZEPOSIA 0,92 mg</c:v>
                </c:pt>
              </c:strCache>
            </c:strRef>
          </c:cat>
          <c:val>
            <c:numRef>
              <c:f>'Sloupcový graf scénářů'!$I$3:$I$12</c:f>
              <c:numCache>
                <c:formatCode>0.00</c:formatCode>
                <c:ptCount val="10"/>
                <c:pt idx="0">
                  <c:v>0.69366684448175231</c:v>
                </c:pt>
                <c:pt idx="1">
                  <c:v>0.65230624916546898</c:v>
                </c:pt>
                <c:pt idx="2">
                  <c:v>0.33548103665863827</c:v>
                </c:pt>
                <c:pt idx="3">
                  <c:v>0.67798785418970864</c:v>
                </c:pt>
                <c:pt idx="4">
                  <c:v>0</c:v>
                </c:pt>
                <c:pt idx="5">
                  <c:v>0.66232786279579525</c:v>
                </c:pt>
                <c:pt idx="6">
                  <c:v>0.66024381218664108</c:v>
                </c:pt>
                <c:pt idx="7">
                  <c:v>0</c:v>
                </c:pt>
                <c:pt idx="8">
                  <c:v>0</c:v>
                </c:pt>
                <c:pt idx="9">
                  <c:v>0</c:v>
                </c:pt>
              </c:numCache>
            </c:numRef>
          </c:val>
          <c:extLst>
            <c:ext xmlns:c16="http://schemas.microsoft.com/office/drawing/2014/chart" uri="{C3380CC4-5D6E-409C-BE32-E72D297353CC}">
              <c16:uniqueId val="{00000006-E691-446A-A599-F6CC2AEB97D9}"/>
            </c:ext>
          </c:extLst>
        </c:ser>
        <c:ser>
          <c:idx val="7"/>
          <c:order val="7"/>
          <c:tx>
            <c:strRef>
              <c:f>'Sloupcový graf scénářů'!$J$2</c:f>
              <c:strCache>
                <c:ptCount val="1"/>
                <c:pt idx="0">
                  <c:v>COST-EFFECT                 (jen ARR)</c:v>
                </c:pt>
              </c:strCache>
            </c:strRef>
          </c:tx>
          <c:invertIfNegative val="0"/>
          <c:val>
            <c:numRef>
              <c:f>'Sloupcový graf scénářů'!$J$3:$J$12</c:f>
              <c:numCache>
                <c:formatCode>0.00</c:formatCode>
                <c:ptCount val="10"/>
                <c:pt idx="0">
                  <c:v>0.89877793863500333</c:v>
                </c:pt>
                <c:pt idx="1">
                  <c:v>1.037865136355735</c:v>
                </c:pt>
                <c:pt idx="2">
                  <c:v>0.58690935528568866</c:v>
                </c:pt>
                <c:pt idx="3">
                  <c:v>0.84274163835893756</c:v>
                </c:pt>
                <c:pt idx="4">
                  <c:v>0.84846028868359691</c:v>
                </c:pt>
                <c:pt idx="5">
                  <c:v>0.88427056294272077</c:v>
                </c:pt>
                <c:pt idx="6">
                  <c:v>0.81453968990448544</c:v>
                </c:pt>
                <c:pt idx="7">
                  <c:v>1.0023038716724133</c:v>
                </c:pt>
                <c:pt idx="8">
                  <c:v>0.86382308933181351</c:v>
                </c:pt>
                <c:pt idx="9">
                  <c:v>0.62681862349565276</c:v>
                </c:pt>
              </c:numCache>
            </c:numRef>
          </c:val>
          <c:extLst>
            <c:ext xmlns:c16="http://schemas.microsoft.com/office/drawing/2014/chart" uri="{C3380CC4-5D6E-409C-BE32-E72D297353CC}">
              <c16:uniqueId val="{00000002-3D9D-4F8F-B9E2-08D499C690C3}"/>
            </c:ext>
          </c:extLst>
        </c:ser>
        <c:dLbls>
          <c:showLegendKey val="0"/>
          <c:showVal val="0"/>
          <c:showCatName val="0"/>
          <c:showSerName val="0"/>
          <c:showPercent val="0"/>
          <c:showBubbleSize val="0"/>
        </c:dLbls>
        <c:gapWidth val="150"/>
        <c:axId val="138651520"/>
        <c:axId val="138653056"/>
      </c:barChart>
      <c:catAx>
        <c:axId val="138651520"/>
        <c:scaling>
          <c:orientation val="minMax"/>
        </c:scaling>
        <c:delete val="0"/>
        <c:axPos val="b"/>
        <c:numFmt formatCode="General" sourceLinked="0"/>
        <c:majorTickMark val="out"/>
        <c:minorTickMark val="none"/>
        <c:tickLblPos val="nextTo"/>
        <c:crossAx val="138653056"/>
        <c:crossesAt val="1"/>
        <c:auto val="1"/>
        <c:lblAlgn val="ctr"/>
        <c:lblOffset val="100"/>
        <c:noMultiLvlLbl val="0"/>
      </c:catAx>
      <c:valAx>
        <c:axId val="138653056"/>
        <c:scaling>
          <c:logBase val="2"/>
          <c:orientation val="minMax"/>
          <c:max val="10"/>
          <c:min val="0.1"/>
        </c:scaling>
        <c:delete val="0"/>
        <c:axPos val="l"/>
        <c:majorGridlines/>
        <c:numFmt formatCode="#,##0.00" sourceLinked="0"/>
        <c:majorTickMark val="out"/>
        <c:minorTickMark val="none"/>
        <c:tickLblPos val="nextTo"/>
        <c:crossAx val="138651520"/>
        <c:crossesAt val="1"/>
        <c:crossBetween val="between"/>
        <c:majorUnit val="2.5"/>
      </c:valAx>
    </c:plotArea>
    <c:legend>
      <c:legendPos val="r"/>
      <c:layout>
        <c:manualLayout>
          <c:xMode val="edge"/>
          <c:yMode val="edge"/>
          <c:x val="0.90182110249571135"/>
          <c:y val="0.34220692674007591"/>
          <c:w val="9.5337289333710676E-2"/>
          <c:h val="0.3847092312607298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0385129051774"/>
          <c:y val="3.496212009305405E-2"/>
          <c:w val="0.76684317938405244"/>
          <c:h val="0.94914184391023704"/>
        </c:manualLayout>
      </c:layout>
      <c:barChart>
        <c:barDir val="col"/>
        <c:grouping val="clustered"/>
        <c:varyColors val="0"/>
        <c:ser>
          <c:idx val="8"/>
          <c:order val="0"/>
          <c:tx>
            <c:strRef>
              <c:f>'Sloupcový graf scénářů'!$C$2</c:f>
              <c:strCache>
                <c:ptCount val="1"/>
                <c:pt idx="0">
                  <c:v>SCÉNÁŘ 1</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scénářů'!$C$14:$C$23</c:f>
              <c:numCache>
                <c:formatCode>0.00</c:formatCode>
                <c:ptCount val="10"/>
                <c:pt idx="0">
                  <c:v>1.0863085595358155</c:v>
                </c:pt>
                <c:pt idx="1">
                  <c:v>1.3445458621847035</c:v>
                </c:pt>
                <c:pt idx="2">
                  <c:v>1.1464834437549782</c:v>
                </c:pt>
                <c:pt idx="3">
                  <c:v>0.81800663797550743</c:v>
                </c:pt>
                <c:pt idx="4">
                  <c:v>1.0905867073710267</c:v>
                </c:pt>
                <c:pt idx="5">
                  <c:v>0.182658356879772</c:v>
                </c:pt>
                <c:pt idx="6">
                  <c:v>1.1835073560705147</c:v>
                </c:pt>
                <c:pt idx="7">
                  <c:v>0.57031839929228489</c:v>
                </c:pt>
                <c:pt idx="8">
                  <c:v>0.32589622816701996</c:v>
                </c:pt>
                <c:pt idx="9">
                  <c:v>0.69252948485491728</c:v>
                </c:pt>
              </c:numCache>
            </c:numRef>
          </c:val>
          <c:extLst>
            <c:ext xmlns:c16="http://schemas.microsoft.com/office/drawing/2014/chart" uri="{C3380CC4-5D6E-409C-BE32-E72D297353CC}">
              <c16:uniqueId val="{00000000-13A1-43ED-AEAC-A21FFCCAAFB5}"/>
            </c:ext>
          </c:extLst>
        </c:ser>
        <c:ser>
          <c:idx val="9"/>
          <c:order val="1"/>
          <c:tx>
            <c:strRef>
              <c:f>'Sloupcový graf scénářů'!$D$2</c:f>
              <c:strCache>
                <c:ptCount val="1"/>
                <c:pt idx="0">
                  <c:v>SCÉNÁŘ 2                        (u ALE a CLA riz. 5 let)</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scénářů'!$D$14:$D$23</c:f>
              <c:numCache>
                <c:formatCode>0.00</c:formatCode>
                <c:ptCount val="10"/>
                <c:pt idx="0">
                  <c:v>1.0863085595358155</c:v>
                </c:pt>
                <c:pt idx="1">
                  <c:v>1.3445458621847035</c:v>
                </c:pt>
                <c:pt idx="2">
                  <c:v>1.1464834437549782</c:v>
                </c:pt>
                <c:pt idx="3">
                  <c:v>0.81800663797550743</c:v>
                </c:pt>
                <c:pt idx="4">
                  <c:v>1.0905867073710267</c:v>
                </c:pt>
                <c:pt idx="5">
                  <c:v>0.365316713759544</c:v>
                </c:pt>
                <c:pt idx="6">
                  <c:v>1.1835073560705147</c:v>
                </c:pt>
                <c:pt idx="7">
                  <c:v>1.4257959982307122</c:v>
                </c:pt>
                <c:pt idx="8">
                  <c:v>0.81474057041754988</c:v>
                </c:pt>
                <c:pt idx="9">
                  <c:v>1.7313237121372933</c:v>
                </c:pt>
              </c:numCache>
            </c:numRef>
          </c:val>
          <c:extLst>
            <c:ext xmlns:c16="http://schemas.microsoft.com/office/drawing/2014/chart" uri="{C3380CC4-5D6E-409C-BE32-E72D297353CC}">
              <c16:uniqueId val="{00000001-13A1-43ED-AEAC-A21FFCCAAFB5}"/>
            </c:ext>
          </c:extLst>
        </c:ser>
        <c:ser>
          <c:idx val="10"/>
          <c:order val="2"/>
          <c:tx>
            <c:strRef>
              <c:f>'Sloupcový graf scénářů'!$E$2</c:f>
              <c:strCache>
                <c:ptCount val="1"/>
                <c:pt idx="0">
                  <c:v> SCÉNÁŘ 3</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scénářů'!$E$14:$E$23</c:f>
              <c:numCache>
                <c:formatCode>0.00</c:formatCode>
                <c:ptCount val="10"/>
                <c:pt idx="0">
                  <c:v>1.0863085595358155</c:v>
                </c:pt>
                <c:pt idx="1">
                  <c:v>1.3445458621847035</c:v>
                </c:pt>
                <c:pt idx="2">
                  <c:v>1.1464834437549782</c:v>
                </c:pt>
                <c:pt idx="3">
                  <c:v>0.81800663797550743</c:v>
                </c:pt>
                <c:pt idx="4">
                  <c:v>1.0905867073710267</c:v>
                </c:pt>
                <c:pt idx="5">
                  <c:v>0.31192443456575336</c:v>
                </c:pt>
                <c:pt idx="6">
                  <c:v>1.1835073560705147</c:v>
                </c:pt>
                <c:pt idx="7">
                  <c:v>1.239822607157141</c:v>
                </c:pt>
                <c:pt idx="8">
                  <c:v>0.7084700612326521</c:v>
                </c:pt>
                <c:pt idx="9">
                  <c:v>1.5054988801193854</c:v>
                </c:pt>
              </c:numCache>
            </c:numRef>
          </c:val>
          <c:extLst>
            <c:ext xmlns:c16="http://schemas.microsoft.com/office/drawing/2014/chart" uri="{C3380CC4-5D6E-409C-BE32-E72D297353CC}">
              <c16:uniqueId val="{00000002-13A1-43ED-AEAC-A21FFCCAAFB5}"/>
            </c:ext>
          </c:extLst>
        </c:ser>
        <c:ser>
          <c:idx val="11"/>
          <c:order val="3"/>
          <c:tx>
            <c:strRef>
              <c:f>'Sloupcový graf scénářů'!$F$2</c:f>
              <c:strCache>
                <c:ptCount val="1"/>
                <c:pt idx="0">
                  <c:v> SCÉNÁŘ 4                      (waning pro eff. i NÚ)</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scénářů'!$F$14:$F$23</c:f>
              <c:numCache>
                <c:formatCode>0.00</c:formatCode>
                <c:ptCount val="10"/>
                <c:pt idx="0">
                  <c:v>1.1134662735242109</c:v>
                </c:pt>
                <c:pt idx="1">
                  <c:v>1.2396712849342966</c:v>
                </c:pt>
                <c:pt idx="2">
                  <c:v>1.2062999712552378</c:v>
                </c:pt>
                <c:pt idx="3">
                  <c:v>0.8606852451742294</c:v>
                </c:pt>
                <c:pt idx="4">
                  <c:v>1.103940830318427</c:v>
                </c:pt>
                <c:pt idx="5">
                  <c:v>0.4917396968448346</c:v>
                </c:pt>
                <c:pt idx="6">
                  <c:v>1.0059812526599377</c:v>
                </c:pt>
                <c:pt idx="7">
                  <c:v>1.098482829941227</c:v>
                </c:pt>
                <c:pt idx="8">
                  <c:v>0.62770447425212983</c:v>
                </c:pt>
                <c:pt idx="9">
                  <c:v>1.3338720077857755</c:v>
                </c:pt>
              </c:numCache>
            </c:numRef>
          </c:val>
          <c:extLst>
            <c:ext xmlns:c16="http://schemas.microsoft.com/office/drawing/2014/chart" uri="{C3380CC4-5D6E-409C-BE32-E72D297353CC}">
              <c16:uniqueId val="{00000003-13A1-43ED-AEAC-A21FFCCAAFB5}"/>
            </c:ext>
          </c:extLst>
        </c:ser>
        <c:ser>
          <c:idx val="12"/>
          <c:order val="4"/>
          <c:tx>
            <c:strRef>
              <c:f>'Sloupcový graf scénářů'!$G$2</c:f>
              <c:strCache>
                <c:ptCount val="1"/>
                <c:pt idx="0">
                  <c:v>SCÉNÁŘ 5                        (2letý hor.)</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scénářů'!$G$14:$G$23</c:f>
              <c:numCache>
                <c:formatCode>0.00</c:formatCode>
                <c:ptCount val="10"/>
                <c:pt idx="0">
                  <c:v>1.0863085595358155</c:v>
                </c:pt>
                <c:pt idx="1">
                  <c:v>1.3445458621847035</c:v>
                </c:pt>
                <c:pt idx="2">
                  <c:v>1.1464834437549782</c:v>
                </c:pt>
                <c:pt idx="3">
                  <c:v>0.81800663797550743</c:v>
                </c:pt>
                <c:pt idx="4">
                  <c:v>1.0905867073710267</c:v>
                </c:pt>
                <c:pt idx="5">
                  <c:v>0.78391705361314512</c:v>
                </c:pt>
                <c:pt idx="6">
                  <c:v>1.1835073560705147</c:v>
                </c:pt>
                <c:pt idx="7">
                  <c:v>2.479645214314282</c:v>
                </c:pt>
                <c:pt idx="8">
                  <c:v>1.4169401224653042</c:v>
                </c:pt>
                <c:pt idx="9">
                  <c:v>3.0109977602387707</c:v>
                </c:pt>
              </c:numCache>
            </c:numRef>
          </c:val>
          <c:extLst>
            <c:ext xmlns:c16="http://schemas.microsoft.com/office/drawing/2014/chart" uri="{C3380CC4-5D6E-409C-BE32-E72D297353CC}">
              <c16:uniqueId val="{00000004-13A1-43ED-AEAC-A21FFCCAAFB5}"/>
            </c:ext>
          </c:extLst>
        </c:ser>
        <c:ser>
          <c:idx val="13"/>
          <c:order val="5"/>
          <c:tx>
            <c:strRef>
              <c:f>'Sloupcový graf scénářů'!$H$2</c:f>
              <c:strCache>
                <c:ptCount val="1"/>
                <c:pt idx="0">
                  <c:v>SCÉNÁŘ 6                                       (CUA)</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scénářů'!$H$14:$H$23</c:f>
              <c:numCache>
                <c:formatCode>0.00</c:formatCode>
                <c:ptCount val="10"/>
                <c:pt idx="0">
                  <c:v>1.039493062019156</c:v>
                </c:pt>
                <c:pt idx="1">
                  <c:v>0</c:v>
                </c:pt>
                <c:pt idx="2">
                  <c:v>0</c:v>
                </c:pt>
                <c:pt idx="3">
                  <c:v>0.91476011128443846</c:v>
                </c:pt>
                <c:pt idx="4">
                  <c:v>1.0216138016391199</c:v>
                </c:pt>
                <c:pt idx="5">
                  <c:v>0.80889765756795828</c:v>
                </c:pt>
                <c:pt idx="6">
                  <c:v>1.08322884015346</c:v>
                </c:pt>
                <c:pt idx="7">
                  <c:v>0.89669328754442512</c:v>
                </c:pt>
                <c:pt idx="8">
                  <c:v>0.51239616431110013</c:v>
                </c:pt>
                <c:pt idx="9">
                  <c:v>1.0888418491610876</c:v>
                </c:pt>
              </c:numCache>
            </c:numRef>
          </c:val>
          <c:extLst>
            <c:ext xmlns:c16="http://schemas.microsoft.com/office/drawing/2014/chart" uri="{C3380CC4-5D6E-409C-BE32-E72D297353CC}">
              <c16:uniqueId val="{00000005-13A1-43ED-AEAC-A21FFCCAAFB5}"/>
            </c:ext>
          </c:extLst>
        </c:ser>
        <c:ser>
          <c:idx val="14"/>
          <c:order val="6"/>
          <c:tx>
            <c:strRef>
              <c:f>'Sloupcový graf scénářů'!$I$2</c:f>
              <c:strCache>
                <c:ptCount val="1"/>
                <c:pt idx="0">
                  <c:v> SCÉNÁŘ 7                                        (CUA)</c:v>
                </c:pt>
              </c:strCache>
            </c:strRef>
          </c:tx>
          <c:invertIfNegative val="0"/>
          <c:cat>
            <c:strRef>
              <c:f>'Sloupcový graf scénářů'!$B$14:$B$23</c:f>
              <c:strCache>
                <c:ptCount val="10"/>
                <c:pt idx="0">
                  <c:v>GILENYA 0,5 mg</c:v>
                </c:pt>
                <c:pt idx="1">
                  <c:v>MAYZENT 2 mg</c:v>
                </c:pt>
                <c:pt idx="2">
                  <c:v>TYSABRI 150 mg inj</c:v>
                </c:pt>
                <c:pt idx="3">
                  <c:v>TYSABRI 300 mg inf</c:v>
                </c:pt>
                <c:pt idx="4">
                  <c:v>OCREVUS 300 mg</c:v>
                </c:pt>
                <c:pt idx="5">
                  <c:v>LEMTRADA 12 mg</c:v>
                </c:pt>
                <c:pt idx="6">
                  <c:v>KESIMPTA 20 mg</c:v>
                </c:pt>
                <c:pt idx="7">
                  <c:v>MAVENCLAD 10 mg
pac. s hmt. 70-79 kg</c:v>
                </c:pt>
                <c:pt idx="8">
                  <c:v>MAVENCLAD 10 mg
pac. s hmt. 40-49 kg</c:v>
                </c:pt>
                <c:pt idx="9">
                  <c:v>MAVENCLAD 10 mg
pac. s hmt. 90-99 kg</c:v>
                </c:pt>
              </c:strCache>
            </c:strRef>
          </c:cat>
          <c:val>
            <c:numRef>
              <c:f>'Sloupcový graf scénářů'!$I$14:$I$23</c:f>
              <c:numCache>
                <c:formatCode>0.00</c:formatCode>
                <c:ptCount val="10"/>
                <c:pt idx="0">
                  <c:v>1.0307840900458862</c:v>
                </c:pt>
                <c:pt idx="1">
                  <c:v>0</c:v>
                </c:pt>
                <c:pt idx="2">
                  <c:v>0</c:v>
                </c:pt>
                <c:pt idx="3">
                  <c:v>0.97139049624329366</c:v>
                </c:pt>
                <c:pt idx="4">
                  <c:v>1.163309839019268</c:v>
                </c:pt>
                <c:pt idx="5">
                  <c:v>0.87097466744557184</c:v>
                </c:pt>
                <c:pt idx="6">
                  <c:v>1.1991070113660554</c:v>
                </c:pt>
                <c:pt idx="7">
                  <c:v>0.99101586337308145</c:v>
                </c:pt>
                <c:pt idx="8">
                  <c:v>0.56629477907033232</c:v>
                </c:pt>
                <c:pt idx="9">
                  <c:v>1.203376405524456</c:v>
                </c:pt>
              </c:numCache>
            </c:numRef>
          </c:val>
          <c:extLst>
            <c:ext xmlns:c16="http://schemas.microsoft.com/office/drawing/2014/chart" uri="{C3380CC4-5D6E-409C-BE32-E72D297353CC}">
              <c16:uniqueId val="{00000006-13A1-43ED-AEAC-A21FFCCAAFB5}"/>
            </c:ext>
          </c:extLst>
        </c:ser>
        <c:ser>
          <c:idx val="0"/>
          <c:order val="7"/>
          <c:tx>
            <c:strRef>
              <c:f>'Sloupcový graf scénářů'!$J$2</c:f>
              <c:strCache>
                <c:ptCount val="1"/>
                <c:pt idx="0">
                  <c:v>COST-EFFECT                 (jen ARR)</c:v>
                </c:pt>
              </c:strCache>
            </c:strRef>
          </c:tx>
          <c:invertIfNegative val="0"/>
          <c:val>
            <c:numRef>
              <c:f>'Sloupcový graf scénářů'!$J$14:$J$23</c:f>
              <c:numCache>
                <c:formatCode>0.00</c:formatCode>
                <c:ptCount val="10"/>
                <c:pt idx="0">
                  <c:v>0.93241484693490839</c:v>
                </c:pt>
                <c:pt idx="1">
                  <c:v>0.94410917987126852</c:v>
                </c:pt>
                <c:pt idx="2">
                  <c:v>0.90123568100391338</c:v>
                </c:pt>
                <c:pt idx="3">
                  <c:v>0.64302434846074663</c:v>
                </c:pt>
                <c:pt idx="4">
                  <c:v>0.85972730691784371</c:v>
                </c:pt>
                <c:pt idx="5">
                  <c:v>0.67417155941784357</c:v>
                </c:pt>
                <c:pt idx="6">
                  <c:v>0.76610967245636008</c:v>
                </c:pt>
                <c:pt idx="7">
                  <c:v>0.87330128873891844</c:v>
                </c:pt>
                <c:pt idx="8">
                  <c:v>0.49902930785081057</c:v>
                </c:pt>
                <c:pt idx="9">
                  <c:v>1.0604372791829724</c:v>
                </c:pt>
              </c:numCache>
            </c:numRef>
          </c:val>
          <c:extLst>
            <c:ext xmlns:c16="http://schemas.microsoft.com/office/drawing/2014/chart" uri="{C3380CC4-5D6E-409C-BE32-E72D297353CC}">
              <c16:uniqueId val="{00000000-9954-4EE4-B444-BE5CA1286A2E}"/>
            </c:ext>
          </c:extLst>
        </c:ser>
        <c:dLbls>
          <c:showLegendKey val="0"/>
          <c:showVal val="0"/>
          <c:showCatName val="0"/>
          <c:showSerName val="0"/>
          <c:showPercent val="0"/>
          <c:showBubbleSize val="0"/>
        </c:dLbls>
        <c:gapWidth val="150"/>
        <c:axId val="139594752"/>
        <c:axId val="139600640"/>
      </c:barChart>
      <c:catAx>
        <c:axId val="139594752"/>
        <c:scaling>
          <c:orientation val="minMax"/>
        </c:scaling>
        <c:delete val="0"/>
        <c:axPos val="b"/>
        <c:numFmt formatCode="General" sourceLinked="0"/>
        <c:majorTickMark val="out"/>
        <c:minorTickMark val="none"/>
        <c:tickLblPos val="nextTo"/>
        <c:crossAx val="139600640"/>
        <c:crossesAt val="1"/>
        <c:auto val="1"/>
        <c:lblAlgn val="ctr"/>
        <c:lblOffset val="100"/>
        <c:noMultiLvlLbl val="0"/>
      </c:catAx>
      <c:valAx>
        <c:axId val="139600640"/>
        <c:scaling>
          <c:logBase val="2"/>
          <c:orientation val="minMax"/>
          <c:max val="10"/>
          <c:min val="0.1"/>
        </c:scaling>
        <c:delete val="0"/>
        <c:axPos val="l"/>
        <c:majorGridlines/>
        <c:numFmt formatCode="0.00" sourceLinked="1"/>
        <c:majorTickMark val="out"/>
        <c:minorTickMark val="none"/>
        <c:tickLblPos val="nextTo"/>
        <c:crossAx val="139594752"/>
        <c:crossesAt val="1"/>
        <c:crossBetween val="between"/>
        <c:majorUnit val="2.5"/>
      </c:valAx>
    </c:plotArea>
    <c:legend>
      <c:legendPos val="r"/>
      <c:layout>
        <c:manualLayout>
          <c:xMode val="edge"/>
          <c:yMode val="edge"/>
          <c:x val="0.89350553091787821"/>
          <c:y val="0.28995570766605078"/>
          <c:w val="0.10074716355251441"/>
          <c:h val="0.4778117905329397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10</xdr:col>
      <xdr:colOff>182172</xdr:colOff>
      <xdr:row>1</xdr:row>
      <xdr:rowOff>11906</xdr:rowOff>
    </xdr:from>
    <xdr:to>
      <xdr:col>32</xdr:col>
      <xdr:colOff>416718</xdr:colOff>
      <xdr:row>16</xdr:row>
      <xdr:rowOff>196704</xdr:rowOff>
    </xdr:to>
    <xdr:graphicFrame macro="">
      <xdr:nvGraphicFramePr>
        <xdr:cNvPr id="2" name="Graf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112359</xdr:colOff>
      <xdr:row>18</xdr:row>
      <xdr:rowOff>53629</xdr:rowOff>
    </xdr:from>
    <xdr:to>
      <xdr:col>32</xdr:col>
      <xdr:colOff>488156</xdr:colOff>
      <xdr:row>41</xdr:row>
      <xdr:rowOff>23814</xdr:rowOff>
    </xdr:to>
    <xdr:graphicFrame macro="">
      <xdr:nvGraphicFramePr>
        <xdr:cNvPr id="4" name="Graf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309562</xdr:colOff>
      <xdr:row>29</xdr:row>
      <xdr:rowOff>47625</xdr:rowOff>
    </xdr:from>
    <xdr:to>
      <xdr:col>30</xdr:col>
      <xdr:colOff>83344</xdr:colOff>
      <xdr:row>29</xdr:row>
      <xdr:rowOff>95250</xdr:rowOff>
    </xdr:to>
    <xdr:cxnSp macro="">
      <xdr:nvCxnSpPr>
        <xdr:cNvPr id="6" name="Přímá spojovací čára 5">
          <a:extLst>
            <a:ext uri="{FF2B5EF4-FFF2-40B4-BE49-F238E27FC236}">
              <a16:creationId xmlns:a16="http://schemas.microsoft.com/office/drawing/2014/main" id="{00000000-0008-0000-0100-000006000000}"/>
            </a:ext>
          </a:extLst>
        </xdr:cNvPr>
        <xdr:cNvCxnSpPr/>
      </xdr:nvCxnSpPr>
      <xdr:spPr>
        <a:xfrm>
          <a:off x="11060906" y="9584531"/>
          <a:ext cx="10703719" cy="47625"/>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333375</xdr:colOff>
      <xdr:row>26</xdr:row>
      <xdr:rowOff>71437</xdr:rowOff>
    </xdr:from>
    <xdr:to>
      <xdr:col>30</xdr:col>
      <xdr:colOff>71438</xdr:colOff>
      <xdr:row>26</xdr:row>
      <xdr:rowOff>71438</xdr:rowOff>
    </xdr:to>
    <xdr:cxnSp macro="">
      <xdr:nvCxnSpPr>
        <xdr:cNvPr id="10" name="Přímá spojovací čára 9">
          <a:extLst>
            <a:ext uri="{FF2B5EF4-FFF2-40B4-BE49-F238E27FC236}">
              <a16:creationId xmlns:a16="http://schemas.microsoft.com/office/drawing/2014/main" id="{00000000-0008-0000-0100-00000A000000}"/>
            </a:ext>
          </a:extLst>
        </xdr:cNvPr>
        <xdr:cNvCxnSpPr/>
      </xdr:nvCxnSpPr>
      <xdr:spPr>
        <a:xfrm flipV="1">
          <a:off x="11084719" y="9036843"/>
          <a:ext cx="10668000" cy="1"/>
        </a:xfrm>
        <a:prstGeom prst="line">
          <a:avLst/>
        </a:prstGeom>
        <a:ln w="1905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23813</xdr:colOff>
      <xdr:row>26</xdr:row>
      <xdr:rowOff>71438</xdr:rowOff>
    </xdr:from>
    <xdr:to>
      <xdr:col>30</xdr:col>
      <xdr:colOff>35719</xdr:colOff>
      <xdr:row>29</xdr:row>
      <xdr:rowOff>59532</xdr:rowOff>
    </xdr:to>
    <xdr:cxnSp macro="">
      <xdr:nvCxnSpPr>
        <xdr:cNvPr id="14" name="Přímá spojovací šipka 13">
          <a:extLst>
            <a:ext uri="{FF2B5EF4-FFF2-40B4-BE49-F238E27FC236}">
              <a16:creationId xmlns:a16="http://schemas.microsoft.com/office/drawing/2014/main" id="{00000000-0008-0000-0100-00000E000000}"/>
            </a:ext>
          </a:extLst>
        </xdr:cNvPr>
        <xdr:cNvCxnSpPr/>
      </xdr:nvCxnSpPr>
      <xdr:spPr>
        <a:xfrm>
          <a:off x="21705094" y="9036844"/>
          <a:ext cx="11906" cy="559594"/>
        </a:xfrm>
        <a:prstGeom prst="straightConnector1">
          <a:avLst/>
        </a:prstGeom>
        <a:ln w="25400">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464344</xdr:colOff>
      <xdr:row>19</xdr:row>
      <xdr:rowOff>285750</xdr:rowOff>
    </xdr:from>
    <xdr:to>
      <xdr:col>29</xdr:col>
      <xdr:colOff>59532</xdr:colOff>
      <xdr:row>21</xdr:row>
      <xdr:rowOff>107156</xdr:rowOff>
    </xdr:to>
    <xdr:sp macro="" textlink="">
      <xdr:nvSpPr>
        <xdr:cNvPr id="16" name="TextovéPole 15">
          <a:extLst>
            <a:ext uri="{FF2B5EF4-FFF2-40B4-BE49-F238E27FC236}">
              <a16:creationId xmlns:a16="http://schemas.microsoft.com/office/drawing/2014/main" id="{00000000-0008-0000-0100-000010000000}"/>
            </a:ext>
          </a:extLst>
        </xdr:cNvPr>
        <xdr:cNvSpPr txBox="1"/>
      </xdr:nvSpPr>
      <xdr:spPr>
        <a:xfrm>
          <a:off x="11822907" y="7131844"/>
          <a:ext cx="9310688" cy="559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cs-CZ" sz="1100"/>
            <a:t>(přerušované</a:t>
          </a:r>
          <a:r>
            <a:rPr lang="cs-CZ" sz="1100" baseline="0"/>
            <a:t> čáry značí průměrnou diferenci mezních hodnot ze všech přípravků od  jejich průměrů  (+/- 28% ) z nákladové utility  scénáře 6  vztažené  k   DMF)</a:t>
          </a:r>
        </a:p>
        <a:p>
          <a:pPr marL="0" marR="0" lvl="0" indent="0" defTabSz="914400" eaLnBrk="1" fontAlgn="auto" latinLnBrk="0" hangingPunct="1">
            <a:lnSpc>
              <a:spcPct val="100000"/>
            </a:lnSpc>
            <a:spcBef>
              <a:spcPts val="0"/>
            </a:spcBef>
            <a:spcAft>
              <a:spcPts val="0"/>
            </a:spcAft>
            <a:buClrTx/>
            <a:buSzTx/>
            <a:buFontTx/>
            <a:buNone/>
            <a:tabLst/>
            <a:defRPr/>
          </a:pPr>
          <a:r>
            <a:rPr lang="cs-CZ" sz="1100" baseline="0">
              <a:solidFill>
                <a:schemeClr val="dk1"/>
              </a:solidFill>
              <a:effectLst/>
              <a:latin typeface="+mn-lt"/>
              <a:ea typeface="+mn-ea"/>
              <a:cs typeface="+mn-cs"/>
            </a:rPr>
            <a:t>                                 - </a:t>
          </a:r>
          <a:r>
            <a:rPr lang="cs-CZ" sz="1100" u="sng" baseline="0">
              <a:solidFill>
                <a:schemeClr val="dk1"/>
              </a:solidFill>
              <a:effectLst/>
              <a:latin typeface="+mn-lt"/>
              <a:ea typeface="+mn-ea"/>
              <a:cs typeface="+mn-cs"/>
            </a:rPr>
            <a:t>všechny scénáře jsou z 5ti letého časového horizontu zprůměrovány na 1 rok, kromě scénáře č. 5, který je z 2 letého!</a:t>
          </a:r>
          <a:endParaRPr lang="cs-CZ">
            <a:effectLst/>
          </a:endParaRPr>
        </a:p>
        <a:p>
          <a:endParaRPr lang="cs-CZ" sz="1100"/>
        </a:p>
      </xdr:txBody>
    </xdr:sp>
    <xdr:clientData/>
  </xdr:twoCellAnchor>
  <xdr:twoCellAnchor>
    <xdr:from>
      <xdr:col>10</xdr:col>
      <xdr:colOff>202407</xdr:colOff>
      <xdr:row>7</xdr:row>
      <xdr:rowOff>71438</xdr:rowOff>
    </xdr:from>
    <xdr:to>
      <xdr:col>11</xdr:col>
      <xdr:colOff>107156</xdr:colOff>
      <xdr:row>13</xdr:row>
      <xdr:rowOff>0</xdr:rowOff>
    </xdr:to>
    <xdr:sp macro="" textlink="">
      <xdr:nvSpPr>
        <xdr:cNvPr id="3" name="TextovéPole 2">
          <a:extLst>
            <a:ext uri="{FF2B5EF4-FFF2-40B4-BE49-F238E27FC236}">
              <a16:creationId xmlns:a16="http://schemas.microsoft.com/office/drawing/2014/main" id="{00000000-0008-0000-0100-000003000000}"/>
            </a:ext>
          </a:extLst>
        </xdr:cNvPr>
        <xdr:cNvSpPr txBox="1"/>
      </xdr:nvSpPr>
      <xdr:spPr>
        <a:xfrm>
          <a:off x="9739313" y="2917032"/>
          <a:ext cx="511968" cy="1928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pPr algn="ctr"/>
          <a:r>
            <a:rPr lang="cs-CZ" sz="1000" b="1">
              <a:solidFill>
                <a:schemeClr val="tx1"/>
              </a:solidFill>
            </a:rPr>
            <a:t>nákladově efektivnější/ akcetabil.</a:t>
          </a:r>
        </a:p>
        <a:p>
          <a:pPr algn="ctr"/>
          <a:r>
            <a:rPr lang="cs-CZ" sz="1000" b="1">
              <a:solidFill>
                <a:schemeClr val="tx1"/>
              </a:solidFill>
            </a:rPr>
            <a:t>/utilitnější než TECFIDERA (DMF)</a:t>
          </a:r>
        </a:p>
      </xdr:txBody>
    </xdr:sp>
    <xdr:clientData/>
  </xdr:twoCellAnchor>
  <xdr:twoCellAnchor>
    <xdr:from>
      <xdr:col>11</xdr:col>
      <xdr:colOff>59531</xdr:colOff>
      <xdr:row>7</xdr:row>
      <xdr:rowOff>250031</xdr:rowOff>
    </xdr:from>
    <xdr:to>
      <xdr:col>11</xdr:col>
      <xdr:colOff>130968</xdr:colOff>
      <xdr:row>9</xdr:row>
      <xdr:rowOff>95250</xdr:rowOff>
    </xdr:to>
    <xdr:sp macro="" textlink="">
      <xdr:nvSpPr>
        <xdr:cNvPr id="5" name="Šipka: dolů 4">
          <a:extLst>
            <a:ext uri="{FF2B5EF4-FFF2-40B4-BE49-F238E27FC236}">
              <a16:creationId xmlns:a16="http://schemas.microsoft.com/office/drawing/2014/main" id="{00000000-0008-0000-0100-000005000000}"/>
            </a:ext>
          </a:extLst>
        </xdr:cNvPr>
        <xdr:cNvSpPr/>
      </xdr:nvSpPr>
      <xdr:spPr>
        <a:xfrm>
          <a:off x="10203656" y="3095625"/>
          <a:ext cx="71437" cy="511969"/>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11</xdr:col>
      <xdr:colOff>11906</xdr:colOff>
      <xdr:row>28</xdr:row>
      <xdr:rowOff>59532</xdr:rowOff>
    </xdr:from>
    <xdr:to>
      <xdr:col>11</xdr:col>
      <xdr:colOff>59530</xdr:colOff>
      <xdr:row>31</xdr:row>
      <xdr:rowOff>1</xdr:rowOff>
    </xdr:to>
    <xdr:sp macro="" textlink="">
      <xdr:nvSpPr>
        <xdr:cNvPr id="15" name="Šipka: dolů 14">
          <a:extLst>
            <a:ext uri="{FF2B5EF4-FFF2-40B4-BE49-F238E27FC236}">
              <a16:creationId xmlns:a16="http://schemas.microsoft.com/office/drawing/2014/main" id="{00000000-0008-0000-0100-00000F000000}"/>
            </a:ext>
          </a:extLst>
        </xdr:cNvPr>
        <xdr:cNvSpPr/>
      </xdr:nvSpPr>
      <xdr:spPr>
        <a:xfrm>
          <a:off x="10156031" y="9405938"/>
          <a:ext cx="47624" cy="511969"/>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498229</xdr:colOff>
      <xdr:row>6</xdr:row>
      <xdr:rowOff>238125</xdr:rowOff>
    </xdr:from>
    <xdr:to>
      <xdr:col>14</xdr:col>
      <xdr:colOff>293076</xdr:colOff>
      <xdr:row>9</xdr:row>
      <xdr:rowOff>232821</xdr:rowOff>
    </xdr:to>
    <xdr:sp macro="" textlink="">
      <xdr:nvSpPr>
        <xdr:cNvPr id="17" name="Ovál 16">
          <a:extLst>
            <a:ext uri="{FF2B5EF4-FFF2-40B4-BE49-F238E27FC236}">
              <a16:creationId xmlns:a16="http://schemas.microsoft.com/office/drawing/2014/main" id="{00000000-0008-0000-0100-000011000000}"/>
            </a:ext>
          </a:extLst>
        </xdr:cNvPr>
        <xdr:cNvSpPr/>
      </xdr:nvSpPr>
      <xdr:spPr>
        <a:xfrm flipH="1">
          <a:off x="11683998" y="2406894"/>
          <a:ext cx="1006232" cy="991158"/>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24</xdr:col>
      <xdr:colOff>452435</xdr:colOff>
      <xdr:row>21</xdr:row>
      <xdr:rowOff>392906</xdr:rowOff>
    </xdr:from>
    <xdr:to>
      <xdr:col>28</xdr:col>
      <xdr:colOff>119062</xdr:colOff>
      <xdr:row>39</xdr:row>
      <xdr:rowOff>130969</xdr:rowOff>
    </xdr:to>
    <xdr:sp macro="" textlink="">
      <xdr:nvSpPr>
        <xdr:cNvPr id="18" name="Ovál 17">
          <a:extLst>
            <a:ext uri="{FF2B5EF4-FFF2-40B4-BE49-F238E27FC236}">
              <a16:creationId xmlns:a16="http://schemas.microsoft.com/office/drawing/2014/main" id="{00000000-0008-0000-0100-000012000000}"/>
            </a:ext>
          </a:extLst>
        </xdr:cNvPr>
        <xdr:cNvSpPr/>
      </xdr:nvSpPr>
      <xdr:spPr>
        <a:xfrm flipH="1">
          <a:off x="18490404" y="7977187"/>
          <a:ext cx="2095502" cy="3595688"/>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20</xdr:col>
      <xdr:colOff>500060</xdr:colOff>
      <xdr:row>26</xdr:row>
      <xdr:rowOff>119063</xdr:rowOff>
    </xdr:from>
    <xdr:to>
      <xdr:col>23</xdr:col>
      <xdr:colOff>297655</xdr:colOff>
      <xdr:row>39</xdr:row>
      <xdr:rowOff>47625</xdr:rowOff>
    </xdr:to>
    <xdr:sp macro="" textlink="">
      <xdr:nvSpPr>
        <xdr:cNvPr id="19" name="Ovál 18">
          <a:extLst>
            <a:ext uri="{FF2B5EF4-FFF2-40B4-BE49-F238E27FC236}">
              <a16:creationId xmlns:a16="http://schemas.microsoft.com/office/drawing/2014/main" id="{00000000-0008-0000-0100-000013000000}"/>
            </a:ext>
          </a:extLst>
        </xdr:cNvPr>
        <xdr:cNvSpPr/>
      </xdr:nvSpPr>
      <xdr:spPr>
        <a:xfrm flipH="1">
          <a:off x="16109154" y="9084469"/>
          <a:ext cx="1619251" cy="2405062"/>
        </a:xfrm>
        <a:prstGeom prst="ellipse">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twoCellAnchor>
    <xdr:from>
      <xdr:col>28</xdr:col>
      <xdr:colOff>205153</xdr:colOff>
      <xdr:row>6</xdr:row>
      <xdr:rowOff>238125</xdr:rowOff>
    </xdr:from>
    <xdr:to>
      <xdr:col>30</xdr:col>
      <xdr:colOff>97692</xdr:colOff>
      <xdr:row>10</xdr:row>
      <xdr:rowOff>142874</xdr:rowOff>
    </xdr:to>
    <xdr:sp macro="" textlink="">
      <xdr:nvSpPr>
        <xdr:cNvPr id="20" name="Ovál 19">
          <a:extLst>
            <a:ext uri="{FF2B5EF4-FFF2-40B4-BE49-F238E27FC236}">
              <a16:creationId xmlns:a16="http://schemas.microsoft.com/office/drawing/2014/main" id="{00000000-0008-0000-0100-000014000000}"/>
            </a:ext>
          </a:extLst>
        </xdr:cNvPr>
        <xdr:cNvSpPr/>
      </xdr:nvSpPr>
      <xdr:spPr>
        <a:xfrm flipH="1">
          <a:off x="21081999" y="2406894"/>
          <a:ext cx="1103924" cy="1233365"/>
        </a:xfrm>
        <a:prstGeom prst="ellipse">
          <a:avLst/>
        </a:prstGeom>
        <a:noFill/>
        <a:ln w="571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cs-CZ"/>
        </a:p>
      </xdr:txBody>
    </xdr:sp>
    <xdr:clientData/>
  </xdr:twoCellAnchor>
</xdr:wsDr>
</file>

<file path=xl/drawings/drawing2.xml><?xml version="1.0" encoding="utf-8"?>
<c:userShapes xmlns:c="http://schemas.openxmlformats.org/drawingml/2006/chart">
  <cdr:relSizeAnchor xmlns:cdr="http://schemas.openxmlformats.org/drawingml/2006/chartDrawing">
    <cdr:from>
      <cdr:x>0.04651</cdr:x>
      <cdr:y>0.43674</cdr:y>
    </cdr:from>
    <cdr:to>
      <cdr:x>0.10884</cdr:x>
      <cdr:y>0.54943</cdr:y>
    </cdr:to>
    <cdr:sp macro="" textlink="">
      <cdr:nvSpPr>
        <cdr:cNvPr id="3" name="TextovéPole 2"/>
        <cdr:cNvSpPr txBox="1"/>
      </cdr:nvSpPr>
      <cdr:spPr>
        <a:xfrm xmlns:a="http://schemas.openxmlformats.org/drawingml/2006/main">
          <a:off x="618395" y="2602664"/>
          <a:ext cx="828722" cy="6715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1100" b="1"/>
            <a:t>     </a:t>
          </a:r>
          <a:r>
            <a:rPr lang="cs-CZ" sz="1000" b="1"/>
            <a:t>RR  1,00 </a:t>
          </a:r>
        </a:p>
        <a:p xmlns:a="http://schemas.openxmlformats.org/drawingml/2006/main">
          <a:r>
            <a:rPr lang="cs-CZ" sz="1000" b="1"/>
            <a:t>     pro DMF ----</a:t>
          </a:r>
        </a:p>
        <a:p xmlns:a="http://schemas.openxmlformats.org/drawingml/2006/main">
          <a:r>
            <a:rPr lang="cs-CZ" sz="1000" b="1"/>
            <a:t> jako kompar.</a:t>
          </a:r>
          <a:endParaRPr lang="cs-CZ" sz="1100"/>
        </a:p>
      </cdr:txBody>
    </cdr:sp>
  </cdr:relSizeAnchor>
  <cdr:relSizeAnchor xmlns:cdr="http://schemas.openxmlformats.org/drawingml/2006/chartDrawing">
    <cdr:from>
      <cdr:x>0.11077</cdr:x>
      <cdr:y>0.43954</cdr:y>
    </cdr:from>
    <cdr:to>
      <cdr:x>0.89402</cdr:x>
      <cdr:y>0.44354</cdr:y>
    </cdr:to>
    <cdr:cxnSp macro="">
      <cdr:nvCxnSpPr>
        <cdr:cNvPr id="6" name="Přímá spojovací čára 5">
          <a:extLst xmlns:a="http://schemas.openxmlformats.org/drawingml/2006/main">
            <a:ext uri="{FF2B5EF4-FFF2-40B4-BE49-F238E27FC236}">
              <a16:creationId xmlns:a16="http://schemas.microsoft.com/office/drawing/2014/main" id="{3C97E087-6BB7-487D-A274-78422B87DFDF}"/>
            </a:ext>
          </a:extLst>
        </cdr:cNvPr>
        <cdr:cNvCxnSpPr/>
      </cdr:nvCxnSpPr>
      <cdr:spPr>
        <a:xfrm xmlns:a="http://schemas.openxmlformats.org/drawingml/2006/main" flipV="1">
          <a:off x="1505769" y="2619375"/>
          <a:ext cx="10646934" cy="23812"/>
        </a:xfrm>
        <a:prstGeom xmlns:a="http://schemas.openxmlformats.org/drawingml/2006/main" prst="line">
          <a:avLst/>
        </a:prstGeom>
        <a:noFill xmlns:a="http://schemas.openxmlformats.org/drawingml/2006/main"/>
        <a:ln xmlns:a="http://schemas.openxmlformats.org/drawingml/2006/main" w="19050" cap="flat" cmpd="sng" algn="ctr">
          <a:solidFill>
            <a:srgbClr val="4F81BD">
              <a:shade val="95000"/>
              <a:satMod val="105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0.10988</cdr:x>
      <cdr:y>0.54943</cdr:y>
    </cdr:from>
    <cdr:to>
      <cdr:x>0.89752</cdr:x>
      <cdr:y>0.55143</cdr:y>
    </cdr:to>
    <cdr:cxnSp macro="">
      <cdr:nvCxnSpPr>
        <cdr:cNvPr id="7" name="Přímá spojovací čára 6">
          <a:extLst xmlns:a="http://schemas.openxmlformats.org/drawingml/2006/main">
            <a:ext uri="{FF2B5EF4-FFF2-40B4-BE49-F238E27FC236}">
              <a16:creationId xmlns:a16="http://schemas.microsoft.com/office/drawing/2014/main" id="{EBDCD171-4033-43F5-9FB0-0DC5EE3AC855}"/>
            </a:ext>
          </a:extLst>
        </cdr:cNvPr>
        <cdr:cNvCxnSpPr/>
      </cdr:nvCxnSpPr>
      <cdr:spPr>
        <a:xfrm xmlns:a="http://schemas.openxmlformats.org/drawingml/2006/main" flipV="1">
          <a:off x="1493597" y="3274218"/>
          <a:ext cx="10706731" cy="11907"/>
        </a:xfrm>
        <a:prstGeom xmlns:a="http://schemas.openxmlformats.org/drawingml/2006/main" prst="line">
          <a:avLst/>
        </a:prstGeom>
        <a:noFill xmlns:a="http://schemas.openxmlformats.org/drawingml/2006/main"/>
        <a:ln xmlns:a="http://schemas.openxmlformats.org/drawingml/2006/main" w="19050" cap="flat" cmpd="sng" algn="ctr">
          <a:solidFill>
            <a:srgbClr val="4F81BD">
              <a:shade val="95000"/>
              <a:satMod val="105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0.89225</cdr:x>
      <cdr:y>0.43468</cdr:y>
    </cdr:from>
    <cdr:to>
      <cdr:x>0.89314</cdr:x>
      <cdr:y>0.55291</cdr:y>
    </cdr:to>
    <cdr:cxnSp macro="">
      <cdr:nvCxnSpPr>
        <cdr:cNvPr id="9" name="Přímá spojovací šipka 8">
          <a:extLst xmlns:a="http://schemas.openxmlformats.org/drawingml/2006/main">
            <a:ext uri="{FF2B5EF4-FFF2-40B4-BE49-F238E27FC236}">
              <a16:creationId xmlns:a16="http://schemas.microsoft.com/office/drawing/2014/main" id="{307D6409-41A8-4EA9-8578-C1A63DA42726}"/>
            </a:ext>
          </a:extLst>
        </cdr:cNvPr>
        <cdr:cNvCxnSpPr/>
      </cdr:nvCxnSpPr>
      <cdr:spPr>
        <a:xfrm xmlns:a="http://schemas.openxmlformats.org/drawingml/2006/main">
          <a:off x="12128680" y="2590389"/>
          <a:ext cx="12099" cy="704572"/>
        </a:xfrm>
        <a:prstGeom xmlns:a="http://schemas.openxmlformats.org/drawingml/2006/main" prst="straightConnector1">
          <a:avLst/>
        </a:prstGeom>
        <a:noFill xmlns:a="http://schemas.openxmlformats.org/drawingml/2006/main"/>
        <a:ln xmlns:a="http://schemas.openxmlformats.org/drawingml/2006/main" w="25400" cap="flat" cmpd="sng" algn="ctr">
          <a:solidFill>
            <a:srgbClr val="4F81BD">
              <a:shade val="95000"/>
              <a:satMod val="105000"/>
            </a:srgbClr>
          </a:solidFill>
          <a:prstDash val="solid"/>
          <a:headEnd type="arrow"/>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0.18895</cdr:x>
      <cdr:y>0.08975</cdr:y>
    </cdr:from>
    <cdr:to>
      <cdr:x>0.88922</cdr:x>
      <cdr:y>0.16018</cdr:y>
    </cdr:to>
    <cdr:sp macro="" textlink="">
      <cdr:nvSpPr>
        <cdr:cNvPr id="10" name="TextovéPole 15"/>
        <cdr:cNvSpPr txBox="1"/>
      </cdr:nvSpPr>
      <cdr:spPr>
        <a:xfrm xmlns:a="http://schemas.openxmlformats.org/drawingml/2006/main">
          <a:off x="2512279" y="534834"/>
          <a:ext cx="9310582" cy="41971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cs-CZ" sz="1100"/>
            <a:t>(přerušované</a:t>
          </a:r>
          <a:r>
            <a:rPr lang="cs-CZ" sz="1100" baseline="0"/>
            <a:t> čáry značí průměrnou diferenci mezních hodnot ze všech přípravků od  jejich průměrů  (+/- 28% ) z nákladové utility  scénáře 6  vztažené  k   DMF) </a:t>
          </a:r>
        </a:p>
        <a:p xmlns:a="http://schemas.openxmlformats.org/drawingml/2006/main">
          <a:r>
            <a:rPr lang="cs-CZ" sz="1100" baseline="0"/>
            <a:t>                                 - </a:t>
          </a:r>
          <a:r>
            <a:rPr lang="cs-CZ" sz="1100" u="sng" baseline="0"/>
            <a:t>všechny scénáře jsou z 5ti letého časového horizontu zprůměrovány na 1 rok, kromě scénáře č. 5, který je z 2 letého!</a:t>
          </a:r>
          <a:endParaRPr lang="cs-CZ" sz="1100" u="sng"/>
        </a:p>
      </cdr:txBody>
    </cdr:sp>
  </cdr:relSizeAnchor>
  <cdr:relSizeAnchor xmlns:cdr="http://schemas.openxmlformats.org/drawingml/2006/chartDrawing">
    <cdr:from>
      <cdr:x>0.07316</cdr:x>
      <cdr:y>0.05048</cdr:y>
    </cdr:from>
    <cdr:to>
      <cdr:x>0.95842</cdr:x>
      <cdr:y>0.11041</cdr:y>
    </cdr:to>
    <cdr:sp macro="" textlink="">
      <cdr:nvSpPr>
        <cdr:cNvPr id="8" name="TextovéPole 1">
          <a:extLst xmlns:a="http://schemas.openxmlformats.org/drawingml/2006/main">
            <a:ext uri="{FF2B5EF4-FFF2-40B4-BE49-F238E27FC236}">
              <a16:creationId xmlns:a16="http://schemas.microsoft.com/office/drawing/2014/main" id="{B89996CE-FBEC-4C59-908F-ED9B349A8D82}"/>
            </a:ext>
          </a:extLst>
        </cdr:cNvPr>
        <cdr:cNvSpPr txBox="1"/>
      </cdr:nvSpPr>
      <cdr:spPr>
        <a:xfrm xmlns:a="http://schemas.openxmlformats.org/drawingml/2006/main">
          <a:off x="972734" y="300832"/>
          <a:ext cx="11770129" cy="3571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spcAft>
              <a:spcPts val="600"/>
            </a:spcAft>
          </a:pPr>
          <a:r>
            <a:rPr lang="cs-CZ" sz="1400" b="1"/>
            <a:t>RR pro nákladovou efektivitu</a:t>
          </a:r>
          <a:r>
            <a:rPr lang="cs-CZ" sz="1400" b="1" baseline="0"/>
            <a:t> vs akceptabilitu</a:t>
          </a:r>
          <a:r>
            <a:rPr lang="cs-CZ" sz="1400" b="1"/>
            <a:t> (scénáře 1-5)/ nákladovou utilitu (scénáře 6-7) vůči  TECFIDEŘE (DMF),  cena vč. aplik. a profylaxe u i.v., s.c. hospital.</a:t>
          </a:r>
          <a:r>
            <a:rPr lang="cs-CZ" sz="1400" b="1" baseline="30000"/>
            <a:t>15</a:t>
          </a:r>
          <a:r>
            <a:rPr lang="cs-CZ" sz="1400" b="1"/>
            <a:t>                                                       </a:t>
          </a:r>
        </a:p>
      </cdr:txBody>
    </cdr:sp>
  </cdr:relSizeAnchor>
  <cdr:relSizeAnchor xmlns:cdr="http://schemas.openxmlformats.org/drawingml/2006/chartDrawing">
    <cdr:from>
      <cdr:x>0.49582</cdr:x>
      <cdr:y>0.42939</cdr:y>
    </cdr:from>
    <cdr:to>
      <cdr:x>0.57327</cdr:x>
      <cdr:y>0.62718</cdr:y>
    </cdr:to>
    <cdr:sp macro="" textlink="">
      <cdr:nvSpPr>
        <cdr:cNvPr id="13" name="Ovál 12">
          <a:extLst xmlns:a="http://schemas.openxmlformats.org/drawingml/2006/main">
            <a:ext uri="{FF2B5EF4-FFF2-40B4-BE49-F238E27FC236}">
              <a16:creationId xmlns:a16="http://schemas.microsoft.com/office/drawing/2014/main" id="{1563EA87-702E-476D-A61D-88F819CF2843}"/>
            </a:ext>
          </a:extLst>
        </cdr:cNvPr>
        <cdr:cNvSpPr/>
      </cdr:nvSpPr>
      <cdr:spPr>
        <a:xfrm xmlns:a="http://schemas.openxmlformats.org/drawingml/2006/main" flipH="1">
          <a:off x="6723207" y="2407491"/>
          <a:ext cx="1050205" cy="1108953"/>
        </a:xfrm>
        <a:prstGeom xmlns:a="http://schemas.openxmlformats.org/drawingml/2006/main" prst="ellipse">
          <a:avLst/>
        </a:prstGeom>
        <a:noFill xmlns:a="http://schemas.openxmlformats.org/drawingml/2006/main"/>
        <a:ln xmlns:a="http://schemas.openxmlformats.org/drawingml/2006/main" w="2857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3.xml><?xml version="1.0" encoding="utf-8"?>
<c:userShapes xmlns:c="http://schemas.openxmlformats.org/drawingml/2006/chart">
  <cdr:relSizeAnchor xmlns:cdr="http://schemas.openxmlformats.org/drawingml/2006/chartDrawing">
    <cdr:from>
      <cdr:x>0.0431</cdr:x>
      <cdr:y>0.44961</cdr:y>
    </cdr:from>
    <cdr:to>
      <cdr:x>0.10551</cdr:x>
      <cdr:y>0.56933</cdr:y>
    </cdr:to>
    <cdr:sp macro="" textlink="">
      <cdr:nvSpPr>
        <cdr:cNvPr id="2" name="TextovéPole 1"/>
        <cdr:cNvSpPr txBox="1"/>
      </cdr:nvSpPr>
      <cdr:spPr>
        <a:xfrm xmlns:a="http://schemas.openxmlformats.org/drawingml/2006/main">
          <a:off x="571499" y="2374106"/>
          <a:ext cx="827454" cy="6321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cs-CZ" sz="1100" b="1"/>
            <a:t>     </a:t>
          </a:r>
          <a:r>
            <a:rPr lang="cs-CZ" sz="1000" b="1"/>
            <a:t>RR  1,00 </a:t>
          </a:r>
        </a:p>
        <a:p xmlns:a="http://schemas.openxmlformats.org/drawingml/2006/main">
          <a:r>
            <a:rPr lang="cs-CZ" sz="1000" b="1"/>
            <a:t>     pro DMF ------</a:t>
          </a:r>
        </a:p>
        <a:p xmlns:a="http://schemas.openxmlformats.org/drawingml/2006/main">
          <a:r>
            <a:rPr lang="cs-CZ" sz="1000" b="1"/>
            <a:t> jako kompar.</a:t>
          </a:r>
          <a:endParaRPr lang="cs-CZ" sz="1100" b="1"/>
        </a:p>
      </cdr:txBody>
    </cdr:sp>
  </cdr:relSizeAnchor>
  <cdr:relSizeAnchor xmlns:cdr="http://schemas.openxmlformats.org/drawingml/2006/chartDrawing">
    <cdr:from>
      <cdr:x>0</cdr:x>
      <cdr:y>0</cdr:y>
    </cdr:from>
    <cdr:to>
      <cdr:x>0.00181</cdr:x>
      <cdr:y>0.00438</cdr:y>
    </cdr:to>
    <cdr:pic>
      <cdr:nvPicPr>
        <cdr:cNvPr id="3" name="chart">
          <a:extLst xmlns:a="http://schemas.openxmlformats.org/drawingml/2006/main">
            <a:ext uri="{FF2B5EF4-FFF2-40B4-BE49-F238E27FC236}">
              <a16:creationId xmlns:a16="http://schemas.microsoft.com/office/drawing/2014/main" id="{2E2AD909-255E-4707-9886-B6BFDF87B87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0.21107</cdr:x>
      <cdr:y>0.06042</cdr:y>
    </cdr:from>
    <cdr:to>
      <cdr:x>0.82254</cdr:x>
      <cdr:y>0.12688</cdr:y>
    </cdr:to>
    <cdr:sp macro="" textlink="">
      <cdr:nvSpPr>
        <cdr:cNvPr id="4" name="TextovéPole 1"/>
        <cdr:cNvSpPr txBox="1"/>
      </cdr:nvSpPr>
      <cdr:spPr>
        <a:xfrm xmlns:a="http://schemas.openxmlformats.org/drawingml/2006/main">
          <a:off x="2852298" y="336175"/>
          <a:ext cx="8262936" cy="36978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cs-CZ" sz="1400" b="1"/>
        </a:p>
      </cdr:txBody>
    </cdr:sp>
  </cdr:relSizeAnchor>
  <cdr:relSizeAnchor xmlns:cdr="http://schemas.openxmlformats.org/drawingml/2006/chartDrawing">
    <cdr:from>
      <cdr:x>0.05798</cdr:x>
      <cdr:y>0.06262</cdr:y>
    </cdr:from>
    <cdr:to>
      <cdr:x>0.96139</cdr:x>
      <cdr:y>0.13026</cdr:y>
    </cdr:to>
    <cdr:sp macro="" textlink="">
      <cdr:nvSpPr>
        <cdr:cNvPr id="5" name="TextovéPole 1"/>
        <cdr:cNvSpPr txBox="1"/>
      </cdr:nvSpPr>
      <cdr:spPr>
        <a:xfrm xmlns:a="http://schemas.openxmlformats.org/drawingml/2006/main">
          <a:off x="768704" y="330655"/>
          <a:ext cx="11977688" cy="3571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spcAft>
              <a:spcPts val="600"/>
            </a:spcAft>
          </a:pPr>
          <a:r>
            <a:rPr lang="cs-CZ" sz="1400" b="1"/>
            <a:t>RR pro nákladovou efektivitu</a:t>
          </a:r>
          <a:r>
            <a:rPr lang="cs-CZ" sz="1400" b="1" baseline="0"/>
            <a:t> vs akceptabilitu</a:t>
          </a:r>
          <a:r>
            <a:rPr lang="cs-CZ" sz="1400" b="1"/>
            <a:t> (scénáře 1-5)/ nákladovou utilitu (scénáře 6-7) vůči TECFIDEŘE (DMF),  cena vč. aplik. a profylaxe u i.v., s.c. hospital.</a:t>
          </a:r>
          <a:r>
            <a:rPr lang="cs-CZ" sz="1400" b="1" baseline="30000"/>
            <a:t>15</a:t>
          </a:r>
          <a:r>
            <a:rPr lang="cs-CZ" sz="1400" b="1"/>
            <a:t>                                                       </a:t>
          </a:r>
        </a:p>
      </cdr:txBody>
    </cdr:sp>
  </cdr:relSizeAnchor>
  <cdr:relSizeAnchor xmlns:cdr="http://schemas.openxmlformats.org/drawingml/2006/chartDrawing">
    <cdr:from>
      <cdr:x>0.00173</cdr:x>
      <cdr:y>0.49891</cdr:y>
    </cdr:from>
    <cdr:to>
      <cdr:x>0.03901</cdr:x>
      <cdr:y>0.86419</cdr:y>
    </cdr:to>
    <cdr:sp macro="" textlink="">
      <cdr:nvSpPr>
        <cdr:cNvPr id="13" name="TextovéPole 2">
          <a:extLst xmlns:a="http://schemas.openxmlformats.org/drawingml/2006/main">
            <a:ext uri="{FF2B5EF4-FFF2-40B4-BE49-F238E27FC236}">
              <a16:creationId xmlns:a16="http://schemas.microsoft.com/office/drawing/2014/main" id="{7611DACD-679C-4B17-859C-572931F643BF}"/>
            </a:ext>
          </a:extLst>
        </cdr:cNvPr>
        <cdr:cNvSpPr txBox="1"/>
      </cdr:nvSpPr>
      <cdr:spPr>
        <a:xfrm xmlns:a="http://schemas.openxmlformats.org/drawingml/2006/main">
          <a:off x="23813" y="2634456"/>
          <a:ext cx="511968" cy="19288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cs-CZ" sz="1000" b="1">
              <a:solidFill>
                <a:schemeClr val="tx1"/>
              </a:solidFill>
            </a:rPr>
            <a:t>nákladově efektivnější/ akcetabil.</a:t>
          </a:r>
        </a:p>
        <a:p xmlns:a="http://schemas.openxmlformats.org/drawingml/2006/main">
          <a:pPr algn="ctr"/>
          <a:r>
            <a:rPr lang="cs-CZ" sz="1000" b="1">
              <a:solidFill>
                <a:schemeClr val="tx1"/>
              </a:solidFill>
            </a:rPr>
            <a:t>/utilitnější než TECFIDERA (DMF)</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285750</xdr:colOff>
      <xdr:row>0</xdr:row>
      <xdr:rowOff>152400</xdr:rowOff>
    </xdr:from>
    <xdr:to>
      <xdr:col>12</xdr:col>
      <xdr:colOff>390525</xdr:colOff>
      <xdr:row>22</xdr:row>
      <xdr:rowOff>142875</xdr:rowOff>
    </xdr:to>
    <xdr:pic>
      <xdr:nvPicPr>
        <xdr:cNvPr id="4098" name="Picture 2">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0" y="152400"/>
          <a:ext cx="7419975" cy="41814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495300</xdr:colOff>
      <xdr:row>26</xdr:row>
      <xdr:rowOff>0</xdr:rowOff>
    </xdr:to>
    <xdr:pic>
      <xdr:nvPicPr>
        <xdr:cNvPr id="5122" name="Picture 2">
          <a:extLst>
            <a:ext uri="{FF2B5EF4-FFF2-40B4-BE49-F238E27FC236}">
              <a16:creationId xmlns:a16="http://schemas.microsoft.com/office/drawing/2014/main" id="{00000000-0008-0000-0300-000002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81700" cy="479107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7</xdr:col>
      <xdr:colOff>571500</xdr:colOff>
      <xdr:row>12</xdr:row>
      <xdr:rowOff>85725</xdr:rowOff>
    </xdr:to>
    <xdr:pic>
      <xdr:nvPicPr>
        <xdr:cNvPr id="6146" name="Picture 2">
          <a:extLst>
            <a:ext uri="{FF2B5EF4-FFF2-40B4-BE49-F238E27FC236}">
              <a16:creationId xmlns:a16="http://schemas.microsoft.com/office/drawing/2014/main" id="{00000000-0008-0000-0400-000002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76200"/>
          <a:ext cx="4800600" cy="2295525"/>
        </a:xfrm>
        <a:prstGeom prst="rect">
          <a:avLst/>
        </a:prstGeom>
        <a:noFill/>
      </xdr:spPr>
    </xdr:pic>
    <xdr:clientData/>
  </xdr:twoCellAnchor>
  <xdr:twoCellAnchor editAs="oneCell">
    <xdr:from>
      <xdr:col>0</xdr:col>
      <xdr:colOff>142875</xdr:colOff>
      <xdr:row>12</xdr:row>
      <xdr:rowOff>57150</xdr:rowOff>
    </xdr:from>
    <xdr:to>
      <xdr:col>7</xdr:col>
      <xdr:colOff>561975</xdr:colOff>
      <xdr:row>17</xdr:row>
      <xdr:rowOff>123825</xdr:rowOff>
    </xdr:to>
    <xdr:pic>
      <xdr:nvPicPr>
        <xdr:cNvPr id="6148" name="Picture 4">
          <a:extLst>
            <a:ext uri="{FF2B5EF4-FFF2-40B4-BE49-F238E27FC236}">
              <a16:creationId xmlns:a16="http://schemas.microsoft.com/office/drawing/2014/main" id="{00000000-0008-0000-0400-000004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2343150"/>
          <a:ext cx="4686300" cy="1019175"/>
        </a:xfrm>
        <a:prstGeom prst="rect">
          <a:avLst/>
        </a:prstGeom>
        <a:noFill/>
      </xdr:spPr>
    </xdr:pic>
    <xdr:clientData/>
  </xdr:twoCellAnchor>
  <xdr:twoCellAnchor editAs="oneCell">
    <xdr:from>
      <xdr:col>7</xdr:col>
      <xdr:colOff>561975</xdr:colOff>
      <xdr:row>0</xdr:row>
      <xdr:rowOff>85725</xdr:rowOff>
    </xdr:from>
    <xdr:to>
      <xdr:col>15</xdr:col>
      <xdr:colOff>390525</xdr:colOff>
      <xdr:row>29</xdr:row>
      <xdr:rowOff>57150</xdr:rowOff>
    </xdr:to>
    <xdr:pic>
      <xdr:nvPicPr>
        <xdr:cNvPr id="6150" name="Picture 6">
          <a:extLst>
            <a:ext uri="{FF2B5EF4-FFF2-40B4-BE49-F238E27FC236}">
              <a16:creationId xmlns:a16="http://schemas.microsoft.com/office/drawing/2014/main" id="{00000000-0008-0000-0400-000006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829175" y="85725"/>
          <a:ext cx="4705350" cy="5276850"/>
        </a:xfrm>
        <a:prstGeom prst="rect">
          <a:avLst/>
        </a:prstGeom>
        <a:noFill/>
      </xdr:spPr>
    </xdr:pic>
    <xdr:clientData/>
  </xdr:twoCellAnchor>
  <xdr:twoCellAnchor editAs="oneCell">
    <xdr:from>
      <xdr:col>8</xdr:col>
      <xdr:colOff>9525</xdr:colOff>
      <xdr:row>28</xdr:row>
      <xdr:rowOff>38100</xdr:rowOff>
    </xdr:from>
    <xdr:to>
      <xdr:col>15</xdr:col>
      <xdr:colOff>323850</xdr:colOff>
      <xdr:row>51</xdr:row>
      <xdr:rowOff>95250</xdr:rowOff>
    </xdr:to>
    <xdr:pic>
      <xdr:nvPicPr>
        <xdr:cNvPr id="6152" name="Picture 8">
          <a:extLst>
            <a:ext uri="{FF2B5EF4-FFF2-40B4-BE49-F238E27FC236}">
              <a16:creationId xmlns:a16="http://schemas.microsoft.com/office/drawing/2014/main" id="{00000000-0008-0000-0400-000008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886325" y="5372100"/>
          <a:ext cx="4581525" cy="4438650"/>
        </a:xfrm>
        <a:prstGeom prst="rect">
          <a:avLst/>
        </a:prstGeom>
        <a:noFill/>
      </xdr:spPr>
    </xdr:pic>
    <xdr:clientData/>
  </xdr:twoCellAnchor>
  <xdr:twoCellAnchor editAs="oneCell">
    <xdr:from>
      <xdr:col>0</xdr:col>
      <xdr:colOff>47625</xdr:colOff>
      <xdr:row>20</xdr:row>
      <xdr:rowOff>161925</xdr:rowOff>
    </xdr:from>
    <xdr:to>
      <xdr:col>8</xdr:col>
      <xdr:colOff>0</xdr:colOff>
      <xdr:row>30</xdr:row>
      <xdr:rowOff>133350</xdr:rowOff>
    </xdr:to>
    <xdr:pic>
      <xdr:nvPicPr>
        <xdr:cNvPr id="6154" name="Picture 10">
          <a:extLst>
            <a:ext uri="{FF2B5EF4-FFF2-40B4-BE49-F238E27FC236}">
              <a16:creationId xmlns:a16="http://schemas.microsoft.com/office/drawing/2014/main" id="{00000000-0008-0000-0400-00000A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7625" y="3971925"/>
          <a:ext cx="4829175" cy="1876425"/>
        </a:xfrm>
        <a:prstGeom prst="rect">
          <a:avLst/>
        </a:prstGeom>
        <a:noFill/>
      </xdr:spPr>
    </xdr:pic>
    <xdr:clientData/>
  </xdr:twoCellAnchor>
  <xdr:twoCellAnchor editAs="oneCell">
    <xdr:from>
      <xdr:col>0</xdr:col>
      <xdr:colOff>123825</xdr:colOff>
      <xdr:row>30</xdr:row>
      <xdr:rowOff>104775</xdr:rowOff>
    </xdr:from>
    <xdr:to>
      <xdr:col>7</xdr:col>
      <xdr:colOff>514350</xdr:colOff>
      <xdr:row>59</xdr:row>
      <xdr:rowOff>19050</xdr:rowOff>
    </xdr:to>
    <xdr:pic>
      <xdr:nvPicPr>
        <xdr:cNvPr id="6156" name="Picture 12">
          <a:extLst>
            <a:ext uri="{FF2B5EF4-FFF2-40B4-BE49-F238E27FC236}">
              <a16:creationId xmlns:a16="http://schemas.microsoft.com/office/drawing/2014/main" id="{00000000-0008-0000-0400-00000C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23825" y="5819775"/>
          <a:ext cx="4657725" cy="5334000"/>
        </a:xfrm>
        <a:prstGeom prst="rect">
          <a:avLst/>
        </a:prstGeom>
        <a:noFill/>
      </xdr:spPr>
    </xdr:pic>
    <xdr:clientData/>
  </xdr:twoCellAnchor>
  <xdr:twoCellAnchor editAs="oneCell">
    <xdr:from>
      <xdr:col>15</xdr:col>
      <xdr:colOff>419100</xdr:colOff>
      <xdr:row>1</xdr:row>
      <xdr:rowOff>9525</xdr:rowOff>
    </xdr:from>
    <xdr:to>
      <xdr:col>23</xdr:col>
      <xdr:colOff>190500</xdr:colOff>
      <xdr:row>8</xdr:row>
      <xdr:rowOff>19050</xdr:rowOff>
    </xdr:to>
    <xdr:pic>
      <xdr:nvPicPr>
        <xdr:cNvPr id="6158" name="Picture 14">
          <a:extLst>
            <a:ext uri="{FF2B5EF4-FFF2-40B4-BE49-F238E27FC236}">
              <a16:creationId xmlns:a16="http://schemas.microsoft.com/office/drawing/2014/main" id="{00000000-0008-0000-0400-00000E1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63100" y="200025"/>
          <a:ext cx="4648200" cy="134302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104775</xdr:colOff>
      <xdr:row>25</xdr:row>
      <xdr:rowOff>114300</xdr:rowOff>
    </xdr:to>
    <xdr:pic>
      <xdr:nvPicPr>
        <xdr:cNvPr id="7170" name="Picture 2">
          <a:extLst>
            <a:ext uri="{FF2B5EF4-FFF2-40B4-BE49-F238E27FC236}">
              <a16:creationId xmlns:a16="http://schemas.microsoft.com/office/drawing/2014/main" id="{00000000-0008-0000-0500-000002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467975" cy="4876800"/>
        </a:xfrm>
        <a:prstGeom prst="rect">
          <a:avLst/>
        </a:prstGeom>
        <a:noFill/>
      </xdr:spPr>
    </xdr:pic>
    <xdr:clientData/>
  </xdr:twoCellAnchor>
  <xdr:twoCellAnchor editAs="oneCell">
    <xdr:from>
      <xdr:col>0</xdr:col>
      <xdr:colOff>247650</xdr:colOff>
      <xdr:row>25</xdr:row>
      <xdr:rowOff>104775</xdr:rowOff>
    </xdr:from>
    <xdr:to>
      <xdr:col>17</xdr:col>
      <xdr:colOff>276225</xdr:colOff>
      <xdr:row>37</xdr:row>
      <xdr:rowOff>95250</xdr:rowOff>
    </xdr:to>
    <xdr:pic>
      <xdr:nvPicPr>
        <xdr:cNvPr id="7172" name="Picture 4">
          <a:extLst>
            <a:ext uri="{FF2B5EF4-FFF2-40B4-BE49-F238E27FC236}">
              <a16:creationId xmlns:a16="http://schemas.microsoft.com/office/drawing/2014/main" id="{00000000-0008-0000-0500-000004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7650" y="4867275"/>
          <a:ext cx="10391775" cy="2276475"/>
        </a:xfrm>
        <a:prstGeom prst="rect">
          <a:avLst/>
        </a:prstGeom>
        <a:noFill/>
      </xdr:spPr>
    </xdr:pic>
    <xdr:clientData/>
  </xdr:twoCellAnchor>
  <xdr:twoCellAnchor editAs="oneCell">
    <xdr:from>
      <xdr:col>17</xdr:col>
      <xdr:colOff>28575</xdr:colOff>
      <xdr:row>0</xdr:row>
      <xdr:rowOff>114300</xdr:rowOff>
    </xdr:from>
    <xdr:to>
      <xdr:col>29</xdr:col>
      <xdr:colOff>95250</xdr:colOff>
      <xdr:row>15</xdr:row>
      <xdr:rowOff>188064</xdr:rowOff>
    </xdr:to>
    <xdr:pic>
      <xdr:nvPicPr>
        <xdr:cNvPr id="7174" name="Picture 6">
          <a:extLst>
            <a:ext uri="{FF2B5EF4-FFF2-40B4-BE49-F238E27FC236}">
              <a16:creationId xmlns:a16="http://schemas.microsoft.com/office/drawing/2014/main" id="{00000000-0008-0000-0500-000006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391775" y="114300"/>
          <a:ext cx="7381875" cy="2931264"/>
        </a:xfrm>
        <a:prstGeom prst="rect">
          <a:avLst/>
        </a:prstGeom>
        <a:noFill/>
      </xdr:spPr>
    </xdr:pic>
    <xdr:clientData/>
  </xdr:twoCellAnchor>
  <xdr:twoCellAnchor editAs="oneCell">
    <xdr:from>
      <xdr:col>17</xdr:col>
      <xdr:colOff>9525</xdr:colOff>
      <xdr:row>15</xdr:row>
      <xdr:rowOff>161926</xdr:rowOff>
    </xdr:from>
    <xdr:to>
      <xdr:col>29</xdr:col>
      <xdr:colOff>156798</xdr:colOff>
      <xdr:row>30</xdr:row>
      <xdr:rowOff>28576</xdr:rowOff>
    </xdr:to>
    <xdr:pic>
      <xdr:nvPicPr>
        <xdr:cNvPr id="7176" name="Picture 8">
          <a:extLst>
            <a:ext uri="{FF2B5EF4-FFF2-40B4-BE49-F238E27FC236}">
              <a16:creationId xmlns:a16="http://schemas.microsoft.com/office/drawing/2014/main" id="{00000000-0008-0000-0500-000008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372725" y="3019426"/>
          <a:ext cx="7462473" cy="2724150"/>
        </a:xfrm>
        <a:prstGeom prst="rect">
          <a:avLst/>
        </a:prstGeom>
        <a:noFill/>
      </xdr:spPr>
    </xdr:pic>
    <xdr:clientData/>
  </xdr:twoCellAnchor>
  <xdr:twoCellAnchor editAs="oneCell">
    <xdr:from>
      <xdr:col>17</xdr:col>
      <xdr:colOff>9526</xdr:colOff>
      <xdr:row>29</xdr:row>
      <xdr:rowOff>171451</xdr:rowOff>
    </xdr:from>
    <xdr:to>
      <xdr:col>29</xdr:col>
      <xdr:colOff>114300</xdr:colOff>
      <xdr:row>43</xdr:row>
      <xdr:rowOff>133350</xdr:rowOff>
    </xdr:to>
    <xdr:pic>
      <xdr:nvPicPr>
        <xdr:cNvPr id="7178" name="Picture 10">
          <a:extLst>
            <a:ext uri="{FF2B5EF4-FFF2-40B4-BE49-F238E27FC236}">
              <a16:creationId xmlns:a16="http://schemas.microsoft.com/office/drawing/2014/main" id="{00000000-0008-0000-0500-00000A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372726" y="5695951"/>
          <a:ext cx="7419974" cy="2543174"/>
        </a:xfrm>
        <a:prstGeom prst="rect">
          <a:avLst/>
        </a:prstGeom>
        <a:noFill/>
      </xdr:spPr>
    </xdr:pic>
    <xdr:clientData/>
  </xdr:twoCellAnchor>
  <xdr:twoCellAnchor editAs="oneCell">
    <xdr:from>
      <xdr:col>17</xdr:col>
      <xdr:colOff>0</xdr:colOff>
      <xdr:row>43</xdr:row>
      <xdr:rowOff>133350</xdr:rowOff>
    </xdr:from>
    <xdr:to>
      <xdr:col>29</xdr:col>
      <xdr:colOff>238125</xdr:colOff>
      <xdr:row>58</xdr:row>
      <xdr:rowOff>28575</xdr:rowOff>
    </xdr:to>
    <xdr:pic>
      <xdr:nvPicPr>
        <xdr:cNvPr id="7180" name="Picture 12">
          <a:extLst>
            <a:ext uri="{FF2B5EF4-FFF2-40B4-BE49-F238E27FC236}">
              <a16:creationId xmlns:a16="http://schemas.microsoft.com/office/drawing/2014/main" id="{00000000-0008-0000-0500-00000C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363200" y="8239125"/>
          <a:ext cx="7553325" cy="2752725"/>
        </a:xfrm>
        <a:prstGeom prst="rect">
          <a:avLst/>
        </a:prstGeom>
        <a:noFill/>
      </xdr:spPr>
    </xdr:pic>
    <xdr:clientData/>
  </xdr:twoCellAnchor>
  <xdr:twoCellAnchor editAs="oneCell">
    <xdr:from>
      <xdr:col>17</xdr:col>
      <xdr:colOff>76200</xdr:colOff>
      <xdr:row>58</xdr:row>
      <xdr:rowOff>38100</xdr:rowOff>
    </xdr:from>
    <xdr:to>
      <xdr:col>29</xdr:col>
      <xdr:colOff>314325</xdr:colOff>
      <xdr:row>64</xdr:row>
      <xdr:rowOff>38100</xdr:rowOff>
    </xdr:to>
    <xdr:pic>
      <xdr:nvPicPr>
        <xdr:cNvPr id="7182" name="Picture 14">
          <a:extLst>
            <a:ext uri="{FF2B5EF4-FFF2-40B4-BE49-F238E27FC236}">
              <a16:creationId xmlns:a16="http://schemas.microsoft.com/office/drawing/2014/main" id="{00000000-0008-0000-0500-00000E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439400" y="11001375"/>
          <a:ext cx="7553325" cy="11430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MD%20pro%20RRMS%20pro%20forest%20pl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A ARR 5 let "/>
      <sheetName val="CEA CDP 5 let"/>
      <sheetName val="CUA QALY dle ICER 2017 5 let"/>
      <sheetName val="CEA eff.front. ARR 5 let "/>
      <sheetName val="CEA (2.linie) ICER ARR 5 "/>
      <sheetName val="CEA (1.linie) ICER ARR 5 "/>
      <sheetName val="List x"/>
      <sheetName val="Obrázky"/>
      <sheetName val="Obrázky2"/>
    </sheetNames>
    <sheetDataSet>
      <sheetData sheetId="0">
        <row r="4">
          <cell r="K4">
            <v>0.89877793863500333</v>
          </cell>
        </row>
        <row r="5">
          <cell r="K5">
            <v>1.037865136355735</v>
          </cell>
        </row>
        <row r="6">
          <cell r="K6">
            <v>0.58690935528568866</v>
          </cell>
        </row>
        <row r="7">
          <cell r="K7">
            <v>0.84274163835893756</v>
          </cell>
        </row>
        <row r="9">
          <cell r="K9">
            <v>0.84846028868359691</v>
          </cell>
        </row>
        <row r="10">
          <cell r="K10">
            <v>0.88427056294272077</v>
          </cell>
        </row>
        <row r="11">
          <cell r="K11">
            <v>0.81453968990448544</v>
          </cell>
        </row>
        <row r="12">
          <cell r="K12">
            <v>1</v>
          </cell>
        </row>
        <row r="13">
          <cell r="K13">
            <v>0.93241484693490839</v>
          </cell>
        </row>
        <row r="14">
          <cell r="K14">
            <v>0.94410917987126852</v>
          </cell>
        </row>
        <row r="15">
          <cell r="K15">
            <v>1.0023038716724133</v>
          </cell>
        </row>
        <row r="16">
          <cell r="K16">
            <v>0.62681862349565276</v>
          </cell>
        </row>
        <row r="17">
          <cell r="K17">
            <v>0.90123568100391338</v>
          </cell>
        </row>
        <row r="18">
          <cell r="K18">
            <v>0.86382308933181351</v>
          </cell>
        </row>
        <row r="19">
          <cell r="K19">
            <v>0.64302434846074663</v>
          </cell>
        </row>
        <row r="20">
          <cell r="K20">
            <v>0.85972730691784371</v>
          </cell>
        </row>
        <row r="21">
          <cell r="K21">
            <v>0.67417155941784357</v>
          </cell>
        </row>
        <row r="22">
          <cell r="K22">
            <v>0.87330128873891844</v>
          </cell>
        </row>
        <row r="23">
          <cell r="K23">
            <v>0.49902930785081057</v>
          </cell>
        </row>
        <row r="24">
          <cell r="K24">
            <v>1.0604372791829724</v>
          </cell>
        </row>
        <row r="25">
          <cell r="K25">
            <v>0.76610967245636008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60"/>
  <sheetViews>
    <sheetView tabSelected="1" zoomScale="70" zoomScaleNormal="70" workbookViewId="0">
      <pane xSplit="3" ySplit="2" topLeftCell="H21" activePane="bottomRight" state="frozen"/>
      <selection pane="topRight" activeCell="D1" sqref="D1"/>
      <selection pane="bottomLeft" activeCell="A3" sqref="A3"/>
      <selection pane="bottomRight" activeCell="K23" sqref="K23"/>
    </sheetView>
  </sheetViews>
  <sheetFormatPr defaultRowHeight="14.5" x14ac:dyDescent="0.35"/>
  <cols>
    <col min="1" max="1" width="32.1796875" customWidth="1"/>
    <col min="2" max="2" width="9.81640625" customWidth="1"/>
    <col min="3" max="3" width="13.453125" customWidth="1"/>
    <col min="4" max="4" width="8.453125" customWidth="1"/>
    <col min="5" max="5" width="9.7265625" customWidth="1"/>
    <col min="6" max="6" width="19.7265625" customWidth="1"/>
    <col min="7" max="7" width="23" customWidth="1"/>
    <col min="8" max="8" width="63.54296875" customWidth="1"/>
    <col min="9" max="9" width="40.7265625" customWidth="1"/>
    <col min="10" max="10" width="15.54296875" customWidth="1"/>
    <col min="11" max="11" width="19.90625" customWidth="1"/>
    <col min="12" max="12" width="18.36328125" customWidth="1"/>
    <col min="13" max="13" width="15.26953125" customWidth="1"/>
    <col min="14" max="14" width="15.54296875" customWidth="1"/>
    <col min="15" max="15" width="18" customWidth="1"/>
    <col min="16" max="16" width="17.54296875" customWidth="1"/>
    <col min="17" max="17" width="15.54296875" customWidth="1"/>
    <col min="18" max="18" width="17.453125" customWidth="1"/>
    <col min="19" max="19" width="19.1796875" customWidth="1"/>
    <col min="20" max="20" width="15.1796875" customWidth="1"/>
    <col min="21" max="21" width="15" customWidth="1"/>
    <col min="22" max="22" width="13.26953125" customWidth="1"/>
    <col min="23" max="23" width="19" customWidth="1"/>
    <col min="24" max="24" width="17.90625" customWidth="1"/>
    <col min="25" max="25" width="17.08984375" customWidth="1"/>
    <col min="26" max="26" width="16.81640625" customWidth="1"/>
    <col min="27" max="27" width="13.7265625" customWidth="1"/>
    <col min="28" max="29" width="13" customWidth="1"/>
    <col min="30" max="30" width="12.453125" customWidth="1"/>
    <col min="31" max="31" width="13.26953125" customWidth="1"/>
    <col min="32" max="34" width="12.1796875" customWidth="1"/>
    <col min="35" max="35" width="13.81640625" customWidth="1"/>
    <col min="36" max="36" width="19" customWidth="1"/>
    <col min="37" max="37" width="18.1796875" customWidth="1"/>
    <col min="38" max="38" width="17.26953125" customWidth="1"/>
    <col min="39" max="39" width="14.26953125" customWidth="1"/>
    <col min="40" max="40" width="24.81640625" customWidth="1"/>
    <col min="41" max="41" width="25.1796875" customWidth="1"/>
    <col min="43" max="43" width="11" bestFit="1" customWidth="1"/>
  </cols>
  <sheetData>
    <row r="1" spans="1:43" ht="6" customHeight="1" thickBot="1" x14ac:dyDescent="0.4"/>
    <row r="2" spans="1:43" ht="96" customHeight="1" x14ac:dyDescent="0.35">
      <c r="A2" s="28" t="s">
        <v>4</v>
      </c>
      <c r="B2" s="29" t="s">
        <v>2</v>
      </c>
      <c r="C2" s="30" t="s">
        <v>0</v>
      </c>
      <c r="D2" s="31" t="s">
        <v>1</v>
      </c>
      <c r="E2" s="32" t="s">
        <v>3</v>
      </c>
      <c r="F2" s="32" t="s">
        <v>102</v>
      </c>
      <c r="G2" s="89" t="s">
        <v>109</v>
      </c>
      <c r="H2" s="88" t="s">
        <v>186</v>
      </c>
      <c r="I2" s="34" t="s">
        <v>192</v>
      </c>
      <c r="J2" s="35" t="s">
        <v>184</v>
      </c>
      <c r="K2" s="36" t="s">
        <v>201</v>
      </c>
      <c r="L2" s="36" t="s">
        <v>202</v>
      </c>
      <c r="M2" s="56" t="s">
        <v>104</v>
      </c>
      <c r="N2" s="56" t="s">
        <v>105</v>
      </c>
      <c r="O2" s="46" t="s">
        <v>142</v>
      </c>
      <c r="P2" s="46" t="s">
        <v>144</v>
      </c>
      <c r="Q2" s="48" t="s">
        <v>151</v>
      </c>
      <c r="R2" s="48" t="s">
        <v>152</v>
      </c>
      <c r="S2" s="50" t="s">
        <v>154</v>
      </c>
      <c r="T2" s="55" t="s">
        <v>73</v>
      </c>
      <c r="U2" s="61" t="s">
        <v>175</v>
      </c>
      <c r="V2" s="61" t="s">
        <v>72</v>
      </c>
      <c r="W2" s="65" t="s">
        <v>58</v>
      </c>
      <c r="X2" s="66" t="s">
        <v>66</v>
      </c>
      <c r="Y2" s="67" t="s">
        <v>62</v>
      </c>
      <c r="Z2" s="59" t="s">
        <v>63</v>
      </c>
      <c r="AA2" s="60" t="s">
        <v>59</v>
      </c>
      <c r="AB2" s="60" t="s">
        <v>60</v>
      </c>
      <c r="AC2" s="60" t="s">
        <v>69</v>
      </c>
      <c r="AD2" s="60" t="s">
        <v>70</v>
      </c>
      <c r="AE2" s="60" t="s">
        <v>71</v>
      </c>
      <c r="AF2" s="60" t="s">
        <v>67</v>
      </c>
      <c r="AG2" s="60" t="s">
        <v>68</v>
      </c>
      <c r="AH2" s="68" t="s">
        <v>74</v>
      </c>
      <c r="AI2" s="60" t="s">
        <v>91</v>
      </c>
      <c r="AQ2" s="1"/>
    </row>
    <row r="3" spans="1:43" ht="30" customHeight="1" x14ac:dyDescent="0.45">
      <c r="A3" s="43" t="s">
        <v>30</v>
      </c>
      <c r="B3" s="18" t="s">
        <v>14</v>
      </c>
      <c r="C3" s="18" t="s">
        <v>13</v>
      </c>
      <c r="D3" s="78" t="s">
        <v>6</v>
      </c>
      <c r="E3" s="23" t="s">
        <v>12</v>
      </c>
      <c r="F3" s="79" t="s">
        <v>96</v>
      </c>
      <c r="G3" s="108" t="s">
        <v>212</v>
      </c>
      <c r="H3" s="107" t="s">
        <v>107</v>
      </c>
      <c r="I3" s="85" t="s">
        <v>29</v>
      </c>
      <c r="J3" s="33">
        <f>12724.71*(1-(AH3*0.01))</f>
        <v>12247.533374999999</v>
      </c>
      <c r="K3" s="40">
        <f>13.04*J3</f>
        <v>159707.83520999999</v>
      </c>
      <c r="L3" s="40">
        <f t="shared" ref="L3:L12" si="0">K3</f>
        <v>159707.83520999999</v>
      </c>
      <c r="M3" s="49">
        <f t="shared" ref="M3:M25" si="1">K3/AJ3</f>
        <v>0.6561078952035525</v>
      </c>
      <c r="N3" s="49">
        <f t="shared" ref="N3:N25" si="2">L3/AK3</f>
        <v>0.6561078952035525</v>
      </c>
      <c r="O3" s="49">
        <f>1/0.73</f>
        <v>1.3698630136986301</v>
      </c>
      <c r="P3" s="64">
        <f t="shared" ref="P3:P25" si="3">O3</f>
        <v>1.3698630136986301</v>
      </c>
      <c r="Q3" s="49">
        <f>1/0.83</f>
        <v>1.2048192771084338</v>
      </c>
      <c r="R3" s="64">
        <f t="shared" ref="R3:R25" si="4">Q3</f>
        <v>1.2048192771084338</v>
      </c>
      <c r="S3" s="49">
        <f>1/0.83</f>
        <v>1.2048192771084338</v>
      </c>
      <c r="T3" s="49">
        <f>(((2*S3)+3)/5)</f>
        <v>1.0819277108433734</v>
      </c>
      <c r="U3" s="49">
        <f>8.41/8.97</f>
        <v>0.93756967670011138</v>
      </c>
      <c r="V3" s="49">
        <f>5.59/5.91</f>
        <v>0.94585448392554983</v>
      </c>
      <c r="W3" s="57">
        <f>((1/O3)+(1/Q3))/(2*S3)</f>
        <v>0.64739999999999998</v>
      </c>
      <c r="X3" s="57">
        <f t="shared" ref="X3:X20" si="5">W3</f>
        <v>0.64739999999999998</v>
      </c>
      <c r="Y3" s="57">
        <f>((1/P3)+(1/R3))/(2*S3)</f>
        <v>0.64739999999999998</v>
      </c>
      <c r="Z3" s="57">
        <f>((1/P3)+(1/R3))/(2*T3)</f>
        <v>0.72093541202672617</v>
      </c>
      <c r="AA3" s="58">
        <f>M3/W3</f>
        <v>1.0134505641080516</v>
      </c>
      <c r="AB3" s="58">
        <f>M3/X3</f>
        <v>1.0134505641080516</v>
      </c>
      <c r="AC3" s="58">
        <f>M3/Y3</f>
        <v>1.0134505641080516</v>
      </c>
      <c r="AD3" s="58">
        <f>M3/Z3</f>
        <v>0.91007860656903006</v>
      </c>
      <c r="AE3" s="58">
        <f>N3/X3</f>
        <v>1.0134505641080516</v>
      </c>
      <c r="AF3" s="58">
        <f>M3/U3</f>
        <v>0.69979641141211257</v>
      </c>
      <c r="AG3" s="58">
        <f>M3/V3</f>
        <v>0.69366684448175231</v>
      </c>
      <c r="AH3" s="69">
        <v>3.75</v>
      </c>
      <c r="AI3" s="58">
        <f>(AB3+AC3+AD3)/3</f>
        <v>0.97899324492837769</v>
      </c>
      <c r="AJ3" s="114">
        <v>243417.03</v>
      </c>
      <c r="AK3" s="114">
        <v>243417.03</v>
      </c>
      <c r="AQ3" s="2"/>
    </row>
    <row r="4" spans="1:43" ht="28" customHeight="1" x14ac:dyDescent="0.45">
      <c r="A4" s="43" t="s">
        <v>31</v>
      </c>
      <c r="B4" s="18" t="s">
        <v>15</v>
      </c>
      <c r="C4" s="18" t="s">
        <v>16</v>
      </c>
      <c r="D4" s="78" t="s">
        <v>17</v>
      </c>
      <c r="E4" s="23" t="s">
        <v>18</v>
      </c>
      <c r="F4" s="79" t="s">
        <v>100</v>
      </c>
      <c r="G4" s="108" t="s">
        <v>212</v>
      </c>
      <c r="H4" s="107" t="s">
        <v>107</v>
      </c>
      <c r="I4" s="105" t="s">
        <v>171</v>
      </c>
      <c r="J4" s="33">
        <f>12550.73*(1-(AH4*0.01))</f>
        <v>12048.700799999999</v>
      </c>
      <c r="K4" s="40">
        <f>13*J4</f>
        <v>156633.11039999998</v>
      </c>
      <c r="L4" s="40">
        <f t="shared" si="0"/>
        <v>156633.11039999998</v>
      </c>
      <c r="M4" s="49">
        <f t="shared" si="1"/>
        <v>0.64347638454055567</v>
      </c>
      <c r="N4" s="49">
        <f t="shared" si="2"/>
        <v>0.64347638454055567</v>
      </c>
      <c r="O4" s="49">
        <f>1/0.62</f>
        <v>1.6129032258064517</v>
      </c>
      <c r="P4" s="64">
        <f t="shared" si="3"/>
        <v>1.6129032258064517</v>
      </c>
      <c r="Q4" s="49">
        <f>1/0.61</f>
        <v>1.639344262295082</v>
      </c>
      <c r="R4" s="64">
        <f t="shared" si="4"/>
        <v>1.639344262295082</v>
      </c>
      <c r="S4" s="49">
        <f>1/0.89</f>
        <v>1.1235955056179776</v>
      </c>
      <c r="T4" s="49">
        <f>(((2*S4)+3)/5)</f>
        <v>1.0494382022471911</v>
      </c>
      <c r="U4" s="49">
        <f>7.92/8.97</f>
        <v>0.882943143812709</v>
      </c>
      <c r="V4" s="49">
        <f>5.83/5.91</f>
        <v>0.98646362098138751</v>
      </c>
      <c r="W4" s="57">
        <f>((1/O4)+(1/Q4))/(2*S4)</f>
        <v>0.54735</v>
      </c>
      <c r="X4" s="49">
        <f t="shared" si="5"/>
        <v>0.54735</v>
      </c>
      <c r="Y4" s="57">
        <f>((1/P4)+(1/R4))/(2*S4)</f>
        <v>0.54735</v>
      </c>
      <c r="Z4" s="57">
        <f>((1/P4)+(1/R4))/(2*T4)</f>
        <v>0.58602783725910057</v>
      </c>
      <c r="AA4" s="58">
        <f>M4/W4</f>
        <v>1.1756214205545916</v>
      </c>
      <c r="AB4" s="58">
        <f>M4/X4</f>
        <v>1.1756214205545916</v>
      </c>
      <c r="AC4" s="58">
        <f>M4/Y4</f>
        <v>1.1756214205545916</v>
      </c>
      <c r="AD4" s="58">
        <f>M4/Z4</f>
        <v>1.0980304067979887</v>
      </c>
      <c r="AE4" s="58">
        <f>M4/X4</f>
        <v>1.1756214205545916</v>
      </c>
      <c r="AF4" s="58">
        <f>M4/U4</f>
        <v>0.72878575370312937</v>
      </c>
      <c r="AG4" s="58">
        <f>M4/V4</f>
        <v>0.65230624916546898</v>
      </c>
      <c r="AH4" s="69">
        <v>4</v>
      </c>
      <c r="AI4" s="58">
        <f>(AB4+AC4+AD4)/3</f>
        <v>1.1497577493023907</v>
      </c>
      <c r="AJ4" s="114">
        <v>243417.03</v>
      </c>
      <c r="AK4" s="114">
        <v>243417.03</v>
      </c>
      <c r="AQ4" s="2"/>
    </row>
    <row r="5" spans="1:43" ht="29.5" customHeight="1" x14ac:dyDescent="0.45">
      <c r="A5" s="43" t="s">
        <v>33</v>
      </c>
      <c r="B5" s="18" t="s">
        <v>20</v>
      </c>
      <c r="C5" s="18" t="s">
        <v>16</v>
      </c>
      <c r="D5" s="78" t="s">
        <v>10</v>
      </c>
      <c r="E5" s="23" t="s">
        <v>18</v>
      </c>
      <c r="F5" s="79" t="s">
        <v>100</v>
      </c>
      <c r="G5" s="108" t="s">
        <v>212</v>
      </c>
      <c r="H5" s="107" t="s">
        <v>107</v>
      </c>
      <c r="I5" s="24" t="s">
        <v>181</v>
      </c>
      <c r="J5" s="104">
        <v>6154.13</v>
      </c>
      <c r="K5" s="40">
        <f>J5*13</f>
        <v>80003.69</v>
      </c>
      <c r="L5" s="40">
        <f t="shared" si="0"/>
        <v>80003.69</v>
      </c>
      <c r="M5" s="49">
        <f t="shared" si="1"/>
        <v>0.32866923895998568</v>
      </c>
      <c r="N5" s="49">
        <f t="shared" si="2"/>
        <v>0.32866923895998568</v>
      </c>
      <c r="O5" s="49">
        <f>1/0.56</f>
        <v>1.7857142857142856</v>
      </c>
      <c r="P5" s="64">
        <f t="shared" si="3"/>
        <v>1.7857142857142856</v>
      </c>
      <c r="Q5" s="49">
        <f>1/0.61</f>
        <v>1.639344262295082</v>
      </c>
      <c r="R5" s="64">
        <f t="shared" si="4"/>
        <v>1.639344262295082</v>
      </c>
      <c r="S5" s="49">
        <f>1/0.75</f>
        <v>1.3333333333333333</v>
      </c>
      <c r="T5" s="49">
        <f>(((2*S5)+3)/5)</f>
        <v>1.1333333333333333</v>
      </c>
      <c r="U5" s="49">
        <f>7.88/8.97</f>
        <v>0.87848383500557403</v>
      </c>
      <c r="V5" s="49">
        <f>5.79/5.91</f>
        <v>0.97969543147208116</v>
      </c>
      <c r="W5" s="57">
        <f>((1/O5)+(1/Q5))/(2*S5)</f>
        <v>0.43874999999999997</v>
      </c>
      <c r="X5" s="49">
        <f t="shared" si="5"/>
        <v>0.43874999999999997</v>
      </c>
      <c r="Y5" s="57">
        <f>((1/P5)+(1/R5))/(2*S5)</f>
        <v>0.43874999999999997</v>
      </c>
      <c r="Z5" s="57">
        <f>((1/P5)+(1/R5))/(2*T5)</f>
        <v>0.51617647058823524</v>
      </c>
      <c r="AA5" s="58">
        <f>M5/W5</f>
        <v>0.74910367854127791</v>
      </c>
      <c r="AB5" s="58">
        <f>M5/X5</f>
        <v>0.74910367854127791</v>
      </c>
      <c r="AC5" s="58">
        <f>M5/Y5</f>
        <v>0.74910367854127791</v>
      </c>
      <c r="AD5" s="58">
        <f>M5/Z5</f>
        <v>0.63673812676008623</v>
      </c>
      <c r="AE5" s="58">
        <f>M5/X5</f>
        <v>0.74910367854127791</v>
      </c>
      <c r="AF5" s="58">
        <f>M5/U5</f>
        <v>0.37413236972983144</v>
      </c>
      <c r="AG5" s="58">
        <f>M5/V5</f>
        <v>0.33548103665863827</v>
      </c>
      <c r="AH5" s="69"/>
      <c r="AI5" s="58">
        <f>(AB5+AC5+AD5)/3</f>
        <v>0.71164849461421398</v>
      </c>
      <c r="AJ5" s="114">
        <v>243417.03</v>
      </c>
      <c r="AK5" s="114">
        <v>243417.03</v>
      </c>
      <c r="AQ5" s="2"/>
    </row>
    <row r="6" spans="1:43" ht="27" customHeight="1" x14ac:dyDescent="0.45">
      <c r="A6" s="43" t="s">
        <v>32</v>
      </c>
      <c r="B6" s="18" t="s">
        <v>20</v>
      </c>
      <c r="C6" s="18" t="s">
        <v>16</v>
      </c>
      <c r="D6" s="78" t="s">
        <v>10</v>
      </c>
      <c r="E6" s="23" t="s">
        <v>18</v>
      </c>
      <c r="F6" s="79" t="s">
        <v>100</v>
      </c>
      <c r="G6" s="108" t="s">
        <v>212</v>
      </c>
      <c r="H6" s="107" t="s">
        <v>107</v>
      </c>
      <c r="I6" s="105" t="s">
        <v>182</v>
      </c>
      <c r="J6" s="33">
        <v>12308.26</v>
      </c>
      <c r="K6" s="40">
        <f>J6*13</f>
        <v>160007.38</v>
      </c>
      <c r="L6" s="40">
        <f t="shared" si="0"/>
        <v>160007.38</v>
      </c>
      <c r="M6" s="49">
        <f t="shared" si="1"/>
        <v>0.65733847791997135</v>
      </c>
      <c r="N6" s="49">
        <f t="shared" si="2"/>
        <v>0.65733847791997135</v>
      </c>
      <c r="O6" s="49">
        <f>1/0.78</f>
        <v>1.2820512820512819</v>
      </c>
      <c r="P6" s="64">
        <f t="shared" si="3"/>
        <v>1.2820512820512819</v>
      </c>
      <c r="Q6" s="49">
        <f>1/0.58</f>
        <v>1.7241379310344829</v>
      </c>
      <c r="R6" s="64">
        <f t="shared" si="4"/>
        <v>1.7241379310344829</v>
      </c>
      <c r="S6" s="49">
        <f>1/0.55</f>
        <v>1.8181818181818181</v>
      </c>
      <c r="T6" s="49">
        <f>(((2*S6)+3)/5)</f>
        <v>1.3272727272727274</v>
      </c>
      <c r="U6" s="49">
        <f>8.43/8.97</f>
        <v>0.93979933110367886</v>
      </c>
      <c r="V6" s="49">
        <f>5.73/5.91</f>
        <v>0.96954314720812185</v>
      </c>
      <c r="W6" s="57">
        <f>((1/O6)+(1/Q6))/(2*S6)</f>
        <v>0.374</v>
      </c>
      <c r="X6" s="49">
        <f t="shared" si="5"/>
        <v>0.374</v>
      </c>
      <c r="Y6" s="57">
        <f>((1/P6)+(1/R6))/(2*S6)</f>
        <v>0.374</v>
      </c>
      <c r="Z6" s="57">
        <f>((1/P6)+(1/R6))/(2*T6)</f>
        <v>0.51232876712328757</v>
      </c>
      <c r="AA6" s="58">
        <f>M6/W6</f>
        <v>1.7575895131550037</v>
      </c>
      <c r="AB6" s="58">
        <f>M6/X6</f>
        <v>1.7575895131550037</v>
      </c>
      <c r="AC6" s="58">
        <f>M6/Y6</f>
        <v>1.7575895131550037</v>
      </c>
      <c r="AD6" s="58">
        <f>M6/Z6</f>
        <v>1.2830403446031529</v>
      </c>
      <c r="AE6" s="58">
        <f>M6/X6</f>
        <v>1.7575895131550037</v>
      </c>
      <c r="AF6" s="58">
        <f>M6/U6</f>
        <v>0.69944556903228272</v>
      </c>
      <c r="AG6" s="58">
        <f>M6/V6</f>
        <v>0.67798785418970864</v>
      </c>
      <c r="AH6" s="69"/>
      <c r="AI6" s="58">
        <f>(AB6+AC6+AD6)/3</f>
        <v>1.5994064569710533</v>
      </c>
      <c r="AJ6" s="114">
        <v>243417.03</v>
      </c>
      <c r="AK6" s="114">
        <v>243417.03</v>
      </c>
      <c r="AQ6" s="2"/>
    </row>
    <row r="7" spans="1:43" ht="38" hidden="1" customHeight="1" x14ac:dyDescent="0.45">
      <c r="A7" s="43" t="s">
        <v>106</v>
      </c>
      <c r="B7" s="18" t="s">
        <v>21</v>
      </c>
      <c r="C7" s="18" t="s">
        <v>22</v>
      </c>
      <c r="D7" s="78" t="s">
        <v>10</v>
      </c>
      <c r="E7" s="23" t="s">
        <v>23</v>
      </c>
      <c r="F7" s="79" t="s">
        <v>100</v>
      </c>
      <c r="G7" s="108" t="s">
        <v>212</v>
      </c>
      <c r="H7" s="107" t="s">
        <v>107</v>
      </c>
      <c r="I7" s="105" t="s">
        <v>172</v>
      </c>
      <c r="J7" s="104">
        <v>0</v>
      </c>
      <c r="K7" s="40">
        <f>12.17*J7</f>
        <v>0</v>
      </c>
      <c r="L7" s="40">
        <f t="shared" si="0"/>
        <v>0</v>
      </c>
      <c r="M7" s="49">
        <f t="shared" si="1"/>
        <v>0</v>
      </c>
      <c r="N7" s="49">
        <f t="shared" si="2"/>
        <v>0</v>
      </c>
      <c r="O7" s="49">
        <f>1/0.73</f>
        <v>1.3698630136986301</v>
      </c>
      <c r="P7" s="64">
        <f t="shared" si="3"/>
        <v>1.3698630136986301</v>
      </c>
      <c r="Q7" s="49">
        <f>1/0.75</f>
        <v>1.3333333333333333</v>
      </c>
      <c r="R7" s="64">
        <f t="shared" si="4"/>
        <v>1.3333333333333333</v>
      </c>
      <c r="S7" s="49">
        <f>1/0.6</f>
        <v>1.6666666666666667</v>
      </c>
      <c r="T7" s="49">
        <f>(((2*S7)+3)/5)</f>
        <v>1.2666666666666668</v>
      </c>
      <c r="U7" s="49">
        <f>9.07/8.97</f>
        <v>1.0111482720178373</v>
      </c>
      <c r="V7" s="49">
        <f>5.73/5.91</f>
        <v>0.96954314720812185</v>
      </c>
      <c r="W7" s="57">
        <f>((1/O7)+(1/Q7))/(2*S7)</f>
        <v>0.44399999999999995</v>
      </c>
      <c r="X7" s="49">
        <f t="shared" si="5"/>
        <v>0.44399999999999995</v>
      </c>
      <c r="Y7" s="57">
        <f>((1/P7)+(1/R7))/(2*S7)</f>
        <v>0.44399999999999995</v>
      </c>
      <c r="Z7" s="57">
        <f>((1/P7)+(1/R7))/(2*T7)</f>
        <v>0.5842105263157894</v>
      </c>
      <c r="AA7" s="58">
        <f>M7/W7</f>
        <v>0</v>
      </c>
      <c r="AB7" s="58">
        <f>M7/X7</f>
        <v>0</v>
      </c>
      <c r="AC7" s="58">
        <f>M7/Y7</f>
        <v>0</v>
      </c>
      <c r="AD7" s="58">
        <f>M7/Z7</f>
        <v>0</v>
      </c>
      <c r="AE7" s="58">
        <f>M7/X7</f>
        <v>0</v>
      </c>
      <c r="AF7" s="58">
        <f>M7/U7</f>
        <v>0</v>
      </c>
      <c r="AG7" s="58">
        <f>M7/V7</f>
        <v>0</v>
      </c>
      <c r="AH7" s="69"/>
      <c r="AI7" s="58">
        <f>(AB7+AC7+AD7)/3</f>
        <v>0</v>
      </c>
      <c r="AJ7" s="114">
        <v>243417.03</v>
      </c>
      <c r="AK7" s="114">
        <v>243417.03</v>
      </c>
      <c r="AQ7" s="2"/>
    </row>
    <row r="8" spans="1:43" ht="38.25" hidden="1" customHeight="1" x14ac:dyDescent="0.45">
      <c r="A8" s="44" t="s">
        <v>38</v>
      </c>
      <c r="B8" s="37" t="s">
        <v>21</v>
      </c>
      <c r="C8" s="37" t="s">
        <v>22</v>
      </c>
      <c r="D8" s="80" t="s">
        <v>10</v>
      </c>
      <c r="E8" s="101" t="s">
        <v>23</v>
      </c>
      <c r="F8" s="81" t="s">
        <v>19</v>
      </c>
      <c r="G8" s="108" t="s">
        <v>212</v>
      </c>
      <c r="H8" s="107" t="s">
        <v>107</v>
      </c>
      <c r="I8" s="38" t="s">
        <v>173</v>
      </c>
      <c r="J8" s="39" t="s">
        <v>37</v>
      </c>
      <c r="K8" s="41" t="s">
        <v>37</v>
      </c>
      <c r="L8" s="40" t="str">
        <f t="shared" si="0"/>
        <v>není na trhu</v>
      </c>
      <c r="M8" s="49" t="e">
        <f t="shared" si="1"/>
        <v>#VALUE!</v>
      </c>
      <c r="N8" s="49" t="e">
        <f t="shared" si="2"/>
        <v>#VALUE!</v>
      </c>
      <c r="O8" s="49" t="s">
        <v>52</v>
      </c>
      <c r="P8" s="64" t="str">
        <f t="shared" si="3"/>
        <v>-</v>
      </c>
      <c r="Q8" s="49" t="s">
        <v>52</v>
      </c>
      <c r="R8" s="64" t="str">
        <f t="shared" si="4"/>
        <v>-</v>
      </c>
      <c r="S8" s="49" t="s">
        <v>52</v>
      </c>
      <c r="T8" s="49"/>
      <c r="U8" s="49"/>
      <c r="V8" s="49"/>
      <c r="W8" s="57" t="s">
        <v>52</v>
      </c>
      <c r="X8" s="49" t="str">
        <f t="shared" si="5"/>
        <v>-</v>
      </c>
      <c r="Y8" s="49" t="str">
        <f>X8</f>
        <v>-</v>
      </c>
      <c r="Z8" s="49" t="str">
        <f>Y8</f>
        <v>-</v>
      </c>
      <c r="AA8" s="58" t="s">
        <v>52</v>
      </c>
      <c r="AB8" s="58" t="s">
        <v>52</v>
      </c>
      <c r="AC8" s="58" t="s">
        <v>52</v>
      </c>
      <c r="AD8" s="58" t="s">
        <v>52</v>
      </c>
      <c r="AE8" s="58" t="s">
        <v>52</v>
      </c>
      <c r="AF8" s="58" t="s">
        <v>52</v>
      </c>
      <c r="AG8" s="58" t="s">
        <v>52</v>
      </c>
      <c r="AH8" s="69"/>
      <c r="AI8" s="58" t="s">
        <v>52</v>
      </c>
      <c r="AJ8" s="114">
        <v>243417.03</v>
      </c>
      <c r="AK8" s="114">
        <v>243417.03</v>
      </c>
      <c r="AQ8" s="2"/>
    </row>
    <row r="9" spans="1:43" ht="35.25" customHeight="1" x14ac:dyDescent="0.45">
      <c r="A9" s="45" t="s">
        <v>34</v>
      </c>
      <c r="B9" s="18" t="s">
        <v>15</v>
      </c>
      <c r="C9" s="18" t="s">
        <v>24</v>
      </c>
      <c r="D9" s="78" t="s">
        <v>10</v>
      </c>
      <c r="E9" s="23" t="s">
        <v>25</v>
      </c>
      <c r="F9" s="79" t="s">
        <v>100</v>
      </c>
      <c r="G9" s="108" t="s">
        <v>212</v>
      </c>
      <c r="H9" s="107" t="s">
        <v>107</v>
      </c>
      <c r="I9" s="24" t="s">
        <v>176</v>
      </c>
      <c r="J9" s="33">
        <v>12550.65</v>
      </c>
      <c r="K9" s="40">
        <f>13*J9</f>
        <v>163158.44999999998</v>
      </c>
      <c r="L9" s="40">
        <f t="shared" si="0"/>
        <v>163158.44999999998</v>
      </c>
      <c r="M9" s="49">
        <f t="shared" si="1"/>
        <v>0.6702836280600416</v>
      </c>
      <c r="N9" s="49">
        <f t="shared" si="2"/>
        <v>0.6702836280600416</v>
      </c>
      <c r="O9" s="49">
        <f>1/0.79</f>
        <v>1.2658227848101264</v>
      </c>
      <c r="P9" s="64">
        <f t="shared" si="3"/>
        <v>1.2658227848101264</v>
      </c>
      <c r="Q9" s="49">
        <f>1/1</f>
        <v>1</v>
      </c>
      <c r="R9" s="64">
        <f t="shared" si="4"/>
        <v>1</v>
      </c>
      <c r="S9" s="49">
        <f>1/0.38</f>
        <v>2.6315789473684212</v>
      </c>
      <c r="T9" s="49">
        <f t="shared" ref="T9:T25" si="6">(((2*S9)+3)/5)</f>
        <v>1.6526315789473685</v>
      </c>
      <c r="U9" s="49">
        <f>9.3/8.97</f>
        <v>1.0367892976588629</v>
      </c>
      <c r="V9" s="49" t="s">
        <v>65</v>
      </c>
      <c r="W9" s="57">
        <f t="shared" ref="W9:W20" si="7">((1/O9)+(1/Q9))/(2*S9)</f>
        <v>0.34009999999999996</v>
      </c>
      <c r="X9" s="49">
        <f t="shared" si="5"/>
        <v>0.34009999999999996</v>
      </c>
      <c r="Y9" s="57">
        <f t="shared" ref="Y9:Y25" si="8">((1/P9)+(1/R9))/(2*S9)</f>
        <v>0.34009999999999996</v>
      </c>
      <c r="Z9" s="57">
        <f>((1/P9)+(1/R9))/(2*T9)</f>
        <v>0.54156050955414015</v>
      </c>
      <c r="AA9" s="58">
        <f t="shared" ref="AA9:AA25" si="9">M9/W9</f>
        <v>1.9708427758307605</v>
      </c>
      <c r="AB9" s="58">
        <f t="shared" ref="AB9:AB25" si="10">M9/X9</f>
        <v>1.9708427758307605</v>
      </c>
      <c r="AC9" s="58">
        <f t="shared" ref="AC9:AC20" si="11">M9/Y9</f>
        <v>1.9708427758307605</v>
      </c>
      <c r="AD9" s="58">
        <f t="shared" ref="AD9:AD20" si="12">M9/Z9</f>
        <v>1.2376892632217176</v>
      </c>
      <c r="AE9" s="58">
        <f t="shared" ref="AE9:AE20" si="13">M9/X9</f>
        <v>1.9708427758307605</v>
      </c>
      <c r="AF9" s="58">
        <f>M9/U9</f>
        <v>0.64649937029016913</v>
      </c>
      <c r="AG9" s="58" t="s">
        <v>52</v>
      </c>
      <c r="AH9" s="69"/>
      <c r="AI9" s="58">
        <f t="shared" ref="AI9:AI25" si="14">(AB9+AC9+AD9)/3</f>
        <v>1.7264582716277461</v>
      </c>
      <c r="AJ9" s="114">
        <v>243417.03</v>
      </c>
      <c r="AK9" s="114">
        <v>243417.03</v>
      </c>
      <c r="AQ9" s="2"/>
    </row>
    <row r="10" spans="1:43" ht="31" customHeight="1" x14ac:dyDescent="0.45">
      <c r="A10" s="43" t="s">
        <v>35</v>
      </c>
      <c r="B10" s="18" t="s">
        <v>28</v>
      </c>
      <c r="C10" s="18" t="s">
        <v>27</v>
      </c>
      <c r="D10" s="78" t="s">
        <v>10</v>
      </c>
      <c r="E10" s="23" t="s">
        <v>26</v>
      </c>
      <c r="F10" s="79" t="s">
        <v>99</v>
      </c>
      <c r="G10" s="108" t="s">
        <v>212</v>
      </c>
      <c r="H10" s="107" t="s">
        <v>107</v>
      </c>
      <c r="I10" s="105" t="s">
        <v>36</v>
      </c>
      <c r="J10" s="33">
        <f>12551.92*(1-(AH10*0.01))</f>
        <v>12049.843199999999</v>
      </c>
      <c r="K10" s="40">
        <f>13.04*J10</f>
        <v>157129.95532799998</v>
      </c>
      <c r="L10" s="40">
        <f t="shared" si="0"/>
        <v>157129.95532799998</v>
      </c>
      <c r="M10" s="49">
        <f t="shared" si="1"/>
        <v>0.64551751094818621</v>
      </c>
      <c r="N10" s="49">
        <f t="shared" si="2"/>
        <v>0.64551751094818621</v>
      </c>
      <c r="O10" s="49">
        <f>1/0.73</f>
        <v>1.3698630136986301</v>
      </c>
      <c r="P10" s="64">
        <f t="shared" si="3"/>
        <v>1.3698630136986301</v>
      </c>
      <c r="Q10" s="49">
        <f>1/0.78</f>
        <v>1.2820512820512819</v>
      </c>
      <c r="R10" s="64">
        <f t="shared" si="4"/>
        <v>1.2820512820512819</v>
      </c>
      <c r="S10" s="49">
        <f>1/0.86</f>
        <v>1.1627906976744187</v>
      </c>
      <c r="T10" s="49">
        <f t="shared" si="6"/>
        <v>1.0651162790697675</v>
      </c>
      <c r="U10" s="49">
        <f>8.43/8.97</f>
        <v>0.93979933110367886</v>
      </c>
      <c r="V10" s="49">
        <f>5.76/5.91</f>
        <v>0.97461928934010145</v>
      </c>
      <c r="W10" s="57">
        <f t="shared" si="7"/>
        <v>0.6493000000000001</v>
      </c>
      <c r="X10" s="49">
        <f t="shared" si="5"/>
        <v>0.6493000000000001</v>
      </c>
      <c r="Y10" s="57">
        <f t="shared" si="8"/>
        <v>0.6493000000000001</v>
      </c>
      <c r="Z10" s="57">
        <f>((1/P10)+(1/R10))/(2*T10)</f>
        <v>0.70884279475982537</v>
      </c>
      <c r="AA10" s="58">
        <f t="shared" si="9"/>
        <v>0.99417451247217947</v>
      </c>
      <c r="AB10" s="58">
        <f t="shared" si="10"/>
        <v>0.99417451247217947</v>
      </c>
      <c r="AC10" s="58">
        <f t="shared" si="11"/>
        <v>0.99417451247217947</v>
      </c>
      <c r="AD10" s="58">
        <f t="shared" si="12"/>
        <v>0.9106638534245165</v>
      </c>
      <c r="AE10" s="58">
        <f t="shared" si="13"/>
        <v>0.99417451247217947</v>
      </c>
      <c r="AF10" s="58">
        <f>M10/U10</f>
        <v>0.68686738709433337</v>
      </c>
      <c r="AG10" s="58">
        <f>M10/V10</f>
        <v>0.66232786279579525</v>
      </c>
      <c r="AH10" s="69">
        <v>4</v>
      </c>
      <c r="AI10" s="58">
        <f t="shared" si="14"/>
        <v>0.96633762612295848</v>
      </c>
      <c r="AJ10" s="114">
        <v>243417.03</v>
      </c>
      <c r="AK10" s="114">
        <v>243417.03</v>
      </c>
      <c r="AQ10" s="2"/>
    </row>
    <row r="11" spans="1:43" ht="27.5" customHeight="1" x14ac:dyDescent="0.45">
      <c r="A11" s="43" t="s">
        <v>178</v>
      </c>
      <c r="B11" s="18" t="s">
        <v>28</v>
      </c>
      <c r="C11" s="18" t="s">
        <v>27</v>
      </c>
      <c r="D11" s="78" t="s">
        <v>10</v>
      </c>
      <c r="E11" s="23" t="s">
        <v>26</v>
      </c>
      <c r="F11" s="79" t="s">
        <v>99</v>
      </c>
      <c r="G11" s="108" t="s">
        <v>212</v>
      </c>
      <c r="H11" s="107" t="s">
        <v>107</v>
      </c>
      <c r="I11" s="105" t="s">
        <v>177</v>
      </c>
      <c r="J11" s="33">
        <f>37655.67*(1-(AH11*0.01))</f>
        <v>36149.443199999994</v>
      </c>
      <c r="K11" s="40">
        <f>4.333*J11</f>
        <v>156635.53738559998</v>
      </c>
      <c r="L11" s="40">
        <f t="shared" si="0"/>
        <v>156635.53738559998</v>
      </c>
      <c r="M11" s="49">
        <f t="shared" si="1"/>
        <v>0.64348635502454354</v>
      </c>
      <c r="N11" s="49">
        <f t="shared" si="2"/>
        <v>0.64348635502454354</v>
      </c>
      <c r="O11" s="49">
        <f>1/0.79</f>
        <v>1.2658227848101264</v>
      </c>
      <c r="P11" s="64">
        <f t="shared" si="3"/>
        <v>1.2658227848101264</v>
      </c>
      <c r="Q11" s="97">
        <f>1/0.54</f>
        <v>1.8518518518518516</v>
      </c>
      <c r="R11" s="97">
        <f t="shared" si="4"/>
        <v>1.8518518518518516</v>
      </c>
      <c r="S11" s="49">
        <f>1/0.57</f>
        <v>1.7543859649122808</v>
      </c>
      <c r="T11" s="49">
        <f t="shared" si="6"/>
        <v>1.3017543859649123</v>
      </c>
      <c r="U11" s="49" t="s">
        <v>52</v>
      </c>
      <c r="V11" s="49">
        <f>5.76/5.91</f>
        <v>0.97461928934010145</v>
      </c>
      <c r="W11" s="57">
        <f t="shared" si="7"/>
        <v>0.37905</v>
      </c>
      <c r="X11" s="49">
        <f t="shared" si="5"/>
        <v>0.37905</v>
      </c>
      <c r="Y11" s="57">
        <f t="shared" si="8"/>
        <v>0.37905</v>
      </c>
      <c r="Z11" s="57">
        <f>((1/P11)+(1/R11))/(2*T11)</f>
        <v>0.51084905660377355</v>
      </c>
      <c r="AA11" s="58">
        <f t="shared" si="9"/>
        <v>1.6976292178460455</v>
      </c>
      <c r="AB11" s="58">
        <f t="shared" si="10"/>
        <v>1.6976292178460455</v>
      </c>
      <c r="AC11" s="58">
        <f t="shared" si="11"/>
        <v>1.6976292178460455</v>
      </c>
      <c r="AD11" s="58">
        <f t="shared" si="12"/>
        <v>1.2596408796417657</v>
      </c>
      <c r="AE11" s="58">
        <f t="shared" si="13"/>
        <v>1.6976292178460455</v>
      </c>
      <c r="AF11" s="58" t="s">
        <v>52</v>
      </c>
      <c r="AG11" s="58">
        <f>M11/V11</f>
        <v>0.66024381218664108</v>
      </c>
      <c r="AH11" s="69">
        <v>4</v>
      </c>
      <c r="AI11" s="58">
        <f t="shared" si="14"/>
        <v>1.5516331051112857</v>
      </c>
      <c r="AJ11" s="114">
        <v>243417.03</v>
      </c>
      <c r="AK11" s="114">
        <v>243417.03</v>
      </c>
      <c r="AQ11" s="2"/>
    </row>
    <row r="12" spans="1:43" ht="42.5" customHeight="1" x14ac:dyDescent="0.45">
      <c r="A12" s="43" t="s">
        <v>130</v>
      </c>
      <c r="B12" s="18" t="s">
        <v>39</v>
      </c>
      <c r="C12" s="18" t="s">
        <v>88</v>
      </c>
      <c r="D12" s="78" t="s">
        <v>6</v>
      </c>
      <c r="E12" s="23" t="s">
        <v>124</v>
      </c>
      <c r="F12" s="82" t="s">
        <v>101</v>
      </c>
      <c r="G12" s="110" t="s">
        <v>213</v>
      </c>
      <c r="H12" s="86" t="s">
        <v>187</v>
      </c>
      <c r="I12" s="105" t="s">
        <v>122</v>
      </c>
      <c r="J12" s="113">
        <v>18666.95</v>
      </c>
      <c r="K12" s="51">
        <f>J12*13.04</f>
        <v>243417.02799999999</v>
      </c>
      <c r="L12" s="51">
        <f t="shared" si="0"/>
        <v>243417.02799999999</v>
      </c>
      <c r="M12" s="52">
        <f t="shared" si="1"/>
        <v>0.99999999178364796</v>
      </c>
      <c r="N12" s="52">
        <f t="shared" si="2"/>
        <v>0.99999999178364796</v>
      </c>
      <c r="O12" s="52">
        <v>1</v>
      </c>
      <c r="P12" s="95">
        <f t="shared" si="3"/>
        <v>1</v>
      </c>
      <c r="Q12" s="52">
        <v>1</v>
      </c>
      <c r="R12" s="96">
        <f t="shared" si="4"/>
        <v>1</v>
      </c>
      <c r="S12" s="52">
        <v>1</v>
      </c>
      <c r="T12" s="52">
        <f t="shared" si="6"/>
        <v>1</v>
      </c>
      <c r="U12" s="52">
        <v>1</v>
      </c>
      <c r="V12" s="52">
        <v>1</v>
      </c>
      <c r="W12" s="62">
        <f t="shared" si="7"/>
        <v>1</v>
      </c>
      <c r="X12" s="52">
        <f t="shared" si="5"/>
        <v>1</v>
      </c>
      <c r="Y12" s="62">
        <f t="shared" si="8"/>
        <v>1</v>
      </c>
      <c r="Z12" s="62">
        <v>1</v>
      </c>
      <c r="AA12" s="63">
        <f t="shared" si="9"/>
        <v>0.99999999178364796</v>
      </c>
      <c r="AB12" s="63">
        <f t="shared" si="10"/>
        <v>0.99999999178364796</v>
      </c>
      <c r="AC12" s="63">
        <f t="shared" si="11"/>
        <v>0.99999999178364796</v>
      </c>
      <c r="AD12" s="63">
        <f t="shared" si="12"/>
        <v>0.99999999178364796</v>
      </c>
      <c r="AE12" s="63">
        <f t="shared" si="13"/>
        <v>0.99999999178364796</v>
      </c>
      <c r="AF12" s="63">
        <f>M12/U12</f>
        <v>0.99999999178364796</v>
      </c>
      <c r="AG12" s="63">
        <f>M12/V12</f>
        <v>0.99999999178364796</v>
      </c>
      <c r="AH12" s="69"/>
      <c r="AI12" s="58">
        <f t="shared" si="14"/>
        <v>0.99999999178364796</v>
      </c>
      <c r="AJ12" s="114">
        <v>243417.03</v>
      </c>
      <c r="AK12" s="114">
        <v>243417.03</v>
      </c>
      <c r="AQ12" s="2"/>
    </row>
    <row r="13" spans="1:43" ht="45" customHeight="1" x14ac:dyDescent="0.45">
      <c r="A13" s="43" t="s">
        <v>131</v>
      </c>
      <c r="B13" s="18" t="s">
        <v>39</v>
      </c>
      <c r="C13" s="18" t="s">
        <v>123</v>
      </c>
      <c r="D13" s="78" t="s">
        <v>6</v>
      </c>
      <c r="E13" s="23" t="s">
        <v>125</v>
      </c>
      <c r="F13" s="82" t="s">
        <v>101</v>
      </c>
      <c r="G13" s="110" t="s">
        <v>213</v>
      </c>
      <c r="H13" s="86" t="s">
        <v>187</v>
      </c>
      <c r="I13" s="105" t="s">
        <v>126</v>
      </c>
      <c r="J13" s="33">
        <v>20047.48</v>
      </c>
      <c r="K13" s="40">
        <f>J13*12.17</f>
        <v>243977.8316</v>
      </c>
      <c r="L13" s="40">
        <f>J13*12.17</f>
        <v>243977.8316</v>
      </c>
      <c r="M13" s="49">
        <f t="shared" si="1"/>
        <v>1.0023038716724133</v>
      </c>
      <c r="N13" s="49">
        <f t="shared" si="2"/>
        <v>1.0023038716724133</v>
      </c>
      <c r="O13" s="49">
        <v>1</v>
      </c>
      <c r="P13" s="64">
        <f t="shared" si="3"/>
        <v>1</v>
      </c>
      <c r="Q13" s="49">
        <v>1</v>
      </c>
      <c r="R13" s="64">
        <f t="shared" si="4"/>
        <v>1</v>
      </c>
      <c r="S13" s="49">
        <v>1</v>
      </c>
      <c r="T13" s="49">
        <f t="shared" si="6"/>
        <v>1</v>
      </c>
      <c r="U13" s="49"/>
      <c r="V13" s="49"/>
      <c r="W13" s="57">
        <f t="shared" si="7"/>
        <v>1</v>
      </c>
      <c r="X13" s="49">
        <f t="shared" si="5"/>
        <v>1</v>
      </c>
      <c r="Y13" s="57">
        <f t="shared" si="8"/>
        <v>1</v>
      </c>
      <c r="Z13" s="57">
        <v>1</v>
      </c>
      <c r="AA13" s="58">
        <f t="shared" si="9"/>
        <v>1.0023038716724133</v>
      </c>
      <c r="AB13" s="58">
        <f t="shared" si="10"/>
        <v>1.0023038716724133</v>
      </c>
      <c r="AC13" s="58">
        <f t="shared" si="11"/>
        <v>1.0023038716724133</v>
      </c>
      <c r="AD13" s="58">
        <f t="shared" si="12"/>
        <v>1.0023038716724133</v>
      </c>
      <c r="AE13" s="58">
        <f t="shared" si="13"/>
        <v>1.0023038716724133</v>
      </c>
      <c r="AF13" s="58" t="s">
        <v>52</v>
      </c>
      <c r="AG13" s="58" t="s">
        <v>52</v>
      </c>
      <c r="AH13" s="69"/>
      <c r="AI13" s="58">
        <f t="shared" si="14"/>
        <v>1.0023038716724133</v>
      </c>
      <c r="AJ13" s="114">
        <v>243417.03</v>
      </c>
      <c r="AK13" s="114">
        <v>243417.03</v>
      </c>
      <c r="AQ13" s="2"/>
    </row>
    <row r="14" spans="1:43" ht="27" customHeight="1" x14ac:dyDescent="0.45">
      <c r="A14" s="43" t="s">
        <v>111</v>
      </c>
      <c r="B14" s="18" t="s">
        <v>112</v>
      </c>
      <c r="C14" s="18" t="s">
        <v>113</v>
      </c>
      <c r="D14" s="78" t="s">
        <v>6</v>
      </c>
      <c r="E14" s="23" t="s">
        <v>127</v>
      </c>
      <c r="F14" s="82" t="s">
        <v>97</v>
      </c>
      <c r="G14" s="110" t="s">
        <v>213</v>
      </c>
      <c r="H14" s="90" t="s">
        <v>188</v>
      </c>
      <c r="I14" s="105" t="s">
        <v>114</v>
      </c>
      <c r="J14" s="33">
        <v>13971.34</v>
      </c>
      <c r="K14" s="40">
        <f>((64.68*J14)+11004.97)/5</f>
        <v>182934.24824000002</v>
      </c>
      <c r="L14" s="40">
        <f>((25.57*J14)+11004.97)/2</f>
        <v>184126.06689999998</v>
      </c>
      <c r="M14" s="49">
        <f t="shared" si="1"/>
        <v>0.75152608771867779</v>
      </c>
      <c r="N14" s="49">
        <f t="shared" si="2"/>
        <v>0.75642228853092153</v>
      </c>
      <c r="O14" s="49">
        <f>1/0.87</f>
        <v>1.1494252873563218</v>
      </c>
      <c r="P14" s="64">
        <f t="shared" si="3"/>
        <v>1.1494252873563218</v>
      </c>
      <c r="Q14" s="49">
        <f>1/0.59</f>
        <v>1.6949152542372883</v>
      </c>
      <c r="R14" s="64">
        <f t="shared" si="4"/>
        <v>1.6949152542372883</v>
      </c>
      <c r="S14" s="49">
        <f>1/0.56</f>
        <v>1.7857142857142856</v>
      </c>
      <c r="T14" s="49">
        <f t="shared" si="6"/>
        <v>1.3142857142857143</v>
      </c>
      <c r="U14" s="49">
        <v>1.07</v>
      </c>
      <c r="V14" s="49"/>
      <c r="W14" s="57">
        <f t="shared" si="7"/>
        <v>0.4088</v>
      </c>
      <c r="X14" s="49">
        <f t="shared" si="5"/>
        <v>0.4088</v>
      </c>
      <c r="Y14" s="57">
        <f t="shared" si="8"/>
        <v>0.4088</v>
      </c>
      <c r="Z14" s="57">
        <f t="shared" ref="Z14:Z25" si="15">((1/P14)+(1/R14))/(2*T14)</f>
        <v>0.55543478260869561</v>
      </c>
      <c r="AA14" s="58">
        <f t="shared" si="9"/>
        <v>1.8383710560633018</v>
      </c>
      <c r="AB14" s="58">
        <f t="shared" si="10"/>
        <v>1.8383710560633018</v>
      </c>
      <c r="AC14" s="58">
        <f t="shared" si="11"/>
        <v>1.8383710560633018</v>
      </c>
      <c r="AD14" s="58">
        <f t="shared" si="12"/>
        <v>1.3530410972625904</v>
      </c>
      <c r="AE14" s="58">
        <f t="shared" si="13"/>
        <v>1.8383710560633018</v>
      </c>
      <c r="AF14" s="58">
        <f>M14/U14</f>
        <v>0.70236082964362412</v>
      </c>
      <c r="AG14" s="58" t="s">
        <v>52</v>
      </c>
      <c r="AH14" s="69"/>
      <c r="AI14" s="58">
        <f t="shared" si="14"/>
        <v>1.6765944031297313</v>
      </c>
      <c r="AJ14" s="114">
        <v>243417.03</v>
      </c>
      <c r="AK14" s="114">
        <v>243417.03</v>
      </c>
      <c r="AQ14" s="2"/>
    </row>
    <row r="15" spans="1:43" ht="26.5" customHeight="1" x14ac:dyDescent="0.45">
      <c r="A15" s="43" t="s">
        <v>132</v>
      </c>
      <c r="B15" s="18" t="s">
        <v>197</v>
      </c>
      <c r="C15" s="18" t="s">
        <v>5</v>
      </c>
      <c r="D15" s="23" t="s">
        <v>6</v>
      </c>
      <c r="E15" s="23" t="s">
        <v>7</v>
      </c>
      <c r="F15" s="82" t="s">
        <v>97</v>
      </c>
      <c r="G15" s="110" t="s">
        <v>213</v>
      </c>
      <c r="H15" s="90" t="s">
        <v>188</v>
      </c>
      <c r="I15" s="105" t="s">
        <v>139</v>
      </c>
      <c r="J15" s="33">
        <v>13000.88</v>
      </c>
      <c r="K15" s="40">
        <f>J15*13.04</f>
        <v>169531.47519999999</v>
      </c>
      <c r="L15" s="40">
        <f>J15*13.04</f>
        <v>169531.47519999999</v>
      </c>
      <c r="M15" s="49">
        <f t="shared" si="1"/>
        <v>0.69646513721739189</v>
      </c>
      <c r="N15" s="49">
        <f t="shared" si="2"/>
        <v>0.69646513721739189</v>
      </c>
      <c r="O15" s="49">
        <v>0.9</v>
      </c>
      <c r="P15" s="64">
        <f t="shared" si="3"/>
        <v>0.9</v>
      </c>
      <c r="Q15" s="49">
        <f>1/0.56</f>
        <v>1.7857142857142856</v>
      </c>
      <c r="R15" s="64">
        <f t="shared" si="4"/>
        <v>1.7857142857142856</v>
      </c>
      <c r="S15" s="49">
        <v>0.86</v>
      </c>
      <c r="T15" s="49">
        <f t="shared" si="6"/>
        <v>0.94399999999999995</v>
      </c>
      <c r="U15" s="49"/>
      <c r="V15" s="49"/>
      <c r="W15" s="57">
        <f t="shared" si="7"/>
        <v>0.9715762273901809</v>
      </c>
      <c r="X15" s="49">
        <f t="shared" si="5"/>
        <v>0.9715762273901809</v>
      </c>
      <c r="Y15" s="57">
        <f t="shared" si="8"/>
        <v>0.9715762273901809</v>
      </c>
      <c r="Z15" s="57">
        <f t="shared" si="15"/>
        <v>0.88512241054613949</v>
      </c>
      <c r="AA15" s="58">
        <f t="shared" si="9"/>
        <v>0.71684044708279426</v>
      </c>
      <c r="AB15" s="58">
        <f t="shared" si="10"/>
        <v>0.71684044708279426</v>
      </c>
      <c r="AC15" s="58">
        <f t="shared" si="11"/>
        <v>0.71684044708279426</v>
      </c>
      <c r="AD15" s="58">
        <f t="shared" si="12"/>
        <v>0.78685742098390432</v>
      </c>
      <c r="AE15" s="58">
        <f t="shared" si="13"/>
        <v>0.71684044708279426</v>
      </c>
      <c r="AF15" s="58" t="s">
        <v>52</v>
      </c>
      <c r="AG15" s="58" t="s">
        <v>52</v>
      </c>
      <c r="AH15" s="69"/>
      <c r="AI15" s="58">
        <f t="shared" si="14"/>
        <v>0.74017943838316425</v>
      </c>
      <c r="AJ15" s="114">
        <v>243417.03</v>
      </c>
      <c r="AK15" s="114">
        <v>243417.03</v>
      </c>
      <c r="AQ15" s="2"/>
    </row>
    <row r="16" spans="1:43" ht="25.5" customHeight="1" x14ac:dyDescent="0.45">
      <c r="A16" s="93" t="s">
        <v>133</v>
      </c>
      <c r="B16" s="18" t="s">
        <v>8</v>
      </c>
      <c r="C16" s="18" t="s">
        <v>40</v>
      </c>
      <c r="D16" s="78" t="s">
        <v>6</v>
      </c>
      <c r="E16" s="23" t="s">
        <v>41</v>
      </c>
      <c r="F16" s="82" t="s">
        <v>97</v>
      </c>
      <c r="G16" s="110" t="s">
        <v>179</v>
      </c>
      <c r="H16" s="112" t="s">
        <v>180</v>
      </c>
      <c r="I16" s="98" t="s">
        <v>42</v>
      </c>
      <c r="J16" s="33">
        <f>19937.39*(1-(AH16*0.01))</f>
        <v>19339.2683</v>
      </c>
      <c r="K16" s="40">
        <f>13.04*J16</f>
        <v>252184.05863199997</v>
      </c>
      <c r="L16" s="40">
        <f>K16</f>
        <v>252184.05863199997</v>
      </c>
      <c r="M16" s="49">
        <f t="shared" si="1"/>
        <v>1.0360164965943426</v>
      </c>
      <c r="N16" s="49">
        <f t="shared" si="2"/>
        <v>1.0360164965943426</v>
      </c>
      <c r="O16" s="49">
        <v>0.9</v>
      </c>
      <c r="P16" s="64">
        <f t="shared" si="3"/>
        <v>0.9</v>
      </c>
      <c r="Q16" s="49">
        <f>1/0.72</f>
        <v>1.3888888888888888</v>
      </c>
      <c r="R16" s="64">
        <f t="shared" si="4"/>
        <v>1.3888888888888888</v>
      </c>
      <c r="S16" s="49">
        <v>0.96</v>
      </c>
      <c r="T16" s="49">
        <f t="shared" si="6"/>
        <v>0.98399999999999999</v>
      </c>
      <c r="U16" s="49">
        <f>8.94/8.97</f>
        <v>0.99665551839464872</v>
      </c>
      <c r="V16" s="49">
        <f>5.94/5.91</f>
        <v>1.0050761421319798</v>
      </c>
      <c r="W16" s="57">
        <f t="shared" si="7"/>
        <v>0.95370370370370372</v>
      </c>
      <c r="X16" s="49">
        <f t="shared" si="5"/>
        <v>0.95370370370370372</v>
      </c>
      <c r="Y16" s="57">
        <f t="shared" si="8"/>
        <v>0.95370370370370372</v>
      </c>
      <c r="Z16" s="57">
        <f t="shared" si="15"/>
        <v>0.93044263775971092</v>
      </c>
      <c r="AA16" s="58">
        <f t="shared" si="9"/>
        <v>1.0863085595358155</v>
      </c>
      <c r="AB16" s="58">
        <f t="shared" si="10"/>
        <v>1.0863085595358155</v>
      </c>
      <c r="AC16" s="58">
        <f t="shared" si="11"/>
        <v>1.0863085595358155</v>
      </c>
      <c r="AD16" s="58">
        <f t="shared" si="12"/>
        <v>1.1134662735242109</v>
      </c>
      <c r="AE16" s="58">
        <f t="shared" si="13"/>
        <v>1.0863085595358155</v>
      </c>
      <c r="AF16" s="58">
        <f>M16/U16</f>
        <v>1.039493062019156</v>
      </c>
      <c r="AG16" s="58">
        <f>M16/V16</f>
        <v>1.0307840900458862</v>
      </c>
      <c r="AH16" s="69">
        <v>3</v>
      </c>
      <c r="AI16" s="58">
        <f t="shared" si="14"/>
        <v>1.0953611308652806</v>
      </c>
      <c r="AJ16" s="114">
        <v>243417.03</v>
      </c>
      <c r="AK16" s="114">
        <v>243417.03</v>
      </c>
      <c r="AQ16" s="2"/>
    </row>
    <row r="17" spans="1:43" ht="26.5" customHeight="1" x14ac:dyDescent="0.45">
      <c r="A17" s="93" t="s">
        <v>134</v>
      </c>
      <c r="B17" s="18" t="s">
        <v>8</v>
      </c>
      <c r="C17" s="18" t="s">
        <v>129</v>
      </c>
      <c r="D17" s="78" t="s">
        <v>6</v>
      </c>
      <c r="E17" s="23" t="s">
        <v>128</v>
      </c>
      <c r="F17" s="82" t="s">
        <v>97</v>
      </c>
      <c r="G17" s="110" t="s">
        <v>208</v>
      </c>
      <c r="H17" s="94" t="s">
        <v>140</v>
      </c>
      <c r="I17" s="24" t="s">
        <v>174</v>
      </c>
      <c r="J17" s="33">
        <f>21890*(1-(AH17*0.01))</f>
        <v>21233.3</v>
      </c>
      <c r="K17" s="40">
        <f>13.04*J17</f>
        <v>276882.23199999996</v>
      </c>
      <c r="L17" s="40">
        <f>K17</f>
        <v>276882.23199999996</v>
      </c>
      <c r="M17" s="49">
        <f t="shared" si="1"/>
        <v>1.137480939603938</v>
      </c>
      <c r="N17" s="49">
        <f t="shared" si="2"/>
        <v>1.137480939603938</v>
      </c>
      <c r="O17" s="49">
        <v>0.83</v>
      </c>
      <c r="P17" s="64">
        <f t="shared" si="3"/>
        <v>0.83</v>
      </c>
      <c r="Q17" s="49">
        <f>1/0.74</f>
        <v>1.3513513513513513</v>
      </c>
      <c r="R17" s="64">
        <f t="shared" si="4"/>
        <v>1.3513513513513513</v>
      </c>
      <c r="S17" s="49">
        <f>1/0.87</f>
        <v>1.1494252873563218</v>
      </c>
      <c r="T17" s="49">
        <f t="shared" si="6"/>
        <v>1.0597701149425287</v>
      </c>
      <c r="U17" s="49"/>
      <c r="V17" s="49"/>
      <c r="W17" s="57">
        <f t="shared" si="7"/>
        <v>0.84599638554216872</v>
      </c>
      <c r="X17" s="49">
        <f t="shared" si="5"/>
        <v>0.84599638554216872</v>
      </c>
      <c r="Y17" s="57">
        <f t="shared" si="8"/>
        <v>0.84599638554216872</v>
      </c>
      <c r="Z17" s="57">
        <f t="shared" si="15"/>
        <v>0.91756657867914182</v>
      </c>
      <c r="AA17" s="58">
        <f t="shared" si="9"/>
        <v>1.3445458621847035</v>
      </c>
      <c r="AB17" s="58">
        <f t="shared" si="10"/>
        <v>1.3445458621847035</v>
      </c>
      <c r="AC17" s="58">
        <f t="shared" si="11"/>
        <v>1.3445458621847035</v>
      </c>
      <c r="AD17" s="58">
        <f t="shared" si="12"/>
        <v>1.2396712849342966</v>
      </c>
      <c r="AE17" s="58">
        <f t="shared" si="13"/>
        <v>1.3445458621847035</v>
      </c>
      <c r="AF17" s="58" t="s">
        <v>52</v>
      </c>
      <c r="AG17" s="58" t="s">
        <v>52</v>
      </c>
      <c r="AH17" s="69">
        <v>3</v>
      </c>
      <c r="AI17" s="58">
        <f t="shared" si="14"/>
        <v>1.3095876697679012</v>
      </c>
      <c r="AJ17" s="114">
        <v>243417.03</v>
      </c>
      <c r="AK17" s="114">
        <v>243417.03</v>
      </c>
      <c r="AQ17" s="2"/>
    </row>
    <row r="18" spans="1:43" ht="39" customHeight="1" x14ac:dyDescent="0.45">
      <c r="A18" s="93" t="s">
        <v>135</v>
      </c>
      <c r="B18" s="84" t="s">
        <v>39</v>
      </c>
      <c r="C18" s="18" t="s">
        <v>117</v>
      </c>
      <c r="D18" s="78" t="s">
        <v>10</v>
      </c>
      <c r="E18" s="23" t="s">
        <v>44</v>
      </c>
      <c r="F18" s="79" t="s">
        <v>93</v>
      </c>
      <c r="G18" s="109" t="s">
        <v>209</v>
      </c>
      <c r="H18" s="86" t="s">
        <v>108</v>
      </c>
      <c r="I18" s="92" t="s">
        <v>120</v>
      </c>
      <c r="J18" s="33">
        <v>26279</v>
      </c>
      <c r="K18" s="40">
        <f>13*(J18+(26.08*36))</f>
        <v>353832.44</v>
      </c>
      <c r="L18" s="40">
        <f>K18</f>
        <v>353832.44</v>
      </c>
      <c r="M18" s="49">
        <f t="shared" si="1"/>
        <v>1.4536059371030861</v>
      </c>
      <c r="N18" s="49">
        <f t="shared" si="2"/>
        <v>1.4536059371030861</v>
      </c>
      <c r="O18" s="97">
        <v>0.62</v>
      </c>
      <c r="P18" s="97">
        <f t="shared" si="3"/>
        <v>0.62</v>
      </c>
      <c r="Q18" s="97">
        <f>1/0.72</f>
        <v>1.3888888888888888</v>
      </c>
      <c r="R18" s="97">
        <f t="shared" si="4"/>
        <v>1.3888888888888888</v>
      </c>
      <c r="S18" s="49">
        <v>0.92</v>
      </c>
      <c r="T18" s="49">
        <f t="shared" si="6"/>
        <v>0.96799999999999997</v>
      </c>
      <c r="U18" s="49"/>
      <c r="V18" s="49"/>
      <c r="W18" s="57">
        <f t="shared" si="7"/>
        <v>1.2678821879382889</v>
      </c>
      <c r="X18" s="49">
        <f t="shared" si="5"/>
        <v>1.2678821879382889</v>
      </c>
      <c r="Y18" s="57">
        <f t="shared" si="8"/>
        <v>1.2678821879382889</v>
      </c>
      <c r="Z18" s="57">
        <f t="shared" si="15"/>
        <v>1.2050119968008532</v>
      </c>
      <c r="AA18" s="58">
        <f t="shared" si="9"/>
        <v>1.1464834437549782</v>
      </c>
      <c r="AB18" s="58">
        <f t="shared" si="10"/>
        <v>1.1464834437549782</v>
      </c>
      <c r="AC18" s="58">
        <f t="shared" si="11"/>
        <v>1.1464834437549782</v>
      </c>
      <c r="AD18" s="58">
        <f t="shared" si="12"/>
        <v>1.2062999712552378</v>
      </c>
      <c r="AE18" s="58">
        <f t="shared" si="13"/>
        <v>1.1464834437549782</v>
      </c>
      <c r="AF18" s="58" t="s">
        <v>52</v>
      </c>
      <c r="AG18" s="58" t="s">
        <v>52</v>
      </c>
      <c r="AH18" s="69"/>
      <c r="AI18" s="58">
        <f t="shared" si="14"/>
        <v>1.1664222862550648</v>
      </c>
      <c r="AJ18" s="114">
        <v>243417.03</v>
      </c>
      <c r="AK18" s="114">
        <v>243417.03</v>
      </c>
      <c r="AQ18" s="2"/>
    </row>
    <row r="19" spans="1:43" ht="41.5" customHeight="1" x14ac:dyDescent="0.45">
      <c r="A19" s="93" t="s">
        <v>136</v>
      </c>
      <c r="B19" s="84" t="s">
        <v>39</v>
      </c>
      <c r="C19" s="18" t="s">
        <v>118</v>
      </c>
      <c r="D19" s="78" t="s">
        <v>119</v>
      </c>
      <c r="E19" s="23" t="s">
        <v>44</v>
      </c>
      <c r="F19" s="79" t="s">
        <v>93</v>
      </c>
      <c r="G19" s="109" t="s">
        <v>209</v>
      </c>
      <c r="H19" s="86" t="s">
        <v>108</v>
      </c>
      <c r="I19" s="91" t="s">
        <v>146</v>
      </c>
      <c r="J19" s="33">
        <v>25809.56</v>
      </c>
      <c r="K19" s="40">
        <f>(48*(J19+(148+(2*170))))/5</f>
        <v>252456.57600000003</v>
      </c>
      <c r="L19" s="40">
        <f>(22*(J19+(148+(2*170))))/2</f>
        <v>289273.16000000003</v>
      </c>
      <c r="M19" s="49">
        <f t="shared" si="1"/>
        <v>1.0371360459044301</v>
      </c>
      <c r="N19" s="49">
        <f t="shared" si="2"/>
        <v>1.1883850525988262</v>
      </c>
      <c r="O19" s="49">
        <v>0.62</v>
      </c>
      <c r="P19" s="64">
        <f t="shared" si="3"/>
        <v>0.62</v>
      </c>
      <c r="Q19" s="49">
        <f>1/0.72</f>
        <v>1.3888888888888888</v>
      </c>
      <c r="R19" s="64">
        <f t="shared" si="4"/>
        <v>1.3888888888888888</v>
      </c>
      <c r="S19" s="49">
        <v>0.92</v>
      </c>
      <c r="T19" s="49">
        <f t="shared" si="6"/>
        <v>0.96799999999999997</v>
      </c>
      <c r="U19" s="49">
        <f>10.17/8.97</f>
        <v>1.1337792642140467</v>
      </c>
      <c r="V19" s="49">
        <f>6.31/5.91</f>
        <v>1.0676818950930624</v>
      </c>
      <c r="W19" s="57">
        <f t="shared" si="7"/>
        <v>1.2678821879382889</v>
      </c>
      <c r="X19" s="49">
        <f t="shared" si="5"/>
        <v>1.2678821879382889</v>
      </c>
      <c r="Y19" s="57">
        <f t="shared" si="8"/>
        <v>1.2678821879382889</v>
      </c>
      <c r="Z19" s="57">
        <f t="shared" si="15"/>
        <v>1.2050119968008532</v>
      </c>
      <c r="AA19" s="58">
        <f t="shared" si="9"/>
        <v>0.81800663797550743</v>
      </c>
      <c r="AB19" s="58">
        <f t="shared" si="10"/>
        <v>0.81800663797550743</v>
      </c>
      <c r="AC19" s="58">
        <f t="shared" si="11"/>
        <v>0.81800663797550743</v>
      </c>
      <c r="AD19" s="58">
        <f t="shared" si="12"/>
        <v>0.8606852451742294</v>
      </c>
      <c r="AE19" s="58">
        <f t="shared" si="13"/>
        <v>0.81800663797550743</v>
      </c>
      <c r="AF19" s="58">
        <f t="shared" ref="AF19:AF25" si="16">M19/U19</f>
        <v>0.91476011128443846</v>
      </c>
      <c r="AG19" s="58">
        <f>M19/V19</f>
        <v>0.97139049624329366</v>
      </c>
      <c r="AH19" s="69"/>
      <c r="AI19" s="58">
        <f t="shared" si="14"/>
        <v>0.83223284037508138</v>
      </c>
      <c r="AJ19" s="114">
        <v>243417.03</v>
      </c>
      <c r="AK19" s="114">
        <v>243417.03</v>
      </c>
      <c r="AQ19" s="2"/>
    </row>
    <row r="20" spans="1:43" ht="37.5" customHeight="1" x14ac:dyDescent="0.45">
      <c r="A20" s="43" t="s">
        <v>137</v>
      </c>
      <c r="B20" s="84" t="s">
        <v>47</v>
      </c>
      <c r="C20" s="18" t="s">
        <v>45</v>
      </c>
      <c r="D20" s="78" t="s">
        <v>43</v>
      </c>
      <c r="E20" s="23" t="s">
        <v>46</v>
      </c>
      <c r="F20" s="79" t="s">
        <v>94</v>
      </c>
      <c r="G20" s="109" t="s">
        <v>210</v>
      </c>
      <c r="H20" s="86" t="s">
        <v>110</v>
      </c>
      <c r="I20" s="105" t="s">
        <v>200</v>
      </c>
      <c r="J20" s="33">
        <f>79207.92*(1-(AH20*0.01))</f>
        <v>75461.385383999994</v>
      </c>
      <c r="K20" s="40">
        <f>(4*J20)+(((11*(148+(3*170)))/5))</f>
        <v>303293.14153599995</v>
      </c>
      <c r="L20" s="40">
        <f>(4*J20)+(((5*(148+(3*170)))/2))</f>
        <v>303490.54153599998</v>
      </c>
      <c r="M20" s="49">
        <f t="shared" si="1"/>
        <v>1.245981604228759</v>
      </c>
      <c r="N20" s="49">
        <f t="shared" si="2"/>
        <v>1.2467925581706423</v>
      </c>
      <c r="O20" s="49">
        <v>0.69</v>
      </c>
      <c r="P20" s="64">
        <f t="shared" si="3"/>
        <v>0.69</v>
      </c>
      <c r="Q20" s="49">
        <f>1/0.79</f>
        <v>1.2658227848101264</v>
      </c>
      <c r="R20" s="64">
        <f t="shared" si="4"/>
        <v>1.2658227848101264</v>
      </c>
      <c r="S20" s="49">
        <v>0.98</v>
      </c>
      <c r="T20" s="49">
        <f t="shared" si="6"/>
        <v>0.99199999999999999</v>
      </c>
      <c r="U20" s="49">
        <f>10.94/8.97</f>
        <v>1.2196209587513933</v>
      </c>
      <c r="V20" s="49">
        <f>6.33/5.91</f>
        <v>1.0710659898477157</v>
      </c>
      <c r="W20" s="57">
        <f t="shared" si="7"/>
        <v>1.1424874297545107</v>
      </c>
      <c r="X20" s="49">
        <f t="shared" si="5"/>
        <v>1.1424874297545107</v>
      </c>
      <c r="Y20" s="57">
        <f t="shared" si="8"/>
        <v>1.1424874297545107</v>
      </c>
      <c r="Z20" s="57">
        <f t="shared" si="15"/>
        <v>1.1286670172978028</v>
      </c>
      <c r="AA20" s="58">
        <f t="shared" si="9"/>
        <v>1.0905867073710267</v>
      </c>
      <c r="AB20" s="58">
        <f t="shared" si="10"/>
        <v>1.0905867073710267</v>
      </c>
      <c r="AC20" s="58">
        <f t="shared" si="11"/>
        <v>1.0905867073710267</v>
      </c>
      <c r="AD20" s="58">
        <f t="shared" si="12"/>
        <v>1.103940830318427</v>
      </c>
      <c r="AE20" s="58">
        <f t="shared" si="13"/>
        <v>1.0905867073710267</v>
      </c>
      <c r="AF20" s="58">
        <f t="shared" si="16"/>
        <v>1.0216138016391199</v>
      </c>
      <c r="AG20" s="58">
        <f>M20/V20</f>
        <v>1.163309839019268</v>
      </c>
      <c r="AH20" s="69">
        <v>4.7300000000000004</v>
      </c>
      <c r="AI20" s="58">
        <f t="shared" si="14"/>
        <v>1.0950380816868268</v>
      </c>
      <c r="AJ20" s="114">
        <v>243417.03</v>
      </c>
      <c r="AK20" s="114">
        <v>243417.03</v>
      </c>
      <c r="AQ20" s="2"/>
    </row>
    <row r="21" spans="1:43" ht="64" customHeight="1" x14ac:dyDescent="0.45">
      <c r="A21" s="93" t="s">
        <v>138</v>
      </c>
      <c r="B21" s="18" t="s">
        <v>14</v>
      </c>
      <c r="C21" s="18" t="s">
        <v>48</v>
      </c>
      <c r="D21" s="78" t="s">
        <v>43</v>
      </c>
      <c r="E21" s="23" t="s">
        <v>49</v>
      </c>
      <c r="F21" s="79" t="s">
        <v>95</v>
      </c>
      <c r="G21" s="109" t="s">
        <v>211</v>
      </c>
      <c r="H21" s="106" t="s">
        <v>189</v>
      </c>
      <c r="I21" s="24" t="s">
        <v>191</v>
      </c>
      <c r="J21" s="33">
        <f>151645.41*(1-(AH21*0.01))</f>
        <v>145958.70712500002</v>
      </c>
      <c r="K21" s="40">
        <f>((((J21*5)+(5*(148+(3*170))))+((J21*3)+(3*(148+(3*170))))+((J21*3*0.44)+(3*0.44*(148+(3*170))))+(((2*(64+(0.44*31)))/25)*172.69)))/5</f>
        <v>273508.06450660003</v>
      </c>
      <c r="L21" s="40">
        <f>((((J21*5)+(5*(148+(3*170))))+((J21*3)+(3*(148+(3*170)))))+(((2*64)/25)*172.69))/2</f>
        <v>586908.91490000009</v>
      </c>
      <c r="M21" s="49">
        <f t="shared" si="1"/>
        <v>1.1236192656964059</v>
      </c>
      <c r="N21" s="49">
        <f t="shared" si="2"/>
        <v>2.411125116841661</v>
      </c>
      <c r="O21" s="49">
        <v>0.6</v>
      </c>
      <c r="P21" s="64">
        <f t="shared" si="3"/>
        <v>0.6</v>
      </c>
      <c r="Q21" s="97">
        <v>0.68</v>
      </c>
      <c r="R21" s="97">
        <f t="shared" si="4"/>
        <v>0.68</v>
      </c>
      <c r="S21" s="49">
        <v>0.51</v>
      </c>
      <c r="T21" s="49">
        <f t="shared" si="6"/>
        <v>0.80399999999999994</v>
      </c>
      <c r="U21" s="49">
        <f>12.46/8.97</f>
        <v>1.3890746934225195</v>
      </c>
      <c r="V21" s="49">
        <f>6.51/5.91</f>
        <v>1.1015228426395938</v>
      </c>
      <c r="W21" s="49">
        <f>((1/O21)+(1/Q21))/(2*S21*0.5)</f>
        <v>6.1514801999231059</v>
      </c>
      <c r="X21" s="49">
        <f>((1/O21)+(1/Q21))/(2*S21)</f>
        <v>3.075740099961553</v>
      </c>
      <c r="Y21" s="57">
        <f t="shared" si="8"/>
        <v>3.075740099961553</v>
      </c>
      <c r="Z21" s="57">
        <f t="shared" si="15"/>
        <v>1.9510291678860601</v>
      </c>
      <c r="AA21" s="58">
        <f t="shared" si="9"/>
        <v>0.182658356879772</v>
      </c>
      <c r="AB21" s="58">
        <f t="shared" si="10"/>
        <v>0.365316713759544</v>
      </c>
      <c r="AC21" s="58">
        <f>((J21*5)+(J21*3))/5/Y21/AJ21</f>
        <v>0.31192443456575336</v>
      </c>
      <c r="AD21" s="58">
        <f>((J21*5)+(J21*3))/5/Z21/AJ21</f>
        <v>0.4917396968448346</v>
      </c>
      <c r="AE21" s="58">
        <f>N21/X21</f>
        <v>0.78391705361314512</v>
      </c>
      <c r="AF21" s="58">
        <f t="shared" si="16"/>
        <v>0.80889765756795828</v>
      </c>
      <c r="AG21" s="58">
        <f>((J21*5)+(J21*3))/5/V21/AJ21</f>
        <v>0.87097466744557184</v>
      </c>
      <c r="AH21" s="69">
        <v>3.75</v>
      </c>
      <c r="AI21" s="58">
        <f t="shared" si="14"/>
        <v>0.38966028172337736</v>
      </c>
      <c r="AJ21" s="114">
        <v>243417.03</v>
      </c>
      <c r="AK21" s="114">
        <v>243417.03</v>
      </c>
      <c r="AQ21" s="2"/>
    </row>
    <row r="22" spans="1:43" ht="62" customHeight="1" x14ac:dyDescent="0.45">
      <c r="A22" s="43" t="s">
        <v>194</v>
      </c>
      <c r="B22" s="85" t="s">
        <v>141</v>
      </c>
      <c r="C22" s="18" t="s">
        <v>92</v>
      </c>
      <c r="D22" s="83" t="s">
        <v>6</v>
      </c>
      <c r="E22" s="102" t="s">
        <v>51</v>
      </c>
      <c r="F22" s="82" t="s">
        <v>98</v>
      </c>
      <c r="G22" s="109" t="s">
        <v>214</v>
      </c>
      <c r="H22" s="86" t="s">
        <v>190</v>
      </c>
      <c r="I22" s="24" t="s">
        <v>196</v>
      </c>
      <c r="J22" s="33">
        <v>36152.449999999997</v>
      </c>
      <c r="K22" s="40">
        <f>((J22*28)+((14*J22)/2))/5</f>
        <v>253067.14999999997</v>
      </c>
      <c r="L22" s="40">
        <f>(J22*28)/2</f>
        <v>506134.29999999993</v>
      </c>
      <c r="M22" s="49">
        <f t="shared" si="1"/>
        <v>1.0396443913558553</v>
      </c>
      <c r="N22" s="49">
        <f t="shared" si="2"/>
        <v>2.0792887827117106</v>
      </c>
      <c r="O22" s="49">
        <v>0.84</v>
      </c>
      <c r="P22" s="64">
        <f t="shared" si="3"/>
        <v>0.84</v>
      </c>
      <c r="Q22" s="49">
        <f>1/0.88</f>
        <v>1.1363636363636365</v>
      </c>
      <c r="R22" s="64">
        <f t="shared" si="4"/>
        <v>1.1363636363636365</v>
      </c>
      <c r="S22" s="49">
        <f>1/0.81</f>
        <v>1.2345679012345678</v>
      </c>
      <c r="T22" s="49">
        <f t="shared" si="6"/>
        <v>1.0938271604938272</v>
      </c>
      <c r="U22" s="49">
        <f>10.4/8.97</f>
        <v>1.1594202898550725</v>
      </c>
      <c r="V22" s="49">
        <f>6.2/5.91</f>
        <v>1.0490693739424704</v>
      </c>
      <c r="W22" s="49">
        <f>((1/(O22*1.15))+(1/(Q22*1.15)))/(2*S22*0.4)</f>
        <v>1.8229192546583852</v>
      </c>
      <c r="X22" s="49">
        <f>((1/(O22*1.15))+(1/(Q22*1.15)))/(2*S22)</f>
        <v>0.72916770186335411</v>
      </c>
      <c r="Y22" s="57">
        <f t="shared" si="8"/>
        <v>0.83854285714285726</v>
      </c>
      <c r="Z22" s="57">
        <f t="shared" si="15"/>
        <v>0.94643663334408257</v>
      </c>
      <c r="AA22" s="58">
        <f t="shared" si="9"/>
        <v>0.57031839929228489</v>
      </c>
      <c r="AB22" s="58">
        <f t="shared" si="10"/>
        <v>1.4257959982307122</v>
      </c>
      <c r="AC22" s="58">
        <f>M22/Y22</f>
        <v>1.239822607157141</v>
      </c>
      <c r="AD22" s="58">
        <f>M22/Z22</f>
        <v>1.098482829941227</v>
      </c>
      <c r="AE22" s="58">
        <f>N22/(((1/(O22))+(1/(Q22)))/(2*S22))</f>
        <v>2.479645214314282</v>
      </c>
      <c r="AF22" s="58">
        <f t="shared" si="16"/>
        <v>0.89669328754442512</v>
      </c>
      <c r="AG22" s="58">
        <f>M22/V22</f>
        <v>0.99101586337308145</v>
      </c>
      <c r="AH22" s="69"/>
      <c r="AI22" s="58">
        <f t="shared" si="14"/>
        <v>1.2547004784430267</v>
      </c>
      <c r="AJ22" s="114">
        <v>243417.03</v>
      </c>
      <c r="AK22" s="114">
        <v>243417.03</v>
      </c>
      <c r="AQ22" s="2"/>
    </row>
    <row r="23" spans="1:43" ht="61.5" customHeight="1" x14ac:dyDescent="0.45">
      <c r="A23" s="43" t="s">
        <v>193</v>
      </c>
      <c r="B23" s="85" t="s">
        <v>141</v>
      </c>
      <c r="C23" s="18" t="s">
        <v>92</v>
      </c>
      <c r="D23" s="83" t="s">
        <v>6</v>
      </c>
      <c r="E23" s="102" t="s">
        <v>51</v>
      </c>
      <c r="F23" s="82" t="s">
        <v>98</v>
      </c>
      <c r="G23" s="109" t="s">
        <v>214</v>
      </c>
      <c r="H23" s="86" t="s">
        <v>190</v>
      </c>
      <c r="I23" s="24" t="s">
        <v>198</v>
      </c>
      <c r="J23" s="33">
        <v>36152.449999999997</v>
      </c>
      <c r="K23" s="40">
        <f>((J23*16)+((8*J23)/2))/5</f>
        <v>144609.79999999999</v>
      </c>
      <c r="L23" s="40">
        <f>(J23*16)/2</f>
        <v>289219.59999999998</v>
      </c>
      <c r="M23" s="49">
        <f t="shared" si="1"/>
        <v>0.5940825093462031</v>
      </c>
      <c r="N23" s="49">
        <f t="shared" si="2"/>
        <v>1.1881650186924062</v>
      </c>
      <c r="O23" s="49">
        <v>0.84</v>
      </c>
      <c r="P23" s="64">
        <f t="shared" si="3"/>
        <v>0.84</v>
      </c>
      <c r="Q23" s="49">
        <f>1/0.88</f>
        <v>1.1363636363636365</v>
      </c>
      <c r="R23" s="64">
        <f t="shared" si="4"/>
        <v>1.1363636363636365</v>
      </c>
      <c r="S23" s="49">
        <f>1/0.81</f>
        <v>1.2345679012345678</v>
      </c>
      <c r="T23" s="49">
        <f t="shared" si="6"/>
        <v>1.0938271604938272</v>
      </c>
      <c r="U23" s="49">
        <f>10.4/8.97</f>
        <v>1.1594202898550725</v>
      </c>
      <c r="V23" s="49">
        <f>6.2/5.91</f>
        <v>1.0490693739424704</v>
      </c>
      <c r="W23" s="49">
        <f>((1/(O23*1.15))+(1/(Q23*1.15)))/(2*S23*0.4)</f>
        <v>1.8229192546583852</v>
      </c>
      <c r="X23" s="49">
        <f>((1/(O23*1.15))+(1/(Q23*1.15)))/(2*S23)</f>
        <v>0.72916770186335411</v>
      </c>
      <c r="Y23" s="57">
        <f t="shared" si="8"/>
        <v>0.83854285714285726</v>
      </c>
      <c r="Z23" s="57">
        <f t="shared" si="15"/>
        <v>0.94643663334408257</v>
      </c>
      <c r="AA23" s="58">
        <f t="shared" si="9"/>
        <v>0.32589622816701996</v>
      </c>
      <c r="AB23" s="58">
        <f t="shared" si="10"/>
        <v>0.81474057041754988</v>
      </c>
      <c r="AC23" s="58">
        <f>M23/Y23</f>
        <v>0.7084700612326521</v>
      </c>
      <c r="AD23" s="58">
        <f>M23/Z23</f>
        <v>0.62770447425212983</v>
      </c>
      <c r="AE23" s="58">
        <f>N23/(((1/(O23))+(1/(Q23)))/(2*S23))</f>
        <v>1.4169401224653042</v>
      </c>
      <c r="AF23" s="58">
        <f t="shared" si="16"/>
        <v>0.51239616431110013</v>
      </c>
      <c r="AG23" s="58">
        <f>M23/V23</f>
        <v>0.56629477907033232</v>
      </c>
      <c r="AH23" s="69"/>
      <c r="AI23" s="58">
        <f t="shared" si="14"/>
        <v>0.71697170196744386</v>
      </c>
      <c r="AJ23" s="114">
        <v>243417.03</v>
      </c>
      <c r="AK23" s="114">
        <v>243417.03</v>
      </c>
      <c r="AQ23" s="2"/>
    </row>
    <row r="24" spans="1:43" ht="58" customHeight="1" x14ac:dyDescent="0.45">
      <c r="A24" s="43" t="s">
        <v>195</v>
      </c>
      <c r="B24" s="85" t="s">
        <v>141</v>
      </c>
      <c r="C24" s="18" t="s">
        <v>92</v>
      </c>
      <c r="D24" s="83" t="s">
        <v>6</v>
      </c>
      <c r="E24" s="102" t="s">
        <v>51</v>
      </c>
      <c r="F24" s="82" t="s">
        <v>98</v>
      </c>
      <c r="G24" s="109" t="s">
        <v>214</v>
      </c>
      <c r="H24" s="86" t="s">
        <v>190</v>
      </c>
      <c r="I24" s="24" t="s">
        <v>199</v>
      </c>
      <c r="J24" s="33">
        <v>36152.449999999997</v>
      </c>
      <c r="K24" s="40">
        <f>((J24*34)+((17*J23)/2))/5</f>
        <v>307295.82499999995</v>
      </c>
      <c r="L24" s="40">
        <f>(J24*34)/2</f>
        <v>614591.64999999991</v>
      </c>
      <c r="M24" s="49">
        <f t="shared" si="1"/>
        <v>1.2624253323606813</v>
      </c>
      <c r="N24" s="49">
        <f t="shared" si="2"/>
        <v>2.5248506647213627</v>
      </c>
      <c r="O24" s="49">
        <v>0.84</v>
      </c>
      <c r="P24" s="64">
        <f t="shared" si="3"/>
        <v>0.84</v>
      </c>
      <c r="Q24" s="49">
        <f>1/0.88</f>
        <v>1.1363636363636365</v>
      </c>
      <c r="R24" s="64">
        <f t="shared" si="4"/>
        <v>1.1363636363636365</v>
      </c>
      <c r="S24" s="49">
        <f>1/0.81</f>
        <v>1.2345679012345678</v>
      </c>
      <c r="T24" s="49">
        <f t="shared" si="6"/>
        <v>1.0938271604938272</v>
      </c>
      <c r="U24" s="49">
        <f>10.4/8.97</f>
        <v>1.1594202898550725</v>
      </c>
      <c r="V24" s="49">
        <f>6.2/5.91</f>
        <v>1.0490693739424704</v>
      </c>
      <c r="W24" s="49">
        <f>((1/(O24*1.15))+(1/(Q24*1.15)))/(2*S24*0.4)</f>
        <v>1.8229192546583852</v>
      </c>
      <c r="X24" s="49">
        <f>((1/(O24*1.15))+(1/(Q24*1.15)))/(2*S24)</f>
        <v>0.72916770186335411</v>
      </c>
      <c r="Y24" s="57">
        <f t="shared" si="8"/>
        <v>0.83854285714285726</v>
      </c>
      <c r="Z24" s="57">
        <f t="shared" si="15"/>
        <v>0.94643663334408257</v>
      </c>
      <c r="AA24" s="58">
        <f t="shared" si="9"/>
        <v>0.69252948485491728</v>
      </c>
      <c r="AB24" s="58">
        <f t="shared" si="10"/>
        <v>1.7313237121372933</v>
      </c>
      <c r="AC24" s="58">
        <f>M24/Y24</f>
        <v>1.5054988801193854</v>
      </c>
      <c r="AD24" s="58">
        <f>M24/Z24</f>
        <v>1.3338720077857755</v>
      </c>
      <c r="AE24" s="58">
        <f>N24/(((1/(O24))+(1/(Q24)))/(2*S24))</f>
        <v>3.0109977602387707</v>
      </c>
      <c r="AF24" s="58">
        <f t="shared" si="16"/>
        <v>1.0888418491610876</v>
      </c>
      <c r="AG24" s="58">
        <f>M24/V24</f>
        <v>1.203376405524456</v>
      </c>
      <c r="AH24" s="69"/>
      <c r="AI24" s="58">
        <f t="shared" si="14"/>
        <v>1.5235648666808181</v>
      </c>
      <c r="AJ24" s="114">
        <v>243417.03</v>
      </c>
      <c r="AK24" s="114">
        <v>243417.03</v>
      </c>
      <c r="AQ24" s="2"/>
    </row>
    <row r="25" spans="1:43" ht="42.5" customHeight="1" x14ac:dyDescent="0.45">
      <c r="A25" s="43" t="s">
        <v>183</v>
      </c>
      <c r="B25" s="18" t="s">
        <v>8</v>
      </c>
      <c r="C25" s="18" t="s">
        <v>9</v>
      </c>
      <c r="D25" s="78" t="s">
        <v>10</v>
      </c>
      <c r="E25" s="23" t="s">
        <v>11</v>
      </c>
      <c r="F25" s="79" t="s">
        <v>94</v>
      </c>
      <c r="G25" s="109" t="s">
        <v>210</v>
      </c>
      <c r="H25" s="86" t="s">
        <v>110</v>
      </c>
      <c r="I25" s="74" t="s">
        <v>121</v>
      </c>
      <c r="J25" s="75">
        <f>25416.67*(1-(AH25*0.01))</f>
        <v>24654.169899999997</v>
      </c>
      <c r="K25" s="76">
        <f>(((J25*11)+(3*J25))+(J25*12)+(J25*12)+(J25*12)+(J25*12))/5</f>
        <v>305711.70675999997</v>
      </c>
      <c r="L25" s="76">
        <f>(((J25*11)+(3*J25))+(J25*12))/2</f>
        <v>320504.20869999996</v>
      </c>
      <c r="M25" s="49">
        <f t="shared" si="1"/>
        <v>1.2559174958300985</v>
      </c>
      <c r="N25" s="49">
        <f t="shared" si="2"/>
        <v>1.3166876972412322</v>
      </c>
      <c r="O25" s="77">
        <v>0.61</v>
      </c>
      <c r="P25" s="64">
        <f t="shared" si="3"/>
        <v>0.61</v>
      </c>
      <c r="Q25" s="77">
        <f>0.84</f>
        <v>0.84</v>
      </c>
      <c r="R25" s="64">
        <f t="shared" si="4"/>
        <v>0.84</v>
      </c>
      <c r="S25" s="77">
        <f>1/0.75</f>
        <v>1.3333333333333333</v>
      </c>
      <c r="T25" s="77">
        <f t="shared" si="6"/>
        <v>1.1333333333333333</v>
      </c>
      <c r="U25" s="49">
        <f>10.4/8.97</f>
        <v>1.1594202898550725</v>
      </c>
      <c r="V25" s="49">
        <f>6.19/5.91</f>
        <v>1.0473773265651438</v>
      </c>
      <c r="W25" s="57">
        <f>((1/O25)+(1/Q25))/(2*S25)</f>
        <v>1.0611826697892273</v>
      </c>
      <c r="X25" s="49">
        <f>W25</f>
        <v>1.0611826697892273</v>
      </c>
      <c r="Y25" s="57">
        <f t="shared" si="8"/>
        <v>1.0611826697892273</v>
      </c>
      <c r="Z25" s="57">
        <f t="shared" si="15"/>
        <v>1.2484501997520321</v>
      </c>
      <c r="AA25" s="58">
        <f t="shared" si="9"/>
        <v>1.1835073560705147</v>
      </c>
      <c r="AB25" s="58">
        <f t="shared" si="10"/>
        <v>1.1835073560705147</v>
      </c>
      <c r="AC25" s="58">
        <f>M25/Y25</f>
        <v>1.1835073560705147</v>
      </c>
      <c r="AD25" s="58">
        <f>M25/Z25</f>
        <v>1.0059812526599377</v>
      </c>
      <c r="AE25" s="58">
        <f>M25/X25</f>
        <v>1.1835073560705147</v>
      </c>
      <c r="AF25" s="58">
        <f t="shared" si="16"/>
        <v>1.08322884015346</v>
      </c>
      <c r="AG25" s="58">
        <f>M25/V25</f>
        <v>1.1991070113660554</v>
      </c>
      <c r="AH25" s="111">
        <v>3</v>
      </c>
      <c r="AI25" s="58">
        <f t="shared" si="14"/>
        <v>1.1243319882669891</v>
      </c>
      <c r="AJ25" s="114">
        <v>243417.03</v>
      </c>
      <c r="AK25" s="114">
        <v>243417.03</v>
      </c>
      <c r="AQ25" s="2"/>
    </row>
    <row r="26" spans="1:43" ht="12" hidden="1" customHeight="1" x14ac:dyDescent="0.35">
      <c r="G26" s="24"/>
      <c r="H26" s="87"/>
      <c r="I26" s="19"/>
      <c r="J26" s="33"/>
      <c r="K26" s="42"/>
      <c r="L26" s="42"/>
      <c r="M26" s="42"/>
      <c r="N26" s="42"/>
      <c r="O26" s="47"/>
      <c r="P26" s="47"/>
      <c r="Q26" s="20"/>
      <c r="R26" s="20"/>
      <c r="S26" s="20"/>
      <c r="T26" s="20"/>
      <c r="U26" s="20"/>
      <c r="V26" s="20"/>
      <c r="W26" s="27"/>
      <c r="X26" s="49"/>
      <c r="Y26" s="27"/>
      <c r="Z26" s="27"/>
      <c r="AA26" s="21"/>
      <c r="AB26" s="53"/>
      <c r="AC26" s="22"/>
      <c r="AD26" s="22"/>
      <c r="AE26" s="22"/>
      <c r="AF26" s="58"/>
      <c r="AG26" s="54"/>
      <c r="AQ26" s="2"/>
    </row>
    <row r="27" spans="1:43" ht="8.25" hidden="1" customHeight="1" x14ac:dyDescent="0.35">
      <c r="G27" s="24"/>
      <c r="H27" s="19"/>
      <c r="I27" s="19"/>
      <c r="J27" s="39" t="s">
        <v>37</v>
      </c>
      <c r="K27" s="41" t="s">
        <v>37</v>
      </c>
      <c r="L27" s="41"/>
      <c r="M27" s="41"/>
      <c r="N27" s="41"/>
      <c r="O27" s="25"/>
      <c r="P27" s="25"/>
      <c r="Q27" s="20"/>
      <c r="R27" s="20"/>
      <c r="S27" s="20"/>
      <c r="T27" s="20"/>
      <c r="U27" s="20"/>
      <c r="V27" s="20"/>
      <c r="W27" s="20"/>
      <c r="X27" s="49"/>
      <c r="Y27" s="20"/>
      <c r="Z27" s="20"/>
      <c r="AA27" s="21"/>
      <c r="AB27" s="53"/>
      <c r="AC27" s="26"/>
      <c r="AD27" s="26"/>
      <c r="AE27" s="22"/>
      <c r="AF27" s="58"/>
      <c r="AG27" s="54"/>
      <c r="AQ27" s="2">
        <f>AP27*AA27</f>
        <v>0</v>
      </c>
    </row>
    <row r="28" spans="1:43" ht="7.5" customHeight="1" x14ac:dyDescent="0.35">
      <c r="A28" s="6"/>
      <c r="B28" s="8"/>
      <c r="D28" s="5"/>
      <c r="E28" s="5"/>
      <c r="AA28" s="4"/>
      <c r="AB28" s="4"/>
      <c r="AC28" s="7"/>
      <c r="AD28" s="7"/>
      <c r="AE28" s="7"/>
      <c r="AF28" s="4"/>
      <c r="AQ28" s="3"/>
    </row>
    <row r="29" spans="1:43" ht="10.5" customHeight="1" x14ac:dyDescent="0.35">
      <c r="A29" s="16" t="s">
        <v>185</v>
      </c>
      <c r="B29" s="10"/>
      <c r="C29" s="11"/>
      <c r="D29" s="12"/>
      <c r="E29" s="12"/>
      <c r="F29" s="11"/>
      <c r="G29" s="11"/>
      <c r="H29" s="11"/>
      <c r="I29" s="11"/>
      <c r="J29" s="11"/>
      <c r="K29" s="11"/>
      <c r="L29" s="11"/>
      <c r="M29" s="11"/>
      <c r="N29" s="11"/>
      <c r="AA29" s="4"/>
      <c r="AB29" s="4"/>
      <c r="AC29" s="7"/>
      <c r="AD29" s="7"/>
      <c r="AE29" s="7"/>
      <c r="AF29" s="4"/>
      <c r="AQ29" s="3"/>
    </row>
    <row r="30" spans="1:43" ht="14.25" customHeight="1" x14ac:dyDescent="0.35">
      <c r="A30" s="13" t="s">
        <v>89</v>
      </c>
      <c r="B30" s="12"/>
      <c r="C30" s="11"/>
      <c r="D30" s="12"/>
      <c r="E30" s="12"/>
      <c r="F30" s="11"/>
      <c r="G30" s="11"/>
      <c r="H30" s="11"/>
      <c r="I30" s="11"/>
      <c r="J30" s="11"/>
      <c r="K30" s="11"/>
      <c r="L30" s="11"/>
      <c r="M30" s="11"/>
      <c r="N30" s="11"/>
      <c r="AA30" s="4"/>
      <c r="AB30" s="4"/>
      <c r="AC30" s="7"/>
      <c r="AD30" s="7"/>
      <c r="AE30" s="7"/>
      <c r="AF30" s="4"/>
      <c r="AQ30" s="3"/>
    </row>
    <row r="31" spans="1:43" ht="12.75" customHeight="1" x14ac:dyDescent="0.35">
      <c r="A31" s="13" t="s">
        <v>55</v>
      </c>
      <c r="B31" s="12"/>
      <c r="C31" s="11"/>
      <c r="D31" s="12"/>
      <c r="E31" s="12"/>
      <c r="F31" s="11"/>
      <c r="G31" s="11"/>
      <c r="H31" s="11"/>
      <c r="I31" s="11"/>
      <c r="J31" s="11"/>
      <c r="K31" s="11"/>
      <c r="L31" s="11"/>
      <c r="M31" s="11"/>
      <c r="N31" s="11"/>
      <c r="AA31" s="4"/>
      <c r="AB31" s="4"/>
      <c r="AC31" s="7"/>
      <c r="AD31" s="7"/>
      <c r="AE31" s="7"/>
      <c r="AF31" s="4"/>
      <c r="AQ31" s="3"/>
    </row>
    <row r="32" spans="1:43" ht="12.75" customHeight="1" x14ac:dyDescent="0.35">
      <c r="A32" s="14" t="s">
        <v>53</v>
      </c>
      <c r="B32" s="15"/>
      <c r="C32" s="11"/>
      <c r="D32" s="11"/>
      <c r="E32" s="11"/>
      <c r="F32" s="11"/>
      <c r="G32" s="11"/>
      <c r="H32" s="11"/>
      <c r="I32" s="11"/>
      <c r="J32" s="11"/>
      <c r="K32" s="11"/>
      <c r="L32" s="11"/>
      <c r="M32" s="11"/>
      <c r="N32" s="11"/>
      <c r="AQ32" s="3"/>
    </row>
    <row r="33" spans="1:18" ht="13.5" customHeight="1" x14ac:dyDescent="0.35">
      <c r="A33" s="13" t="s">
        <v>90</v>
      </c>
      <c r="B33" s="11"/>
      <c r="C33" s="11"/>
      <c r="D33" s="11"/>
      <c r="E33" s="11"/>
      <c r="F33" s="11"/>
      <c r="G33" s="11"/>
      <c r="H33" s="11"/>
      <c r="I33" s="11"/>
      <c r="J33" s="11"/>
      <c r="K33" s="11"/>
      <c r="L33" s="11"/>
      <c r="M33" s="11"/>
      <c r="N33" s="11"/>
      <c r="O33" s="11"/>
      <c r="P33" s="11"/>
      <c r="Q33" s="11"/>
      <c r="R33" s="11"/>
    </row>
    <row r="34" spans="1:18" ht="13.5" customHeight="1" x14ac:dyDescent="0.35">
      <c r="A34" s="13" t="s">
        <v>54</v>
      </c>
      <c r="B34" s="11"/>
      <c r="C34" s="11"/>
      <c r="D34" s="11"/>
      <c r="E34" s="11"/>
      <c r="F34" s="11"/>
      <c r="G34" s="11"/>
      <c r="H34" s="11"/>
      <c r="I34" s="11"/>
      <c r="J34" s="11"/>
      <c r="K34" s="11"/>
      <c r="L34" s="11"/>
      <c r="M34" s="11"/>
      <c r="N34" s="11"/>
      <c r="O34" s="11"/>
      <c r="P34" s="11"/>
      <c r="Q34" s="11"/>
      <c r="R34" s="11"/>
    </row>
    <row r="35" spans="1:18" ht="13.5" customHeight="1" x14ac:dyDescent="0.35">
      <c r="A35" s="13" t="s">
        <v>56</v>
      </c>
      <c r="B35" s="11"/>
      <c r="C35" s="11"/>
      <c r="D35" s="11"/>
      <c r="E35" s="11"/>
      <c r="F35" s="11"/>
      <c r="G35" s="11"/>
      <c r="H35" s="11"/>
      <c r="I35" s="11"/>
      <c r="J35" s="11"/>
      <c r="K35" s="11"/>
      <c r="L35" s="11"/>
      <c r="M35" s="11"/>
      <c r="N35" s="11"/>
      <c r="O35" s="11"/>
      <c r="P35" s="11"/>
      <c r="Q35" s="11"/>
      <c r="R35" s="11"/>
    </row>
    <row r="36" spans="1:18" ht="13.5" customHeight="1" x14ac:dyDescent="0.35">
      <c r="A36" s="13" t="s">
        <v>57</v>
      </c>
      <c r="B36" s="11"/>
      <c r="C36" s="11"/>
      <c r="D36" s="11"/>
      <c r="E36" s="11"/>
      <c r="F36" s="11"/>
      <c r="G36" s="11"/>
      <c r="H36" s="11"/>
      <c r="I36" s="11"/>
      <c r="J36" s="11"/>
      <c r="K36" s="11"/>
      <c r="L36" s="11"/>
      <c r="M36" s="11"/>
      <c r="N36" s="11"/>
      <c r="O36" s="11"/>
      <c r="P36" s="11"/>
      <c r="Q36" s="11"/>
      <c r="R36" s="11"/>
    </row>
    <row r="37" spans="1:18" ht="14.25" customHeight="1" x14ac:dyDescent="0.35">
      <c r="A37" s="13" t="s">
        <v>61</v>
      </c>
      <c r="B37" s="11"/>
      <c r="C37" s="11"/>
      <c r="D37" s="11"/>
      <c r="E37" s="11"/>
      <c r="F37" s="11"/>
      <c r="G37" s="11"/>
      <c r="H37" s="11"/>
      <c r="I37" s="11"/>
      <c r="J37" s="11"/>
      <c r="K37" s="11"/>
      <c r="L37" s="11"/>
      <c r="M37" s="11"/>
      <c r="N37" s="11"/>
      <c r="O37" s="11"/>
      <c r="P37" s="11"/>
      <c r="Q37" s="11"/>
      <c r="R37" s="11"/>
    </row>
    <row r="38" spans="1:18" ht="13.5" customHeight="1" x14ac:dyDescent="0.35">
      <c r="A38" s="13" t="s">
        <v>64</v>
      </c>
      <c r="B38" s="11"/>
      <c r="C38" s="11"/>
      <c r="D38" s="11"/>
      <c r="E38" s="11"/>
      <c r="F38" s="11"/>
      <c r="G38" s="11"/>
      <c r="H38" s="11"/>
      <c r="I38" s="11"/>
      <c r="J38" s="11"/>
      <c r="K38" s="11"/>
      <c r="L38" s="11"/>
      <c r="M38" s="11"/>
      <c r="N38" s="11"/>
      <c r="O38" s="11"/>
      <c r="P38" s="11"/>
      <c r="Q38" s="11"/>
      <c r="R38" s="11"/>
    </row>
    <row r="39" spans="1:18" ht="12" customHeight="1" x14ac:dyDescent="0.35">
      <c r="A39" s="16" t="s">
        <v>115</v>
      </c>
      <c r="B39" s="11"/>
      <c r="C39" s="11"/>
      <c r="D39" s="11"/>
      <c r="E39" s="11"/>
      <c r="F39" s="11"/>
      <c r="G39" s="11"/>
      <c r="H39" s="11"/>
      <c r="I39" s="11"/>
      <c r="J39" s="75"/>
      <c r="K39" s="11"/>
      <c r="L39" s="11"/>
      <c r="M39" s="11"/>
      <c r="N39" s="11"/>
      <c r="O39" s="11"/>
      <c r="P39" s="11"/>
      <c r="Q39" s="11"/>
      <c r="R39" s="11"/>
    </row>
    <row r="40" spans="1:18" ht="12.75" customHeight="1" x14ac:dyDescent="0.35">
      <c r="A40" s="103" t="s">
        <v>116</v>
      </c>
      <c r="B40" s="11"/>
      <c r="C40" s="11"/>
      <c r="D40" s="11"/>
      <c r="E40" s="11"/>
      <c r="F40" s="11"/>
      <c r="G40" s="11"/>
      <c r="H40" s="11"/>
      <c r="I40" s="11"/>
      <c r="J40" s="11"/>
      <c r="K40" s="11"/>
      <c r="L40" s="11"/>
      <c r="M40" s="11"/>
      <c r="N40" s="11"/>
      <c r="O40" s="11"/>
      <c r="P40" s="11"/>
      <c r="Q40" s="11"/>
      <c r="R40" s="11"/>
    </row>
    <row r="41" spans="1:18" ht="12.75" customHeight="1" x14ac:dyDescent="0.35">
      <c r="A41" s="16" t="s">
        <v>143</v>
      </c>
      <c r="B41" s="11"/>
      <c r="C41" s="11"/>
      <c r="D41" s="11"/>
      <c r="E41" s="11"/>
      <c r="F41" s="11"/>
      <c r="G41" s="11"/>
      <c r="H41" s="11"/>
      <c r="I41" s="11"/>
      <c r="J41" s="11"/>
      <c r="K41" s="11"/>
      <c r="L41" s="11"/>
      <c r="M41" s="11"/>
      <c r="N41" s="11"/>
      <c r="O41" s="11"/>
      <c r="P41" s="11"/>
      <c r="Q41" s="11"/>
      <c r="R41" s="11"/>
    </row>
    <row r="42" spans="1:18" ht="12.75" customHeight="1" x14ac:dyDescent="0.35">
      <c r="A42" s="16" t="s">
        <v>145</v>
      </c>
      <c r="B42" s="11"/>
      <c r="C42" s="11"/>
      <c r="D42" s="11"/>
      <c r="E42" s="11"/>
      <c r="F42" s="11"/>
      <c r="G42" s="11"/>
      <c r="H42" s="11"/>
      <c r="I42" s="11"/>
      <c r="J42" s="11"/>
      <c r="K42" s="11"/>
      <c r="L42" s="11"/>
      <c r="M42" s="11"/>
      <c r="N42" s="11"/>
      <c r="O42" s="11"/>
      <c r="P42" s="11"/>
      <c r="Q42" s="11"/>
      <c r="R42" s="11"/>
    </row>
    <row r="43" spans="1:18" ht="12" customHeight="1" x14ac:dyDescent="0.35">
      <c r="A43" s="16" t="s">
        <v>147</v>
      </c>
      <c r="B43" s="11"/>
      <c r="C43" s="11"/>
      <c r="D43" s="11"/>
      <c r="E43" s="11"/>
      <c r="F43" s="11"/>
      <c r="G43" s="11"/>
      <c r="H43" s="11"/>
      <c r="I43" s="11"/>
      <c r="J43" s="11"/>
      <c r="K43" s="11"/>
      <c r="L43" s="11"/>
      <c r="M43" s="11"/>
      <c r="N43" s="11"/>
      <c r="O43" s="11"/>
      <c r="P43" s="11"/>
      <c r="Q43" s="11"/>
      <c r="R43" s="11"/>
    </row>
    <row r="44" spans="1:18" ht="12" customHeight="1" x14ac:dyDescent="0.35">
      <c r="A44" s="16" t="s">
        <v>148</v>
      </c>
      <c r="B44" s="11"/>
      <c r="C44" s="11"/>
      <c r="D44" s="11"/>
      <c r="E44" s="11"/>
      <c r="F44" s="11"/>
      <c r="G44" s="11"/>
      <c r="H44" s="11"/>
      <c r="I44" s="11"/>
      <c r="J44" s="11"/>
      <c r="K44" s="11"/>
      <c r="L44" s="11"/>
      <c r="M44" s="11"/>
      <c r="N44" s="11"/>
      <c r="O44" s="11"/>
      <c r="P44" s="11"/>
      <c r="Q44" s="11"/>
      <c r="R44" s="11"/>
    </row>
    <row r="45" spans="1:18" ht="12" customHeight="1" x14ac:dyDescent="0.35">
      <c r="A45" s="16" t="s">
        <v>149</v>
      </c>
      <c r="B45" s="11"/>
      <c r="C45" s="11"/>
      <c r="D45" s="11"/>
      <c r="E45" s="11"/>
      <c r="F45" s="11"/>
      <c r="G45" s="11"/>
      <c r="H45" s="11"/>
      <c r="I45" s="11"/>
      <c r="J45" s="11"/>
      <c r="K45" s="11"/>
      <c r="L45" s="11"/>
      <c r="M45" s="11"/>
      <c r="N45" s="11"/>
      <c r="O45" s="11"/>
      <c r="P45" s="11"/>
      <c r="Q45" s="11"/>
      <c r="R45" s="11"/>
    </row>
    <row r="46" spans="1:18" ht="12" customHeight="1" x14ac:dyDescent="0.35">
      <c r="A46" s="17" t="s">
        <v>150</v>
      </c>
      <c r="B46" s="11"/>
      <c r="C46" s="11"/>
      <c r="D46" s="11"/>
      <c r="E46" s="11"/>
      <c r="F46" s="11"/>
      <c r="G46" s="11"/>
      <c r="H46" s="11"/>
      <c r="I46" s="11"/>
      <c r="J46" s="11"/>
      <c r="K46" s="11"/>
      <c r="L46" s="11"/>
      <c r="M46" s="11"/>
      <c r="N46" s="11"/>
      <c r="O46" s="11"/>
      <c r="P46" s="11"/>
      <c r="Q46" s="11"/>
      <c r="R46" s="11"/>
    </row>
    <row r="47" spans="1:18" ht="12" customHeight="1" x14ac:dyDescent="0.35">
      <c r="A47" s="17" t="s">
        <v>153</v>
      </c>
      <c r="B47" s="11"/>
      <c r="C47" s="11"/>
      <c r="D47" s="11"/>
      <c r="E47" s="11"/>
      <c r="F47" s="11"/>
      <c r="G47" s="11"/>
      <c r="H47" s="11"/>
      <c r="I47" s="11"/>
      <c r="J47" s="11"/>
      <c r="K47" s="11"/>
      <c r="L47" s="11"/>
      <c r="M47" s="11"/>
      <c r="N47" s="11"/>
      <c r="O47" s="11"/>
      <c r="P47" s="11"/>
      <c r="Q47" s="11"/>
      <c r="R47" s="11"/>
    </row>
    <row r="48" spans="1:18" ht="13.5" customHeight="1" x14ac:dyDescent="0.35">
      <c r="A48" s="17"/>
      <c r="B48" s="11"/>
      <c r="C48" s="11"/>
      <c r="D48" s="11"/>
      <c r="E48" s="11"/>
      <c r="F48" s="11"/>
      <c r="G48" s="11"/>
      <c r="H48" s="11"/>
      <c r="I48" s="11"/>
      <c r="J48" s="11"/>
      <c r="K48" s="11"/>
      <c r="L48" s="11"/>
      <c r="M48" s="11"/>
      <c r="N48" s="11"/>
      <c r="O48" s="11"/>
      <c r="P48" s="11"/>
      <c r="Q48" s="11"/>
      <c r="R48" s="11"/>
    </row>
    <row r="49" spans="1:26" ht="12" customHeight="1" x14ac:dyDescent="0.35">
      <c r="A49" s="17"/>
      <c r="B49" s="11"/>
      <c r="C49" s="11"/>
      <c r="D49" s="11"/>
      <c r="E49" s="11"/>
      <c r="F49" s="11"/>
      <c r="G49" s="11"/>
      <c r="H49" s="11"/>
      <c r="I49" s="11"/>
      <c r="J49" s="11"/>
      <c r="K49" s="11"/>
      <c r="L49" s="11"/>
      <c r="M49" s="11"/>
      <c r="N49" s="11"/>
    </row>
    <row r="50" spans="1:26" ht="13.5" customHeight="1" x14ac:dyDescent="0.35">
      <c r="A50" s="17"/>
      <c r="B50" s="11"/>
      <c r="C50" s="11"/>
      <c r="D50" s="11"/>
      <c r="E50" s="11"/>
      <c r="F50" s="11"/>
      <c r="G50" s="11"/>
      <c r="H50" s="11"/>
      <c r="I50" s="11"/>
      <c r="J50" s="11"/>
      <c r="K50" s="11"/>
      <c r="L50" s="11"/>
      <c r="M50" s="11"/>
      <c r="N50" s="11"/>
    </row>
    <row r="51" spans="1:26" ht="10.5" customHeight="1" x14ac:dyDescent="0.35">
      <c r="A51" s="17"/>
      <c r="B51" s="11"/>
      <c r="C51" s="11"/>
      <c r="D51" s="11"/>
      <c r="E51" s="11"/>
      <c r="F51" s="11"/>
      <c r="G51" s="11"/>
      <c r="H51" s="11"/>
      <c r="I51" s="11"/>
      <c r="J51" s="11"/>
      <c r="K51" s="11"/>
      <c r="L51" s="11"/>
      <c r="M51" s="11"/>
      <c r="N51" s="11"/>
    </row>
    <row r="52" spans="1:26" ht="12.75" customHeight="1" x14ac:dyDescent="0.35">
      <c r="A52" s="17"/>
      <c r="B52" s="11"/>
      <c r="C52" s="11"/>
      <c r="D52" s="11"/>
      <c r="E52" s="11"/>
      <c r="F52" s="11"/>
      <c r="G52" s="11"/>
      <c r="H52" s="11"/>
      <c r="I52" s="11"/>
      <c r="J52" s="11"/>
      <c r="K52" s="11"/>
      <c r="L52" s="11"/>
      <c r="M52" s="11"/>
      <c r="N52" s="11"/>
    </row>
    <row r="53" spans="1:26" ht="11.25" customHeight="1" x14ac:dyDescent="0.35">
      <c r="A53" s="17"/>
      <c r="B53" s="11"/>
      <c r="C53" s="11"/>
      <c r="D53" s="11"/>
      <c r="E53" s="11"/>
      <c r="F53" s="11"/>
      <c r="G53" s="11"/>
      <c r="H53" s="11"/>
      <c r="I53" s="11"/>
      <c r="J53" s="11"/>
      <c r="K53" s="11"/>
      <c r="L53" s="11"/>
      <c r="M53" s="11"/>
      <c r="N53" s="11"/>
    </row>
    <row r="54" spans="1:26" ht="13.5" customHeight="1" x14ac:dyDescent="0.35">
      <c r="A54" s="17"/>
      <c r="B54" s="11"/>
      <c r="C54" s="11"/>
      <c r="D54" s="11"/>
      <c r="E54" s="11"/>
      <c r="F54" s="11"/>
      <c r="G54" s="11"/>
      <c r="H54" s="11"/>
      <c r="I54" s="11"/>
      <c r="J54" s="11"/>
      <c r="K54" s="11"/>
      <c r="L54" s="11"/>
      <c r="M54" s="11"/>
      <c r="N54" s="11"/>
    </row>
    <row r="55" spans="1:26" ht="10.5" customHeight="1" x14ac:dyDescent="0.35">
      <c r="A55" s="17"/>
      <c r="B55" s="11"/>
      <c r="C55" s="11"/>
      <c r="D55" s="11"/>
      <c r="E55" s="11"/>
      <c r="F55" s="11"/>
      <c r="G55" s="11"/>
      <c r="H55" s="11"/>
      <c r="I55" s="11"/>
      <c r="J55" s="11"/>
      <c r="K55" s="11"/>
      <c r="L55" s="11"/>
      <c r="M55" s="11"/>
      <c r="N55" s="11"/>
    </row>
    <row r="56" spans="1:26" ht="12" customHeight="1" x14ac:dyDescent="0.35">
      <c r="A56" s="17"/>
      <c r="B56" s="11"/>
      <c r="C56" s="11"/>
      <c r="D56" s="11"/>
      <c r="E56" s="11"/>
      <c r="F56" s="11"/>
      <c r="G56" s="11"/>
      <c r="H56" s="11"/>
      <c r="I56" s="11"/>
      <c r="J56" s="11"/>
      <c r="K56" s="11"/>
      <c r="L56" s="11"/>
      <c r="M56" s="11"/>
      <c r="N56" s="11"/>
    </row>
    <row r="57" spans="1:26" ht="13.5" customHeight="1" x14ac:dyDescent="0.35">
      <c r="A57" s="17"/>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1.25" customHeight="1" x14ac:dyDescent="0.35">
      <c r="A58" s="17"/>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60" spans="1:26" x14ac:dyDescent="0.35">
      <c r="A60" s="9"/>
    </row>
  </sheetData>
  <autoFilter ref="A2:AI2" xr:uid="{00000000-0009-0000-0000-000000000000}"/>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3"/>
  <sheetViews>
    <sheetView topLeftCell="F18" zoomScale="65" zoomScaleNormal="65" workbookViewId="0">
      <selection activeCell="AJ8" sqref="AJ8"/>
    </sheetView>
  </sheetViews>
  <sheetFormatPr defaultRowHeight="14.5" x14ac:dyDescent="0.35"/>
  <cols>
    <col min="1" max="1" width="19.81640625" customWidth="1"/>
    <col min="2" max="2" width="23.81640625" customWidth="1"/>
    <col min="3" max="7" width="12.26953125" bestFit="1" customWidth="1"/>
    <col min="8" max="8" width="12.7265625" customWidth="1"/>
    <col min="9" max="10" width="12.453125" customWidth="1"/>
  </cols>
  <sheetData>
    <row r="1" spans="1:10" ht="5.25" customHeight="1" x14ac:dyDescent="0.35"/>
    <row r="2" spans="1:10" ht="60.75" customHeight="1" x14ac:dyDescent="0.35">
      <c r="C2" s="60" t="s">
        <v>75</v>
      </c>
      <c r="D2" s="60" t="s">
        <v>170</v>
      </c>
      <c r="E2" s="60" t="s">
        <v>76</v>
      </c>
      <c r="F2" s="60" t="s">
        <v>169</v>
      </c>
      <c r="G2" s="60" t="s">
        <v>167</v>
      </c>
      <c r="H2" s="60" t="s">
        <v>206</v>
      </c>
      <c r="I2" s="60" t="s">
        <v>207</v>
      </c>
      <c r="J2" s="100" t="s">
        <v>168</v>
      </c>
    </row>
    <row r="3" spans="1:10" ht="26" x14ac:dyDescent="0.35">
      <c r="A3" s="18" t="s">
        <v>13</v>
      </c>
      <c r="B3" s="43" t="s">
        <v>78</v>
      </c>
      <c r="C3" s="58">
        <f>Analýza!AA3</f>
        <v>1.0134505641080516</v>
      </c>
      <c r="D3" s="58">
        <f>Analýza!AB3</f>
        <v>1.0134505641080516</v>
      </c>
      <c r="E3" s="58">
        <f>Analýza!AC3</f>
        <v>1.0134505641080516</v>
      </c>
      <c r="F3" s="58">
        <f>Analýza!AD3</f>
        <v>0.91007860656903006</v>
      </c>
      <c r="G3" s="58">
        <f>Analýza!AE3</f>
        <v>1.0134505641080516</v>
      </c>
      <c r="H3" s="58">
        <f>Analýza!AF3</f>
        <v>0.69979641141211257</v>
      </c>
      <c r="I3" s="58">
        <f>Analýza!AG3</f>
        <v>0.69366684448175231</v>
      </c>
      <c r="J3" s="58">
        <f>'[1]CEA ARR 5 let '!$K$4</f>
        <v>0.89877793863500333</v>
      </c>
    </row>
    <row r="4" spans="1:10" ht="26" x14ac:dyDescent="0.35">
      <c r="A4" s="18" t="s">
        <v>16</v>
      </c>
      <c r="B4" s="43" t="s">
        <v>77</v>
      </c>
      <c r="C4" s="58">
        <f>Analýza!AA4</f>
        <v>1.1756214205545916</v>
      </c>
      <c r="D4" s="58">
        <f>Analýza!AB4</f>
        <v>1.1756214205545916</v>
      </c>
      <c r="E4" s="58">
        <f>Analýza!AC4</f>
        <v>1.1756214205545916</v>
      </c>
      <c r="F4" s="58">
        <f>Analýza!AD4</f>
        <v>1.0980304067979887</v>
      </c>
      <c r="G4" s="58">
        <f>Analýza!AE4</f>
        <v>1.1756214205545916</v>
      </c>
      <c r="H4" s="58">
        <f>Analýza!AF4</f>
        <v>0.72878575370312937</v>
      </c>
      <c r="I4" s="58">
        <f>Analýza!AG4</f>
        <v>0.65230624916546898</v>
      </c>
      <c r="J4" s="58">
        <f>'[1]CEA ARR 5 let '!$K$5</f>
        <v>1.037865136355735</v>
      </c>
    </row>
    <row r="5" spans="1:10" ht="26" x14ac:dyDescent="0.35">
      <c r="A5" s="18" t="s">
        <v>16</v>
      </c>
      <c r="B5" s="43" t="s">
        <v>79</v>
      </c>
      <c r="C5" s="58">
        <f>Analýza!AA5</f>
        <v>0.74910367854127791</v>
      </c>
      <c r="D5" s="58">
        <f>Analýza!AB5</f>
        <v>0.74910367854127791</v>
      </c>
      <c r="E5" s="58">
        <f>Analýza!AC5</f>
        <v>0.74910367854127791</v>
      </c>
      <c r="F5" s="58">
        <f>Analýza!AD5</f>
        <v>0.63673812676008623</v>
      </c>
      <c r="G5" s="58">
        <f>Analýza!AE5</f>
        <v>0.74910367854127791</v>
      </c>
      <c r="H5" s="58">
        <f>Analýza!AF5</f>
        <v>0.37413236972983144</v>
      </c>
      <c r="I5" s="58">
        <f>Analýza!AG5</f>
        <v>0.33548103665863827</v>
      </c>
      <c r="J5" s="58">
        <f>'[1]CEA ARR 5 let '!$K$6</f>
        <v>0.58690935528568866</v>
      </c>
    </row>
    <row r="6" spans="1:10" ht="26" x14ac:dyDescent="0.35">
      <c r="A6" s="18" t="s">
        <v>16</v>
      </c>
      <c r="B6" s="43" t="s">
        <v>80</v>
      </c>
      <c r="C6" s="58">
        <f>Analýza!AA6</f>
        <v>1.7575895131550037</v>
      </c>
      <c r="D6" s="58">
        <f>Analýza!AB6</f>
        <v>1.7575895131550037</v>
      </c>
      <c r="E6" s="58">
        <f>Analýza!AC6</f>
        <v>1.7575895131550037</v>
      </c>
      <c r="F6" s="58">
        <f>Analýza!AD6</f>
        <v>1.2830403446031529</v>
      </c>
      <c r="G6" s="58">
        <f>Analýza!AE6</f>
        <v>1.7575895131550037</v>
      </c>
      <c r="H6" s="58">
        <f>Analýza!AF6</f>
        <v>0.69944556903228272</v>
      </c>
      <c r="I6" s="58">
        <f>Analýza!AG6</f>
        <v>0.67798785418970864</v>
      </c>
      <c r="J6" s="58">
        <f>'[1]CEA ARR 5 let '!$K$7</f>
        <v>0.84274163835893756</v>
      </c>
    </row>
    <row r="7" spans="1:10" ht="26" x14ac:dyDescent="0.35">
      <c r="A7" s="18" t="s">
        <v>24</v>
      </c>
      <c r="B7" s="45" t="s">
        <v>81</v>
      </c>
      <c r="C7" s="58">
        <f>Analýza!AA9</f>
        <v>1.9708427758307605</v>
      </c>
      <c r="D7" s="58">
        <f>Analýza!AB9</f>
        <v>1.9708427758307605</v>
      </c>
      <c r="E7" s="58">
        <f>Analýza!AC9</f>
        <v>1.9708427758307605</v>
      </c>
      <c r="F7" s="58">
        <f>Analýza!AD9</f>
        <v>1.2376892632217176</v>
      </c>
      <c r="G7" s="58">
        <f>Analýza!AE9</f>
        <v>1.9708427758307605</v>
      </c>
      <c r="H7" s="58">
        <f>Analýza!AF9</f>
        <v>0.64649937029016913</v>
      </c>
      <c r="I7" s="58" t="str">
        <f>Analýza!AG9</f>
        <v>-</v>
      </c>
      <c r="J7" s="58">
        <f>'[1]CEA ARR 5 let '!$K$9</f>
        <v>0.84846028868359691</v>
      </c>
    </row>
    <row r="8" spans="1:10" ht="26" x14ac:dyDescent="0.35">
      <c r="A8" s="18" t="s">
        <v>27</v>
      </c>
      <c r="B8" s="43" t="s">
        <v>82</v>
      </c>
      <c r="C8" s="58">
        <f>Analýza!AA10</f>
        <v>0.99417451247217947</v>
      </c>
      <c r="D8" s="58">
        <f>Analýza!AB10</f>
        <v>0.99417451247217947</v>
      </c>
      <c r="E8" s="58">
        <f>Analýza!AC10</f>
        <v>0.99417451247217947</v>
      </c>
      <c r="F8" s="58">
        <f>Analýza!AD10</f>
        <v>0.9106638534245165</v>
      </c>
      <c r="G8" s="58">
        <f>Analýza!AE10</f>
        <v>0.99417451247217947</v>
      </c>
      <c r="H8" s="58">
        <f>Analýza!AF10</f>
        <v>0.68686738709433337</v>
      </c>
      <c r="I8" s="58">
        <f>Analýza!AG10</f>
        <v>0.66232786279579525</v>
      </c>
      <c r="J8" s="58">
        <f>'[1]CEA ARR 5 let '!$K$10</f>
        <v>0.88427056294272077</v>
      </c>
    </row>
    <row r="9" spans="1:10" ht="26" x14ac:dyDescent="0.35">
      <c r="A9" s="18" t="s">
        <v>27</v>
      </c>
      <c r="B9" s="43" t="s">
        <v>83</v>
      </c>
      <c r="C9" s="58">
        <f>Analýza!AA11</f>
        <v>1.6976292178460455</v>
      </c>
      <c r="D9" s="58">
        <f>Analýza!AB11</f>
        <v>1.6976292178460455</v>
      </c>
      <c r="E9" s="58">
        <f>Analýza!AC11</f>
        <v>1.6976292178460455</v>
      </c>
      <c r="F9" s="58">
        <f>Analýza!AD11</f>
        <v>1.2596408796417657</v>
      </c>
      <c r="G9" s="58">
        <f>Analýza!AE11</f>
        <v>1.6976292178460455</v>
      </c>
      <c r="H9" s="58" t="str">
        <f>Analýza!AF11</f>
        <v>-</v>
      </c>
      <c r="I9" s="58">
        <f>Analýza!AG11</f>
        <v>0.66024381218664108</v>
      </c>
      <c r="J9" s="58">
        <f>'[1]CEA ARR 5 let '!$K$11</f>
        <v>0.81453968990448544</v>
      </c>
    </row>
    <row r="10" spans="1:10" ht="26" x14ac:dyDescent="0.35">
      <c r="A10" s="18" t="s">
        <v>156</v>
      </c>
      <c r="B10" s="43" t="s">
        <v>155</v>
      </c>
      <c r="C10" s="58">
        <f>Analýza!AA13</f>
        <v>1.0023038716724133</v>
      </c>
      <c r="D10" s="58">
        <f>Analýza!AB13</f>
        <v>1.0023038716724133</v>
      </c>
      <c r="E10" s="58">
        <f>Analýza!AC13</f>
        <v>1.0023038716724133</v>
      </c>
      <c r="F10" s="58">
        <f>Analýza!AD13</f>
        <v>1.0023038716724133</v>
      </c>
      <c r="G10" s="58">
        <f>Analýza!AE13</f>
        <v>1.0023038716724133</v>
      </c>
      <c r="H10" s="58" t="str">
        <f>Analýza!AF13</f>
        <v>-</v>
      </c>
      <c r="I10" s="58" t="str">
        <f>Analýza!AG13</f>
        <v>-</v>
      </c>
      <c r="J10" s="58">
        <f>'[1]CEA ARR 5 let '!$K$15</f>
        <v>1.0023038716724133</v>
      </c>
    </row>
    <row r="11" spans="1:10" ht="26" x14ac:dyDescent="0.35">
      <c r="A11" s="18" t="s">
        <v>113</v>
      </c>
      <c r="B11" s="43" t="s">
        <v>158</v>
      </c>
      <c r="C11" s="58">
        <f>Analýza!AA14</f>
        <v>1.8383710560633018</v>
      </c>
      <c r="D11" s="58">
        <f>Analýza!AB14</f>
        <v>1.8383710560633018</v>
      </c>
      <c r="E11" s="58">
        <f>Analýza!AC14</f>
        <v>1.8383710560633018</v>
      </c>
      <c r="F11" s="58">
        <f>Analýza!AD14</f>
        <v>1.3530410972625904</v>
      </c>
      <c r="G11" s="58">
        <f>Analýza!AE14</f>
        <v>1.8383710560633018</v>
      </c>
      <c r="H11" s="58">
        <f>Analýza!AF14</f>
        <v>0.70236082964362412</v>
      </c>
      <c r="I11" s="58" t="str">
        <f>Analýza!AG14</f>
        <v>-</v>
      </c>
      <c r="J11" s="58">
        <f>'[1]CEA ARR 5 let '!$K$18</f>
        <v>0.86382308933181351</v>
      </c>
    </row>
    <row r="12" spans="1:10" ht="26" x14ac:dyDescent="0.35">
      <c r="A12" s="18" t="s">
        <v>5</v>
      </c>
      <c r="B12" s="43" t="s">
        <v>157</v>
      </c>
      <c r="C12" s="58">
        <f>Analýza!AA15</f>
        <v>0.71684044708279426</v>
      </c>
      <c r="D12" s="58">
        <f>Analýza!AB15</f>
        <v>0.71684044708279426</v>
      </c>
      <c r="E12" s="58">
        <f>Analýza!AC15</f>
        <v>0.71684044708279426</v>
      </c>
      <c r="F12" s="58">
        <f>Analýza!AD15</f>
        <v>0.78685742098390432</v>
      </c>
      <c r="G12" s="58">
        <f>Analýza!AE15</f>
        <v>0.71684044708279426</v>
      </c>
      <c r="H12" s="58" t="str">
        <f>Analýza!AF15</f>
        <v>-</v>
      </c>
      <c r="I12" s="58" t="str">
        <f>Analýza!AG15</f>
        <v>-</v>
      </c>
      <c r="J12" s="58">
        <f>'[1]CEA ARR 5 let '!$K$16</f>
        <v>0.62681862349565276</v>
      </c>
    </row>
    <row r="13" spans="1:10" ht="26" x14ac:dyDescent="0.35">
      <c r="A13" s="18" t="s">
        <v>88</v>
      </c>
      <c r="B13" s="99" t="s">
        <v>160</v>
      </c>
      <c r="C13" s="63">
        <f>Analýza!AA12</f>
        <v>0.99999999178364796</v>
      </c>
      <c r="D13" s="63">
        <f>Analýza!AB12</f>
        <v>0.99999999178364796</v>
      </c>
      <c r="E13" s="63">
        <f>Analýza!AC12</f>
        <v>0.99999999178364796</v>
      </c>
      <c r="F13" s="63">
        <f>Analýza!AD12</f>
        <v>0.99999999178364796</v>
      </c>
      <c r="G13" s="63">
        <f>Analýza!AE12</f>
        <v>0.99999999178364796</v>
      </c>
      <c r="H13" s="63">
        <f>Analýza!AF12</f>
        <v>0.99999999178364796</v>
      </c>
      <c r="I13" s="63">
        <f>Analýza!AG12</f>
        <v>0.99999999178364796</v>
      </c>
      <c r="J13" s="63">
        <f>'[1]CEA ARR 5 let '!$K$12</f>
        <v>1</v>
      </c>
    </row>
    <row r="14" spans="1:10" ht="26" x14ac:dyDescent="0.35">
      <c r="A14" s="18" t="s">
        <v>40</v>
      </c>
      <c r="B14" s="93" t="s">
        <v>161</v>
      </c>
      <c r="C14" s="58">
        <f>Analýza!AA16</f>
        <v>1.0863085595358155</v>
      </c>
      <c r="D14" s="58">
        <f>Analýza!AB16</f>
        <v>1.0863085595358155</v>
      </c>
      <c r="E14" s="58">
        <f>Analýza!AC16</f>
        <v>1.0863085595358155</v>
      </c>
      <c r="F14" s="58">
        <f>Analýza!AD16</f>
        <v>1.1134662735242109</v>
      </c>
      <c r="G14" s="58">
        <f>Analýza!AE16</f>
        <v>1.0863085595358155</v>
      </c>
      <c r="H14" s="58">
        <f>Analýza!AF16</f>
        <v>1.039493062019156</v>
      </c>
      <c r="I14" s="58">
        <f>Analýza!AG16</f>
        <v>1.0307840900458862</v>
      </c>
      <c r="J14" s="58">
        <f>'[1]CEA ARR 5 let '!$K$13</f>
        <v>0.93241484693490839</v>
      </c>
    </row>
    <row r="15" spans="1:10" ht="26" x14ac:dyDescent="0.35">
      <c r="A15" s="18" t="s">
        <v>129</v>
      </c>
      <c r="B15" s="93" t="s">
        <v>166</v>
      </c>
      <c r="C15" s="58">
        <f>Analýza!AA17</f>
        <v>1.3445458621847035</v>
      </c>
      <c r="D15" s="58">
        <f>Analýza!AB17</f>
        <v>1.3445458621847035</v>
      </c>
      <c r="E15" s="58">
        <f>Analýza!AC17</f>
        <v>1.3445458621847035</v>
      </c>
      <c r="F15" s="58">
        <f>Analýza!AD17</f>
        <v>1.2396712849342966</v>
      </c>
      <c r="G15" s="58">
        <f>Analýza!AE17</f>
        <v>1.3445458621847035</v>
      </c>
      <c r="H15" s="58" t="str">
        <f>Analýza!AF17</f>
        <v>-</v>
      </c>
      <c r="I15" s="58" t="str">
        <f>Analýza!AG17</f>
        <v>-</v>
      </c>
      <c r="J15" s="58">
        <f>'[1]CEA ARR 5 let '!$K$14</f>
        <v>0.94410917987126852</v>
      </c>
    </row>
    <row r="16" spans="1:10" ht="26" x14ac:dyDescent="0.35">
      <c r="A16" s="18" t="s">
        <v>117</v>
      </c>
      <c r="B16" s="93" t="s">
        <v>159</v>
      </c>
      <c r="C16" s="58">
        <f>Analýza!AA18</f>
        <v>1.1464834437549782</v>
      </c>
      <c r="D16" s="58">
        <f>Analýza!AB18</f>
        <v>1.1464834437549782</v>
      </c>
      <c r="E16" s="58">
        <f>Analýza!AC18</f>
        <v>1.1464834437549782</v>
      </c>
      <c r="F16" s="58">
        <f>Analýza!AD18</f>
        <v>1.2062999712552378</v>
      </c>
      <c r="G16" s="58">
        <f>Analýza!AE18</f>
        <v>1.1464834437549782</v>
      </c>
      <c r="H16" s="58" t="str">
        <f>Analýza!AF18</f>
        <v>-</v>
      </c>
      <c r="I16" s="58" t="str">
        <f>Analýza!AG18</f>
        <v>-</v>
      </c>
      <c r="J16" s="58">
        <f>'[1]CEA ARR 5 let '!$K$17</f>
        <v>0.90123568100391338</v>
      </c>
    </row>
    <row r="17" spans="1:10" ht="26" x14ac:dyDescent="0.35">
      <c r="A17" s="18" t="s">
        <v>118</v>
      </c>
      <c r="B17" s="93" t="s">
        <v>162</v>
      </c>
      <c r="C17" s="58">
        <f>Analýza!AA19</f>
        <v>0.81800663797550743</v>
      </c>
      <c r="D17" s="58">
        <f>Analýza!AB19</f>
        <v>0.81800663797550743</v>
      </c>
      <c r="E17" s="58">
        <f>Analýza!AC19</f>
        <v>0.81800663797550743</v>
      </c>
      <c r="F17" s="58">
        <f>Analýza!AD19</f>
        <v>0.8606852451742294</v>
      </c>
      <c r="G17" s="58">
        <f>Analýza!AE19</f>
        <v>0.81800663797550743</v>
      </c>
      <c r="H17" s="58">
        <f>Analýza!AF19</f>
        <v>0.91476011128443846</v>
      </c>
      <c r="I17" s="58">
        <f>Analýza!AG19</f>
        <v>0.97139049624329366</v>
      </c>
      <c r="J17" s="58">
        <f>'[1]CEA ARR 5 let '!$K$19</f>
        <v>0.64302434846074663</v>
      </c>
    </row>
    <row r="18" spans="1:10" ht="26" x14ac:dyDescent="0.35">
      <c r="A18" s="18" t="s">
        <v>45</v>
      </c>
      <c r="B18" s="43" t="s">
        <v>163</v>
      </c>
      <c r="C18" s="58">
        <f>Analýza!AA20</f>
        <v>1.0905867073710267</v>
      </c>
      <c r="D18" s="58">
        <f>Analýza!AB20</f>
        <v>1.0905867073710267</v>
      </c>
      <c r="E18" s="58">
        <f>Analýza!AC20</f>
        <v>1.0905867073710267</v>
      </c>
      <c r="F18" s="58">
        <f>Analýza!AD20</f>
        <v>1.103940830318427</v>
      </c>
      <c r="G18" s="58">
        <f>Analýza!AE20</f>
        <v>1.0905867073710267</v>
      </c>
      <c r="H18" s="58">
        <f>Analýza!AF20</f>
        <v>1.0216138016391199</v>
      </c>
      <c r="I18" s="58">
        <f>Analýza!AG20</f>
        <v>1.163309839019268</v>
      </c>
      <c r="J18" s="58">
        <f>'[1]CEA ARR 5 let '!$K$20</f>
        <v>0.85972730691784371</v>
      </c>
    </row>
    <row r="19" spans="1:10" ht="26" x14ac:dyDescent="0.35">
      <c r="A19" s="18" t="s">
        <v>48</v>
      </c>
      <c r="B19" s="93" t="s">
        <v>164</v>
      </c>
      <c r="C19" s="58">
        <f>Analýza!AA21</f>
        <v>0.182658356879772</v>
      </c>
      <c r="D19" s="58">
        <f>Analýza!AB21</f>
        <v>0.365316713759544</v>
      </c>
      <c r="E19" s="58">
        <f>Analýza!AC21</f>
        <v>0.31192443456575336</v>
      </c>
      <c r="F19" s="58">
        <f>Analýza!AD21</f>
        <v>0.4917396968448346</v>
      </c>
      <c r="G19" s="58">
        <f>Analýza!AE21</f>
        <v>0.78391705361314512</v>
      </c>
      <c r="H19" s="58">
        <f>Analýza!AF21</f>
        <v>0.80889765756795828</v>
      </c>
      <c r="I19" s="58">
        <f>Analýza!AG21</f>
        <v>0.87097466744557184</v>
      </c>
      <c r="J19" s="58">
        <f>'[1]CEA ARR 5 let '!$K$21</f>
        <v>0.67417155941784357</v>
      </c>
    </row>
    <row r="20" spans="1:10" ht="26" x14ac:dyDescent="0.35">
      <c r="A20" s="18" t="s">
        <v>9</v>
      </c>
      <c r="B20" s="93" t="s">
        <v>165</v>
      </c>
      <c r="C20" s="58">
        <f>Analýza!AA25</f>
        <v>1.1835073560705147</v>
      </c>
      <c r="D20" s="58">
        <f>Analýza!AB25</f>
        <v>1.1835073560705147</v>
      </c>
      <c r="E20" s="58">
        <f>Analýza!AC25</f>
        <v>1.1835073560705147</v>
      </c>
      <c r="F20" s="58">
        <f>Analýza!AD25</f>
        <v>1.0059812526599377</v>
      </c>
      <c r="G20" s="58">
        <f>Analýza!AE25</f>
        <v>1.1835073560705147</v>
      </c>
      <c r="H20" s="58">
        <f>Analýza!AF25</f>
        <v>1.08322884015346</v>
      </c>
      <c r="I20" s="58">
        <f>Analýza!AG25</f>
        <v>1.1991070113660554</v>
      </c>
      <c r="J20" s="58">
        <f>'[1]CEA ARR 5 let '!$K$25</f>
        <v>0.76610967245636008</v>
      </c>
    </row>
    <row r="21" spans="1:10" ht="31" x14ac:dyDescent="0.35">
      <c r="A21" s="18" t="s">
        <v>50</v>
      </c>
      <c r="B21" s="43" t="s">
        <v>203</v>
      </c>
      <c r="C21" s="58">
        <f>Analýza!AA22</f>
        <v>0.57031839929228489</v>
      </c>
      <c r="D21" s="58">
        <f>Analýza!AB22</f>
        <v>1.4257959982307122</v>
      </c>
      <c r="E21" s="58">
        <f>Analýza!AC22</f>
        <v>1.239822607157141</v>
      </c>
      <c r="F21" s="58">
        <f>Analýza!AD22</f>
        <v>1.098482829941227</v>
      </c>
      <c r="G21" s="58">
        <f>Analýza!AE22</f>
        <v>2.479645214314282</v>
      </c>
      <c r="H21" s="58">
        <f>Analýza!AF22</f>
        <v>0.89669328754442512</v>
      </c>
      <c r="I21" s="58">
        <f>Analýza!AG22</f>
        <v>0.99101586337308145</v>
      </c>
      <c r="J21" s="58">
        <f>'[1]CEA ARR 5 let '!$K$22</f>
        <v>0.87330128873891844</v>
      </c>
    </row>
    <row r="22" spans="1:10" ht="31" x14ac:dyDescent="0.35">
      <c r="A22" s="18" t="s">
        <v>50</v>
      </c>
      <c r="B22" s="43" t="s">
        <v>204</v>
      </c>
      <c r="C22" s="58">
        <f>Analýza!AA23</f>
        <v>0.32589622816701996</v>
      </c>
      <c r="D22" s="58">
        <f>Analýza!AB23</f>
        <v>0.81474057041754988</v>
      </c>
      <c r="E22" s="58">
        <f>Analýza!AC23</f>
        <v>0.7084700612326521</v>
      </c>
      <c r="F22" s="58">
        <f>Analýza!AD23</f>
        <v>0.62770447425212983</v>
      </c>
      <c r="G22" s="58">
        <f>Analýza!AE23</f>
        <v>1.4169401224653042</v>
      </c>
      <c r="H22" s="58">
        <f>Analýza!AF23</f>
        <v>0.51239616431110013</v>
      </c>
      <c r="I22" s="58">
        <f>Analýza!AG23</f>
        <v>0.56629477907033232</v>
      </c>
      <c r="J22" s="58">
        <f>'[1]CEA ARR 5 let '!$K$23</f>
        <v>0.49902930785081057</v>
      </c>
    </row>
    <row r="23" spans="1:10" ht="31" x14ac:dyDescent="0.35">
      <c r="A23" s="18" t="s">
        <v>50</v>
      </c>
      <c r="B23" s="43" t="s">
        <v>205</v>
      </c>
      <c r="C23" s="58">
        <f>Analýza!AA24</f>
        <v>0.69252948485491728</v>
      </c>
      <c r="D23" s="58">
        <f>Analýza!AB24</f>
        <v>1.7313237121372933</v>
      </c>
      <c r="E23" s="58">
        <f>Analýza!AC24</f>
        <v>1.5054988801193854</v>
      </c>
      <c r="F23" s="58">
        <f>Analýza!AD24</f>
        <v>1.3338720077857755</v>
      </c>
      <c r="G23" s="58">
        <f>Analýza!AE24</f>
        <v>3.0109977602387707</v>
      </c>
      <c r="H23" s="58">
        <f>Analýza!AF24</f>
        <v>1.0888418491610876</v>
      </c>
      <c r="I23" s="58">
        <f>Analýza!AG24</f>
        <v>1.203376405524456</v>
      </c>
      <c r="J23" s="58">
        <f>'[1]CEA ARR 5 let '!$K$24</f>
        <v>1.0604372791829724</v>
      </c>
    </row>
  </sheetData>
  <pageMargins left="0.7" right="0.7" top="0.78740157499999996" bottom="0.78740157499999996" header="0.3" footer="0.3"/>
  <pageSetup paperSize="9" scale="95"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4"/>
  <sheetViews>
    <sheetView topLeftCell="A5" workbookViewId="0">
      <selection activeCell="N4" sqref="N4"/>
    </sheetView>
  </sheetViews>
  <sheetFormatPr defaultRowHeight="14.5" x14ac:dyDescent="0.35"/>
  <sheetData>
    <row r="24" spans="2:2" ht="12.75" customHeight="1" x14ac:dyDescent="0.35">
      <c r="B24" t="s">
        <v>84</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6:A27"/>
  <sheetViews>
    <sheetView topLeftCell="A8" zoomScaleNormal="100" workbookViewId="0">
      <selection activeCell="E28" sqref="E28"/>
    </sheetView>
  </sheetViews>
  <sheetFormatPr defaultRowHeight="14.5" x14ac:dyDescent="0.35"/>
  <sheetData>
    <row r="26" spans="1:1" ht="2.25" customHeight="1" x14ac:dyDescent="0.35"/>
    <row r="27" spans="1:1" ht="12.75" customHeight="1" x14ac:dyDescent="0.35">
      <c r="A27" s="70" t="s">
        <v>85</v>
      </c>
    </row>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9:A60"/>
  <sheetViews>
    <sheetView workbookViewId="0">
      <selection activeCell="A60" sqref="A60"/>
    </sheetView>
  </sheetViews>
  <sheetFormatPr defaultRowHeight="14.5" x14ac:dyDescent="0.35"/>
  <sheetData>
    <row r="19" ht="12.75" customHeight="1" x14ac:dyDescent="0.35"/>
    <row r="20" hidden="1" x14ac:dyDescent="0.35"/>
    <row r="59" spans="1:1" ht="6.75" customHeight="1" x14ac:dyDescent="0.35"/>
    <row r="60" spans="1:1" x14ac:dyDescent="0.35">
      <c r="A60" s="71" t="s">
        <v>103</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8:S65"/>
  <sheetViews>
    <sheetView workbookViewId="0">
      <selection activeCell="F48" sqref="F48"/>
    </sheetView>
  </sheetViews>
  <sheetFormatPr defaultRowHeight="14.5" x14ac:dyDescent="0.35"/>
  <sheetData>
    <row r="38" spans="2:2" ht="9.75" customHeight="1" x14ac:dyDescent="0.35"/>
    <row r="39" spans="2:2" ht="13.5" customHeight="1" x14ac:dyDescent="0.35">
      <c r="B39" s="73" t="s">
        <v>86</v>
      </c>
    </row>
    <row r="65" spans="18:19" x14ac:dyDescent="0.35">
      <c r="R65" s="72" t="s">
        <v>87</v>
      </c>
      <c r="S65" s="5"/>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6</vt:i4>
      </vt:variant>
    </vt:vector>
  </HeadingPairs>
  <TitlesOfParts>
    <vt:vector size="6" baseType="lpstr">
      <vt:lpstr>Analýza</vt:lpstr>
      <vt:lpstr>Sloupcový graf scénářů</vt:lpstr>
      <vt:lpstr>Nová klasifikace DMD</vt:lpstr>
      <vt:lpstr>Přehled DMD přípravků</vt:lpstr>
      <vt:lpstr>DMD - doporučení ČR 2020</vt:lpstr>
      <vt:lpstr>Volby DMD dle UpToDate</vt:lpstr>
    </vt:vector>
  </TitlesOfParts>
  <Company>FNOL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 systému Windows</dc:creator>
  <cp:lastModifiedBy>Uživatel systému Windows</cp:lastModifiedBy>
  <cp:lastPrinted>2022-01-17T09:45:16Z</cp:lastPrinted>
  <dcterms:created xsi:type="dcterms:W3CDTF">2020-06-23T07:31:22Z</dcterms:created>
  <dcterms:modified xsi:type="dcterms:W3CDTF">2023-09-11T19:40:29Z</dcterms:modified>
</cp:coreProperties>
</file>