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M:\JARDA\FE analýzy\"/>
    </mc:Choice>
  </mc:AlternateContent>
  <xr:revisionPtr revIDLastSave="0" documentId="13_ncr:1_{5D54AE8A-B8AC-43F1-A09D-EEE7A3F0A48B}" xr6:coauthVersionLast="47" xr6:coauthVersionMax="47" xr10:uidLastSave="{00000000-0000-0000-0000-000000000000}"/>
  <bookViews>
    <workbookView xWindow="-120" yWindow="-120" windowWidth="29040" windowHeight="15840" tabRatio="587" xr2:uid="{00000000-000D-0000-FFFF-FFFF00000000}"/>
  </bookViews>
  <sheets>
    <sheet name="Ceny za léčbu " sheetId="1" r:id="rId1"/>
    <sheet name="BIA (nVPMD)" sheetId="3" r:id="rId2"/>
    <sheet name="BIA (DME)" sheetId="10" r:id="rId3"/>
    <sheet name="úhrady od ZP za léčbu" sheetId="12" r:id="rId4"/>
    <sheet name="Obrázky1" sheetId="7" r:id="rId5"/>
    <sheet name="Obrázky2" sheetId="8" r:id="rId6"/>
    <sheet name="Obrázky3" sheetId="9" r:id="rId7"/>
    <sheet name="Tabulky" sheetId="11" r:id="rId8"/>
  </sheets>
  <externalReferences>
    <externalReference r:id="rId9"/>
  </externalReferences>
  <definedNames>
    <definedName name="_xlnm._FilterDatabase" localSheetId="0" hidden="1">'Ceny za léčbu '!$B$3:$AF$26</definedName>
    <definedName name="_xlnm._FilterDatabase" localSheetId="3" hidden="1">'úhrady od ZP za léčbu'!$B$3:$AB$26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6" i="1" l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Z26" i="12" l="1"/>
  <c r="Z25" i="12"/>
  <c r="Z24" i="12"/>
  <c r="Z23" i="12"/>
  <c r="Z21" i="12"/>
  <c r="R21" i="12"/>
  <c r="T21" i="12" s="1"/>
  <c r="Z20" i="12"/>
  <c r="R20" i="12"/>
  <c r="T20" i="12" s="1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Z6" i="12"/>
  <c r="Z5" i="12"/>
  <c r="Z4" i="12"/>
  <c r="I15" i="12"/>
  <c r="P15" i="12" s="1"/>
  <c r="I14" i="12"/>
  <c r="J14" i="12" s="1"/>
  <c r="E12" i="3"/>
  <c r="AD15" i="1"/>
  <c r="I15" i="1" s="1"/>
  <c r="AD14" i="1"/>
  <c r="I14" i="1" s="1"/>
  <c r="AD13" i="1"/>
  <c r="AD12" i="1"/>
  <c r="J15" i="12" l="1"/>
  <c r="L15" i="12" s="1"/>
  <c r="N15" i="12"/>
  <c r="R15" i="12"/>
  <c r="T15" i="12" s="1"/>
  <c r="P14" i="12"/>
  <c r="L14" i="12"/>
  <c r="N14" i="12"/>
  <c r="J14" i="1"/>
  <c r="R14" i="1"/>
  <c r="J15" i="1"/>
  <c r="R15" i="1"/>
  <c r="I13" i="1"/>
  <c r="I12" i="1"/>
  <c r="I13" i="12"/>
  <c r="I12" i="12"/>
  <c r="I26" i="12"/>
  <c r="I25" i="12"/>
  <c r="I24" i="12"/>
  <c r="I23" i="12"/>
  <c r="I22" i="12"/>
  <c r="I21" i="12"/>
  <c r="J21" i="12" s="1"/>
  <c r="I20" i="12"/>
  <c r="J20" i="12" s="1"/>
  <c r="I19" i="12"/>
  <c r="I18" i="12"/>
  <c r="I17" i="12"/>
  <c r="I16" i="12"/>
  <c r="I11" i="12"/>
  <c r="I10" i="12"/>
  <c r="I9" i="12"/>
  <c r="I8" i="12"/>
  <c r="I7" i="12"/>
  <c r="I6" i="12"/>
  <c r="I5" i="12"/>
  <c r="I4" i="12"/>
  <c r="V15" i="12" l="1"/>
  <c r="P19" i="12"/>
  <c r="J19" i="12"/>
  <c r="L20" i="12"/>
  <c r="N20" i="12" s="1"/>
  <c r="J9" i="12"/>
  <c r="P9" i="12"/>
  <c r="P10" i="12"/>
  <c r="J10" i="12"/>
  <c r="J24" i="12"/>
  <c r="P24" i="12"/>
  <c r="J7" i="12"/>
  <c r="P7" i="12"/>
  <c r="P12" i="12"/>
  <c r="J12" i="12"/>
  <c r="J8" i="12"/>
  <c r="P8" i="12"/>
  <c r="P13" i="12"/>
  <c r="J13" i="12"/>
  <c r="L21" i="12"/>
  <c r="N21" i="12" s="1"/>
  <c r="P22" i="12"/>
  <c r="J22" i="12"/>
  <c r="J11" i="12"/>
  <c r="P11" i="12"/>
  <c r="J23" i="12"/>
  <c r="P23" i="12"/>
  <c r="R14" i="12"/>
  <c r="T14" i="12" s="1"/>
  <c r="J4" i="12"/>
  <c r="P4" i="12"/>
  <c r="P16" i="12"/>
  <c r="J16" i="12"/>
  <c r="P5" i="12"/>
  <c r="J5" i="12"/>
  <c r="J17" i="12"/>
  <c r="P17" i="12"/>
  <c r="J25" i="12"/>
  <c r="P25" i="12"/>
  <c r="P6" i="12"/>
  <c r="J6" i="12"/>
  <c r="P18" i="12"/>
  <c r="J18" i="12"/>
  <c r="P26" i="12"/>
  <c r="J26" i="12"/>
  <c r="T15" i="1"/>
  <c r="L15" i="1"/>
  <c r="N15" i="1" s="1"/>
  <c r="T14" i="1"/>
  <c r="L14" i="1"/>
  <c r="P14" i="1" s="1"/>
  <c r="J12" i="1"/>
  <c r="R12" i="1"/>
  <c r="J13" i="1"/>
  <c r="R13" i="1"/>
  <c r="E11" i="10"/>
  <c r="E4" i="10"/>
  <c r="L3" i="10"/>
  <c r="E3" i="10" s="1"/>
  <c r="L2" i="10"/>
  <c r="E2" i="10" s="1"/>
  <c r="K12" i="10" l="1"/>
  <c r="N14" i="1"/>
  <c r="V14" i="12"/>
  <c r="R25" i="12"/>
  <c r="T25" i="12" s="1"/>
  <c r="L24" i="12"/>
  <c r="N24" i="12"/>
  <c r="L10" i="12"/>
  <c r="L26" i="12"/>
  <c r="L8" i="12"/>
  <c r="L12" i="12"/>
  <c r="N12" i="12" s="1"/>
  <c r="AB25" i="12"/>
  <c r="AB26" i="12"/>
  <c r="K26" i="12" s="1"/>
  <c r="AB7" i="12"/>
  <c r="K7" i="12" s="1"/>
  <c r="AB21" i="12"/>
  <c r="K21" i="12" s="1"/>
  <c r="AB18" i="12"/>
  <c r="K18" i="12" s="1"/>
  <c r="L18" i="12"/>
  <c r="N18" i="12" s="1"/>
  <c r="AB11" i="12"/>
  <c r="AB10" i="12"/>
  <c r="K10" i="12" s="1"/>
  <c r="AB20" i="12"/>
  <c r="K20" i="12" s="1"/>
  <c r="AB6" i="12"/>
  <c r="AB19" i="12"/>
  <c r="K19" i="12" s="1"/>
  <c r="Q23" i="12"/>
  <c r="R23" i="12"/>
  <c r="T23" i="12" s="1"/>
  <c r="R18" i="12"/>
  <c r="T18" i="12"/>
  <c r="R5" i="12"/>
  <c r="T5" i="12" s="1"/>
  <c r="K23" i="12"/>
  <c r="L23" i="12"/>
  <c r="N23" i="12" s="1"/>
  <c r="R7" i="12"/>
  <c r="T7" i="12"/>
  <c r="R4" i="12"/>
  <c r="Q4" i="12"/>
  <c r="R13" i="12"/>
  <c r="T13" i="12" s="1"/>
  <c r="L19" i="12"/>
  <c r="L25" i="12"/>
  <c r="N25" i="12" s="1"/>
  <c r="K25" i="12"/>
  <c r="L4" i="12"/>
  <c r="N4" i="12" s="1"/>
  <c r="K4" i="12"/>
  <c r="R8" i="12"/>
  <c r="T8" i="12" s="1"/>
  <c r="R19" i="12"/>
  <c r="T19" i="12" s="1"/>
  <c r="R17" i="12"/>
  <c r="L22" i="12"/>
  <c r="R10" i="12"/>
  <c r="T10" i="12" s="1"/>
  <c r="R26" i="12"/>
  <c r="T26" i="12" s="1"/>
  <c r="L17" i="12"/>
  <c r="N17" i="12"/>
  <c r="R22" i="12"/>
  <c r="R9" i="12"/>
  <c r="T9" i="12" s="1"/>
  <c r="N5" i="12"/>
  <c r="L5" i="12"/>
  <c r="R12" i="12"/>
  <c r="T12" i="12"/>
  <c r="L9" i="12"/>
  <c r="N9" i="12"/>
  <c r="K6" i="12"/>
  <c r="L6" i="12"/>
  <c r="AA23" i="12"/>
  <c r="AA22" i="12"/>
  <c r="K22" i="12" s="1"/>
  <c r="L16" i="12"/>
  <c r="AA8" i="12"/>
  <c r="K8" i="12" s="1"/>
  <c r="AA9" i="12"/>
  <c r="K9" i="12" s="1"/>
  <c r="AA24" i="12"/>
  <c r="K24" i="12" s="1"/>
  <c r="AA16" i="12"/>
  <c r="K16" i="12" s="1"/>
  <c r="AA17" i="12"/>
  <c r="K17" i="12" s="1"/>
  <c r="AA4" i="12"/>
  <c r="AA5" i="12" s="1"/>
  <c r="K5" i="12" s="1"/>
  <c r="R11" i="12"/>
  <c r="V21" i="12"/>
  <c r="L7" i="12"/>
  <c r="AF26" i="12"/>
  <c r="Q26" i="12" s="1"/>
  <c r="AF20" i="12"/>
  <c r="AF10" i="12"/>
  <c r="Q10" i="12" s="1"/>
  <c r="AF19" i="12"/>
  <c r="Q19" i="12" s="1"/>
  <c r="AF6" i="12"/>
  <c r="Q6" i="12" s="1"/>
  <c r="R6" i="12"/>
  <c r="AF25" i="12"/>
  <c r="Q25" i="12" s="1"/>
  <c r="AF21" i="12"/>
  <c r="AF7" i="12"/>
  <c r="Q7" i="12" s="1"/>
  <c r="AF18" i="12"/>
  <c r="Q18" i="12" s="1"/>
  <c r="T6" i="12"/>
  <c r="AF11" i="12"/>
  <c r="Q11" i="12" s="1"/>
  <c r="AE24" i="12"/>
  <c r="Q24" i="12" s="1"/>
  <c r="AE17" i="12"/>
  <c r="Q17" i="12" s="1"/>
  <c r="AE23" i="12"/>
  <c r="AE9" i="12"/>
  <c r="Q9" i="12" s="1"/>
  <c r="AE16" i="12"/>
  <c r="Q16" i="12" s="1"/>
  <c r="AE22" i="12"/>
  <c r="Q22" i="12" s="1"/>
  <c r="R16" i="12"/>
  <c r="T16" i="12" s="1"/>
  <c r="AE5" i="12"/>
  <c r="Q5" i="12" s="1"/>
  <c r="AE8" i="12"/>
  <c r="Q8" i="12" s="1"/>
  <c r="AE4" i="12"/>
  <c r="L11" i="12"/>
  <c r="N11" i="12" s="1"/>
  <c r="K11" i="12"/>
  <c r="L13" i="12"/>
  <c r="N13" i="12" s="1"/>
  <c r="R24" i="12"/>
  <c r="T24" i="12" s="1"/>
  <c r="V20" i="12"/>
  <c r="I12" i="10"/>
  <c r="J12" i="10"/>
  <c r="V15" i="1"/>
  <c r="X14" i="1"/>
  <c r="Z14" i="1" s="1"/>
  <c r="V14" i="1"/>
  <c r="X15" i="1"/>
  <c r="Z15" i="1" s="1"/>
  <c r="P15" i="1"/>
  <c r="T13" i="1"/>
  <c r="L13" i="1"/>
  <c r="N13" i="1" s="1"/>
  <c r="T12" i="1"/>
  <c r="V12" i="1" s="1"/>
  <c r="L12" i="1"/>
  <c r="N12" i="1" s="1"/>
  <c r="I22" i="1"/>
  <c r="R22" i="1" s="1"/>
  <c r="T22" i="1" s="1"/>
  <c r="T21" i="1"/>
  <c r="V21" i="1" s="1"/>
  <c r="T20" i="1"/>
  <c r="V20" i="1" s="1"/>
  <c r="AD21" i="1"/>
  <c r="I21" i="1" s="1"/>
  <c r="AD20" i="1"/>
  <c r="I20" i="1" s="1"/>
  <c r="P13" i="1" l="1"/>
  <c r="V22" i="12"/>
  <c r="M8" i="12"/>
  <c r="V8" i="12"/>
  <c r="V16" i="12"/>
  <c r="S8" i="12"/>
  <c r="N8" i="12"/>
  <c r="AN5" i="12"/>
  <c r="U5" i="12" s="1"/>
  <c r="AN24" i="12"/>
  <c r="U24" i="12" s="1"/>
  <c r="AN17" i="12"/>
  <c r="U17" i="12" s="1"/>
  <c r="AN12" i="12"/>
  <c r="U12" i="12" s="1"/>
  <c r="AN22" i="12"/>
  <c r="U22" i="12" s="1"/>
  <c r="AN9" i="12"/>
  <c r="U9" i="12" s="1"/>
  <c r="V9" i="12"/>
  <c r="AP19" i="12"/>
  <c r="U19" i="12" s="1"/>
  <c r="AP14" i="12"/>
  <c r="U14" i="12" s="1"/>
  <c r="AP11" i="12"/>
  <c r="U11" i="12" s="1"/>
  <c r="AP21" i="12"/>
  <c r="U21" i="12" s="1"/>
  <c r="AP26" i="12"/>
  <c r="U26" i="12" s="1"/>
  <c r="AP20" i="12"/>
  <c r="U20" i="12" s="1"/>
  <c r="AP7" i="12"/>
  <c r="U7" i="12" s="1"/>
  <c r="AJ24" i="12"/>
  <c r="O24" i="12" s="1"/>
  <c r="AJ17" i="12"/>
  <c r="O17" i="12" s="1"/>
  <c r="AJ12" i="12"/>
  <c r="O12" i="12" s="1"/>
  <c r="AJ22" i="12"/>
  <c r="O22" i="12" s="1"/>
  <c r="V24" i="12"/>
  <c r="AJ5" i="12"/>
  <c r="O5" i="12" s="1"/>
  <c r="AJ9" i="12"/>
  <c r="O9" i="12" s="1"/>
  <c r="V11" i="12"/>
  <c r="AK25" i="12"/>
  <c r="O25" i="12" s="1"/>
  <c r="AK10" i="12"/>
  <c r="O10" i="12" s="1"/>
  <c r="V25" i="12"/>
  <c r="AK18" i="12"/>
  <c r="O18" i="12" s="1"/>
  <c r="AK15" i="12"/>
  <c r="O15" i="12" s="1"/>
  <c r="AK6" i="12"/>
  <c r="O6" i="12" s="1"/>
  <c r="V10" i="12"/>
  <c r="V17" i="12"/>
  <c r="M17" i="12"/>
  <c r="T11" i="12"/>
  <c r="N22" i="12"/>
  <c r="V19" i="12"/>
  <c r="AH18" i="12"/>
  <c r="S18" i="12" s="1"/>
  <c r="AH14" i="12"/>
  <c r="S14" i="12" s="1"/>
  <c r="AH20" i="12"/>
  <c r="S20" i="12" s="1"/>
  <c r="AH10" i="12"/>
  <c r="AH11" i="12"/>
  <c r="S11" i="12" s="1"/>
  <c r="AH19" i="12"/>
  <c r="S19" i="12" s="1"/>
  <c r="AH26" i="12"/>
  <c r="S26" i="12" s="1"/>
  <c r="AH25" i="12"/>
  <c r="AH21" i="12"/>
  <c r="S21" i="12" s="1"/>
  <c r="AH7" i="12"/>
  <c r="S7" i="12" s="1"/>
  <c r="AH15" i="12"/>
  <c r="S15" i="12" s="1"/>
  <c r="AH6" i="12"/>
  <c r="S6" i="12"/>
  <c r="V7" i="12"/>
  <c r="N19" i="12"/>
  <c r="AL21" i="12"/>
  <c r="O21" i="12" s="1"/>
  <c r="AL11" i="12"/>
  <c r="O11" i="12" s="1"/>
  <c r="AL14" i="12"/>
  <c r="O14" i="12" s="1"/>
  <c r="AL26" i="12"/>
  <c r="O26" i="12" s="1"/>
  <c r="V26" i="12"/>
  <c r="AL19" i="12"/>
  <c r="O19" i="12" s="1"/>
  <c r="AL7" i="12"/>
  <c r="O7" i="12" s="1"/>
  <c r="AL20" i="12"/>
  <c r="O20" i="12" s="1"/>
  <c r="V13" i="12"/>
  <c r="N7" i="12"/>
  <c r="N16" i="12"/>
  <c r="T22" i="12"/>
  <c r="S10" i="12"/>
  <c r="T17" i="12"/>
  <c r="AC16" i="12"/>
  <c r="M16" i="12" s="1"/>
  <c r="AC12" i="12"/>
  <c r="AC8" i="12"/>
  <c r="V4" i="12"/>
  <c r="M4" i="12"/>
  <c r="AC23" i="12"/>
  <c r="AC9" i="12"/>
  <c r="M9" i="12" s="1"/>
  <c r="AC24" i="12"/>
  <c r="M24" i="12" s="1"/>
  <c r="AC22" i="12"/>
  <c r="M22" i="12" s="1"/>
  <c r="AC17" i="12"/>
  <c r="AC4" i="12"/>
  <c r="AC5" i="12"/>
  <c r="AC13" i="12"/>
  <c r="M13" i="12" s="1"/>
  <c r="N26" i="12"/>
  <c r="AO18" i="12"/>
  <c r="U18" i="12" s="1"/>
  <c r="AO6" i="12"/>
  <c r="U6" i="12" s="1"/>
  <c r="AO25" i="12"/>
  <c r="U25" i="12" s="1"/>
  <c r="AO15" i="12"/>
  <c r="U15" i="12" s="1"/>
  <c r="AO10" i="12"/>
  <c r="U10" i="12" s="1"/>
  <c r="S25" i="12"/>
  <c r="AD20" i="12"/>
  <c r="M20" i="12" s="1"/>
  <c r="AD15" i="12"/>
  <c r="M15" i="12" s="1"/>
  <c r="AD18" i="12"/>
  <c r="M18" i="12" s="1"/>
  <c r="AD19" i="12"/>
  <c r="M19" i="12" s="1"/>
  <c r="AD10" i="12"/>
  <c r="M10" i="12" s="1"/>
  <c r="AD6" i="12"/>
  <c r="AD25" i="12"/>
  <c r="M25" i="12" s="1"/>
  <c r="AD21" i="12"/>
  <c r="M21" i="12" s="1"/>
  <c r="AD26" i="12"/>
  <c r="M26" i="12" s="1"/>
  <c r="AD14" i="12"/>
  <c r="M14" i="12" s="1"/>
  <c r="AD11" i="12"/>
  <c r="M11" i="12" s="1"/>
  <c r="V6" i="12"/>
  <c r="AD7" i="12"/>
  <c r="M7" i="12" s="1"/>
  <c r="M6" i="12"/>
  <c r="M5" i="12"/>
  <c r="V5" i="12"/>
  <c r="AI23" i="12"/>
  <c r="O23" i="12" s="1"/>
  <c r="AI4" i="12"/>
  <c r="O4" i="12" s="1"/>
  <c r="AI13" i="12"/>
  <c r="O13" i="12" s="1"/>
  <c r="AI8" i="12"/>
  <c r="O8" i="12" s="1"/>
  <c r="V23" i="12"/>
  <c r="AI16" i="12"/>
  <c r="O16" i="12" s="1"/>
  <c r="M23" i="12"/>
  <c r="N6" i="12"/>
  <c r="T4" i="12"/>
  <c r="AG16" i="12"/>
  <c r="S16" i="12" s="1"/>
  <c r="AM4" i="12"/>
  <c r="U4" i="12" s="1"/>
  <c r="AM13" i="12"/>
  <c r="U13" i="12" s="1"/>
  <c r="AG24" i="12"/>
  <c r="S24" i="12" s="1"/>
  <c r="AG17" i="12"/>
  <c r="S17" i="12" s="1"/>
  <c r="AG22" i="12"/>
  <c r="S22" i="12" s="1"/>
  <c r="AG9" i="12"/>
  <c r="S9" i="12" s="1"/>
  <c r="AG13" i="12"/>
  <c r="S13" i="12" s="1"/>
  <c r="AG5" i="12"/>
  <c r="S5" i="12" s="1"/>
  <c r="AG8" i="12"/>
  <c r="AG4" i="12"/>
  <c r="S4" i="12" s="1"/>
  <c r="AM23" i="12"/>
  <c r="U23" i="12" s="1"/>
  <c r="AG23" i="12"/>
  <c r="S23" i="12" s="1"/>
  <c r="AG12" i="12"/>
  <c r="S12" i="12" s="1"/>
  <c r="AM8" i="12"/>
  <c r="U8" i="12" s="1"/>
  <c r="AM16" i="12"/>
  <c r="U16" i="12" s="1"/>
  <c r="V18" i="12"/>
  <c r="V12" i="12"/>
  <c r="M12" i="12"/>
  <c r="N10" i="12"/>
  <c r="K7" i="10"/>
  <c r="I7" i="10"/>
  <c r="J7" i="10"/>
  <c r="J12" i="3"/>
  <c r="I12" i="3"/>
  <c r="P12" i="1"/>
  <c r="K12" i="3"/>
  <c r="X13" i="1"/>
  <c r="Z13" i="1" s="1"/>
  <c r="V13" i="1"/>
  <c r="X12" i="1"/>
  <c r="Z12" i="1" s="1"/>
  <c r="V22" i="1"/>
  <c r="J21" i="1"/>
  <c r="J20" i="1"/>
  <c r="J22" i="1"/>
  <c r="AD11" i="1"/>
  <c r="I11" i="1" s="1"/>
  <c r="AD10" i="1"/>
  <c r="I10" i="1" s="1"/>
  <c r="AD9" i="1"/>
  <c r="I9" i="1" s="1"/>
  <c r="AD8" i="1"/>
  <c r="I8" i="1" s="1"/>
  <c r="X7" i="12" l="1"/>
  <c r="X22" i="12"/>
  <c r="X12" i="12"/>
  <c r="AT26" i="12"/>
  <c r="W26" i="12" s="1"/>
  <c r="AT21" i="12"/>
  <c r="W21" i="12" s="1"/>
  <c r="AT19" i="12"/>
  <c r="W19" i="12" s="1"/>
  <c r="AT7" i="12"/>
  <c r="W7" i="12" s="1"/>
  <c r="AT20" i="12"/>
  <c r="W20" i="12" s="1"/>
  <c r="AT11" i="12"/>
  <c r="W11" i="12" s="1"/>
  <c r="AT14" i="12"/>
  <c r="W14" i="12" s="1"/>
  <c r="AQ13" i="12"/>
  <c r="W13" i="12" s="1"/>
  <c r="X13" i="12" s="1"/>
  <c r="AQ23" i="12"/>
  <c r="W23" i="12" s="1"/>
  <c r="AQ16" i="12"/>
  <c r="W16" i="12" s="1"/>
  <c r="X16" i="12" s="1"/>
  <c r="AQ4" i="12"/>
  <c r="W4" i="12" s="1"/>
  <c r="AQ8" i="12"/>
  <c r="W8" i="12" s="1"/>
  <c r="X8" i="12" s="1"/>
  <c r="X9" i="12"/>
  <c r="X11" i="12"/>
  <c r="X21" i="12"/>
  <c r="AS25" i="12"/>
  <c r="W25" i="12" s="1"/>
  <c r="AS6" i="12"/>
  <c r="W6" i="12" s="1"/>
  <c r="X6" i="12" s="1"/>
  <c r="AS15" i="12"/>
  <c r="W15" i="12" s="1"/>
  <c r="X15" i="12" s="1"/>
  <c r="AS10" i="12"/>
  <c r="W10" i="12" s="1"/>
  <c r="AS18" i="12"/>
  <c r="W18" i="12" s="1"/>
  <c r="X18" i="12" s="1"/>
  <c r="AR22" i="12"/>
  <c r="W22" i="12" s="1"/>
  <c r="AR24" i="12"/>
  <c r="W24" i="12" s="1"/>
  <c r="AR5" i="12"/>
  <c r="W5" i="12" s="1"/>
  <c r="X5" i="12" s="1"/>
  <c r="AR9" i="12"/>
  <c r="W9" i="12" s="1"/>
  <c r="AR12" i="12"/>
  <c r="W12" i="12" s="1"/>
  <c r="AR17" i="12"/>
  <c r="W17" i="12" s="1"/>
  <c r="X17" i="12" s="1"/>
  <c r="J7" i="3"/>
  <c r="I7" i="3"/>
  <c r="K7" i="3"/>
  <c r="L20" i="1"/>
  <c r="N20" i="1" s="1"/>
  <c r="L21" i="1"/>
  <c r="L22" i="1"/>
  <c r="N22" i="1" s="1"/>
  <c r="J8" i="1"/>
  <c r="R8" i="1"/>
  <c r="J9" i="1"/>
  <c r="R9" i="1"/>
  <c r="J10" i="1"/>
  <c r="R10" i="1"/>
  <c r="J11" i="1"/>
  <c r="R11" i="1"/>
  <c r="E11" i="3"/>
  <c r="E4" i="3"/>
  <c r="L3" i="3"/>
  <c r="E3" i="3" s="1"/>
  <c r="L2" i="3"/>
  <c r="E2" i="3" s="1"/>
  <c r="X21" i="1" l="1"/>
  <c r="Z21" i="1" s="1"/>
  <c r="N21" i="1"/>
  <c r="P21" i="1"/>
  <c r="P22" i="1"/>
  <c r="X22" i="1"/>
  <c r="Z22" i="1" s="1"/>
  <c r="P20" i="1"/>
  <c r="X20" i="1"/>
  <c r="Z20" i="1" s="1"/>
  <c r="L9" i="1"/>
  <c r="N9" i="1" s="1"/>
  <c r="T8" i="1"/>
  <c r="V8" i="1" s="1"/>
  <c r="L8" i="1"/>
  <c r="N8" i="1" s="1"/>
  <c r="T9" i="1"/>
  <c r="V9" i="1" s="1"/>
  <c r="T11" i="1"/>
  <c r="V11" i="1" s="1"/>
  <c r="L11" i="1"/>
  <c r="N11" i="1" s="1"/>
  <c r="T10" i="1"/>
  <c r="V10" i="1" s="1"/>
  <c r="L10" i="1"/>
  <c r="AD26" i="1"/>
  <c r="AD25" i="1"/>
  <c r="I25" i="1" s="1"/>
  <c r="AD24" i="1"/>
  <c r="I24" i="1" s="1"/>
  <c r="AD23" i="1"/>
  <c r="AD19" i="1"/>
  <c r="I19" i="1" s="1"/>
  <c r="AD18" i="1"/>
  <c r="I18" i="1" s="1"/>
  <c r="AD17" i="1"/>
  <c r="I17" i="1" s="1"/>
  <c r="AD16" i="1"/>
  <c r="I16" i="1" s="1"/>
  <c r="AD7" i="1"/>
  <c r="I7" i="1" s="1"/>
  <c r="AD6" i="1"/>
  <c r="I6" i="1" s="1"/>
  <c r="AD5" i="1"/>
  <c r="I5" i="1" s="1"/>
  <c r="AD4" i="1"/>
  <c r="I4" i="1" s="1"/>
  <c r="P10" i="1" l="1"/>
  <c r="N10" i="1"/>
  <c r="X11" i="1"/>
  <c r="K9" i="10"/>
  <c r="J9" i="10"/>
  <c r="I9" i="10"/>
  <c r="P8" i="1"/>
  <c r="J9" i="3"/>
  <c r="I9" i="3"/>
  <c r="P9" i="1"/>
  <c r="K9" i="3"/>
  <c r="P11" i="1"/>
  <c r="X8" i="1"/>
  <c r="Z8" i="1" s="1"/>
  <c r="X9" i="1"/>
  <c r="X10" i="1"/>
  <c r="Z10" i="1" s="1"/>
  <c r="J4" i="1"/>
  <c r="R4" i="1"/>
  <c r="J5" i="1"/>
  <c r="R5" i="1"/>
  <c r="J24" i="1"/>
  <c r="R24" i="1"/>
  <c r="J6" i="1"/>
  <c r="R6" i="1"/>
  <c r="J25" i="1"/>
  <c r="R25" i="1"/>
  <c r="J7" i="1"/>
  <c r="R7" i="1"/>
  <c r="J16" i="1"/>
  <c r="R16" i="1"/>
  <c r="J17" i="1"/>
  <c r="R17" i="1"/>
  <c r="J18" i="1"/>
  <c r="R18" i="1"/>
  <c r="J19" i="1"/>
  <c r="R19" i="1"/>
  <c r="I23" i="1"/>
  <c r="K4" i="10" l="1"/>
  <c r="Z11" i="1"/>
  <c r="K4" i="3"/>
  <c r="Z9" i="1"/>
  <c r="I4" i="10"/>
  <c r="J4" i="10"/>
  <c r="J4" i="3"/>
  <c r="I4" i="3"/>
  <c r="T19" i="1"/>
  <c r="V19" i="1" s="1"/>
  <c r="T7" i="1"/>
  <c r="V7" i="1" s="1"/>
  <c r="T5" i="1"/>
  <c r="V5" i="1" s="1"/>
  <c r="L19" i="1"/>
  <c r="L7" i="1"/>
  <c r="L5" i="1"/>
  <c r="T18" i="1"/>
  <c r="V18" i="1" s="1"/>
  <c r="T25" i="1"/>
  <c r="T4" i="1"/>
  <c r="V4" i="1" s="1"/>
  <c r="AF6" i="1"/>
  <c r="K6" i="1" s="1"/>
  <c r="L25" i="1"/>
  <c r="N25" i="1" s="1"/>
  <c r="L4" i="1"/>
  <c r="N4" i="1" s="1"/>
  <c r="T17" i="1"/>
  <c r="V17" i="1" s="1"/>
  <c r="L17" i="1"/>
  <c r="L6" i="1"/>
  <c r="N6" i="1" s="1"/>
  <c r="T24" i="1"/>
  <c r="L24" i="1"/>
  <c r="N24" i="1" s="1"/>
  <c r="T16" i="1"/>
  <c r="V16" i="1" s="1"/>
  <c r="AI22" i="1"/>
  <c r="S22" i="1" s="1"/>
  <c r="L16" i="1"/>
  <c r="N16" i="1" s="1"/>
  <c r="AE22" i="1"/>
  <c r="K22" i="1" s="1"/>
  <c r="L18" i="1"/>
  <c r="N18" i="1" s="1"/>
  <c r="AF20" i="1"/>
  <c r="K20" i="1" s="1"/>
  <c r="AF21" i="1"/>
  <c r="K21" i="1" s="1"/>
  <c r="AJ21" i="1"/>
  <c r="AJ20" i="1"/>
  <c r="T6" i="1"/>
  <c r="AE16" i="1"/>
  <c r="AJ19" i="1"/>
  <c r="S19" i="1" s="1"/>
  <c r="AJ18" i="1"/>
  <c r="S18" i="1" s="1"/>
  <c r="AJ11" i="1"/>
  <c r="S11" i="1" s="1"/>
  <c r="AJ7" i="1"/>
  <c r="S7" i="1" s="1"/>
  <c r="AJ6" i="1"/>
  <c r="S6" i="1" s="1"/>
  <c r="AJ26" i="1"/>
  <c r="AJ10" i="1"/>
  <c r="S10" i="1" s="1"/>
  <c r="AJ25" i="1"/>
  <c r="S25" i="1" s="1"/>
  <c r="AE17" i="1"/>
  <c r="AE23" i="1"/>
  <c r="AE24" i="1"/>
  <c r="AE4" i="1"/>
  <c r="AE8" i="1"/>
  <c r="K8" i="1" s="1"/>
  <c r="AF19" i="1"/>
  <c r="K19" i="1" s="1"/>
  <c r="AE9" i="1"/>
  <c r="K9" i="1" s="1"/>
  <c r="AF26" i="1"/>
  <c r="AI23" i="1"/>
  <c r="AI17" i="1"/>
  <c r="S17" i="1" s="1"/>
  <c r="AI16" i="1"/>
  <c r="S16" i="1" s="1"/>
  <c r="AI9" i="1"/>
  <c r="S9" i="1" s="1"/>
  <c r="AI5" i="1"/>
  <c r="S5" i="1" s="1"/>
  <c r="AI4" i="1"/>
  <c r="S4" i="1" s="1"/>
  <c r="AI24" i="1"/>
  <c r="S24" i="1" s="1"/>
  <c r="AI8" i="1"/>
  <c r="S8" i="1" s="1"/>
  <c r="AF25" i="1"/>
  <c r="K25" i="1" s="1"/>
  <c r="AF7" i="1"/>
  <c r="K7" i="1" s="1"/>
  <c r="J23" i="1"/>
  <c r="R23" i="1"/>
  <c r="AF10" i="1"/>
  <c r="K10" i="1" s="1"/>
  <c r="AF11" i="1"/>
  <c r="K11" i="1" s="1"/>
  <c r="AF18" i="1"/>
  <c r="K18" i="1" s="1"/>
  <c r="I26" i="1"/>
  <c r="K10" i="10" l="1"/>
  <c r="N19" i="1"/>
  <c r="K10" i="3"/>
  <c r="N17" i="1"/>
  <c r="K8" i="3"/>
  <c r="N5" i="1"/>
  <c r="K8" i="10"/>
  <c r="N7" i="1"/>
  <c r="AH25" i="1"/>
  <c r="O25" i="1" s="1"/>
  <c r="AH10" i="1"/>
  <c r="O10" i="1" s="1"/>
  <c r="AH19" i="1"/>
  <c r="O19" i="1" s="1"/>
  <c r="AH15" i="1"/>
  <c r="O15" i="1" s="1"/>
  <c r="AH14" i="1"/>
  <c r="O14" i="1" s="1"/>
  <c r="AH26" i="1"/>
  <c r="AH11" i="1"/>
  <c r="O11" i="1" s="1"/>
  <c r="AH21" i="1"/>
  <c r="O21" i="1" s="1"/>
  <c r="AH7" i="1"/>
  <c r="O7" i="1" s="1"/>
  <c r="AH20" i="1"/>
  <c r="AH6" i="1"/>
  <c r="AH18" i="1"/>
  <c r="O18" i="1" s="1"/>
  <c r="V6" i="1"/>
  <c r="AL15" i="1"/>
  <c r="U15" i="1" s="1"/>
  <c r="AL14" i="1"/>
  <c r="U14" i="1" s="1"/>
  <c r="AL11" i="1"/>
  <c r="U11" i="1" s="1"/>
  <c r="AO15" i="1"/>
  <c r="Q15" i="1" s="1"/>
  <c r="AO10" i="1"/>
  <c r="Q10" i="1" s="1"/>
  <c r="AS15" i="1"/>
  <c r="W15" i="1" s="1"/>
  <c r="AS10" i="1"/>
  <c r="W10" i="1" s="1"/>
  <c r="AR12" i="1"/>
  <c r="W12" i="1" s="1"/>
  <c r="AR9" i="1"/>
  <c r="W9" i="1" s="1"/>
  <c r="AG23" i="1"/>
  <c r="AG5" i="1"/>
  <c r="O5" i="1" s="1"/>
  <c r="AG22" i="1"/>
  <c r="O22" i="1" s="1"/>
  <c r="AG4" i="1"/>
  <c r="O4" i="1" s="1"/>
  <c r="AG17" i="1"/>
  <c r="O17" i="1" s="1"/>
  <c r="AG16" i="1"/>
  <c r="O16" i="1" s="1"/>
  <c r="AG13" i="1"/>
  <c r="O13" i="1" s="1"/>
  <c r="AG12" i="1"/>
  <c r="O12" i="1" s="1"/>
  <c r="AG9" i="1"/>
  <c r="O9" i="1" s="1"/>
  <c r="AG24" i="1"/>
  <c r="O24" i="1" s="1"/>
  <c r="AG8" i="1"/>
  <c r="O8" i="1" s="1"/>
  <c r="K11" i="3"/>
  <c r="AN12" i="1"/>
  <c r="Q12" i="1" s="1"/>
  <c r="AN9" i="1"/>
  <c r="Q9" i="1" s="1"/>
  <c r="J8" i="10"/>
  <c r="I8" i="10"/>
  <c r="J11" i="10"/>
  <c r="I11" i="10"/>
  <c r="J10" i="10"/>
  <c r="I10" i="10"/>
  <c r="X19" i="1"/>
  <c r="J10" i="3"/>
  <c r="I10" i="3"/>
  <c r="P4" i="1"/>
  <c r="I8" i="3"/>
  <c r="J8" i="3"/>
  <c r="V24" i="1"/>
  <c r="AR22" i="1"/>
  <c r="W22" i="1" s="1"/>
  <c r="AR5" i="1"/>
  <c r="W5" i="1" s="1"/>
  <c r="AR17" i="1"/>
  <c r="W17" i="1" s="1"/>
  <c r="AR24" i="1"/>
  <c r="W24" i="1" s="1"/>
  <c r="V25" i="1"/>
  <c r="AS25" i="1"/>
  <c r="W25" i="1" s="1"/>
  <c r="AS18" i="1"/>
  <c r="W18" i="1" s="1"/>
  <c r="AS6" i="1"/>
  <c r="W6" i="1" s="1"/>
  <c r="P25" i="1"/>
  <c r="AO25" i="1"/>
  <c r="Q25" i="1" s="1"/>
  <c r="AO18" i="1"/>
  <c r="Q18" i="1" s="1"/>
  <c r="AO6" i="1"/>
  <c r="Q6" i="1" s="1"/>
  <c r="P19" i="1"/>
  <c r="AN22" i="1"/>
  <c r="Q22" i="1" s="1"/>
  <c r="AN17" i="1"/>
  <c r="Q17" i="1" s="1"/>
  <c r="AN5" i="1"/>
  <c r="Q5" i="1" s="1"/>
  <c r="AN24" i="1"/>
  <c r="Q24" i="1" s="1"/>
  <c r="X5" i="1"/>
  <c r="P7" i="1"/>
  <c r="X7" i="1"/>
  <c r="X16" i="1"/>
  <c r="Z16" i="1" s="1"/>
  <c r="P6" i="1"/>
  <c r="X6" i="1"/>
  <c r="Z6" i="1" s="1"/>
  <c r="P17" i="1"/>
  <c r="X17" i="1"/>
  <c r="P24" i="1"/>
  <c r="X24" i="1"/>
  <c r="Z24" i="1" s="1"/>
  <c r="P16" i="1"/>
  <c r="X4" i="1"/>
  <c r="Z4" i="1" s="1"/>
  <c r="P5" i="1"/>
  <c r="X18" i="1"/>
  <c r="Z18" i="1" s="1"/>
  <c r="X25" i="1"/>
  <c r="Z25" i="1" s="1"/>
  <c r="P18" i="1"/>
  <c r="T23" i="1"/>
  <c r="L23" i="1"/>
  <c r="N23" i="1" s="1"/>
  <c r="AL10" i="1"/>
  <c r="U10" i="1" s="1"/>
  <c r="AL26" i="1"/>
  <c r="AL7" i="1"/>
  <c r="U7" i="1" s="1"/>
  <c r="AL25" i="1"/>
  <c r="U25" i="1" s="1"/>
  <c r="AL6" i="1"/>
  <c r="U6" i="1" s="1"/>
  <c r="AL21" i="1"/>
  <c r="U21" i="1" s="1"/>
  <c r="AL20" i="1"/>
  <c r="U20" i="1" s="1"/>
  <c r="AL19" i="1"/>
  <c r="U19" i="1" s="1"/>
  <c r="AL18" i="1"/>
  <c r="U18" i="1" s="1"/>
  <c r="O20" i="1"/>
  <c r="O6" i="1"/>
  <c r="S23" i="1"/>
  <c r="J26" i="1"/>
  <c r="R26" i="1"/>
  <c r="AE5" i="1"/>
  <c r="K4" i="1"/>
  <c r="K3" i="3" l="1"/>
  <c r="Z5" i="1"/>
  <c r="K5" i="10"/>
  <c r="Z19" i="1"/>
  <c r="K5" i="3"/>
  <c r="Z17" i="1"/>
  <c r="K3" i="10"/>
  <c r="Z7" i="1"/>
  <c r="AW15" i="1"/>
  <c r="AA15" i="1" s="1"/>
  <c r="AB15" i="1" s="1"/>
  <c r="AW10" i="1"/>
  <c r="AA10" i="1" s="1"/>
  <c r="AM13" i="1"/>
  <c r="Q13" i="1" s="1"/>
  <c r="AM8" i="1"/>
  <c r="Q8" i="1" s="1"/>
  <c r="AK16" i="1"/>
  <c r="U16" i="1" s="1"/>
  <c r="AK13" i="1"/>
  <c r="U13" i="1" s="1"/>
  <c r="AK12" i="1"/>
  <c r="U12" i="1" s="1"/>
  <c r="AK9" i="1"/>
  <c r="U9" i="1" s="1"/>
  <c r="AK24" i="1"/>
  <c r="U24" i="1" s="1"/>
  <c r="AK8" i="1"/>
  <c r="U8" i="1" s="1"/>
  <c r="AK23" i="1"/>
  <c r="U23" i="1" s="1"/>
  <c r="AK5" i="1"/>
  <c r="U5" i="1" s="1"/>
  <c r="AQ13" i="1"/>
  <c r="W13" i="1" s="1"/>
  <c r="AK22" i="1"/>
  <c r="U22" i="1" s="1"/>
  <c r="AK4" i="1"/>
  <c r="U4" i="1" s="1"/>
  <c r="AQ8" i="1"/>
  <c r="W8" i="1" s="1"/>
  <c r="AK17" i="1"/>
  <c r="U17" i="1" s="1"/>
  <c r="K6" i="3"/>
  <c r="AV12" i="1"/>
  <c r="AA12" i="1" s="1"/>
  <c r="AB12" i="1" s="1"/>
  <c r="AV9" i="1"/>
  <c r="AA9" i="1" s="1"/>
  <c r="AB9" i="1" s="1"/>
  <c r="J6" i="10"/>
  <c r="I6" i="10"/>
  <c r="I5" i="10"/>
  <c r="J5" i="10"/>
  <c r="I3" i="10"/>
  <c r="J3" i="10"/>
  <c r="I3" i="3"/>
  <c r="J3" i="3"/>
  <c r="J5" i="3"/>
  <c r="I5" i="3"/>
  <c r="P23" i="1"/>
  <c r="J11" i="3"/>
  <c r="I11" i="3"/>
  <c r="V23" i="1"/>
  <c r="AQ23" i="1"/>
  <c r="W23" i="1" s="1"/>
  <c r="AQ16" i="1"/>
  <c r="W16" i="1" s="1"/>
  <c r="AQ4" i="1"/>
  <c r="W4" i="1" s="1"/>
  <c r="AV22" i="1"/>
  <c r="AA22" i="1" s="1"/>
  <c r="AB22" i="1" s="1"/>
  <c r="AV24" i="1"/>
  <c r="AA24" i="1" s="1"/>
  <c r="AV5" i="1"/>
  <c r="AA5" i="1" s="1"/>
  <c r="AB5" i="1" s="1"/>
  <c r="AV17" i="1"/>
  <c r="AA17" i="1" s="1"/>
  <c r="AB17" i="1" s="1"/>
  <c r="AW25" i="1"/>
  <c r="AA25" i="1" s="1"/>
  <c r="AW18" i="1"/>
  <c r="AA18" i="1" s="1"/>
  <c r="AB18" i="1" s="1"/>
  <c r="AW6" i="1"/>
  <c r="AA6" i="1" s="1"/>
  <c r="AB6" i="1" s="1"/>
  <c r="O23" i="1"/>
  <c r="AM23" i="1"/>
  <c r="Q23" i="1" s="1"/>
  <c r="AM16" i="1"/>
  <c r="Q16" i="1" s="1"/>
  <c r="AM4" i="1"/>
  <c r="Q4" i="1" s="1"/>
  <c r="X23" i="1"/>
  <c r="Z23" i="1" s="1"/>
  <c r="L26" i="1"/>
  <c r="N26" i="1" s="1"/>
  <c r="S26" i="1"/>
  <c r="T26" i="1"/>
  <c r="K26" i="1"/>
  <c r="K16" i="1"/>
  <c r="K5" i="1"/>
  <c r="AT11" i="1" l="1"/>
  <c r="W11" i="1" s="1"/>
  <c r="AT14" i="1"/>
  <c r="W14" i="1" s="1"/>
  <c r="K11" i="10"/>
  <c r="AP14" i="1"/>
  <c r="Q14" i="1" s="1"/>
  <c r="AP11" i="1"/>
  <c r="AU13" i="1"/>
  <c r="AA13" i="1" s="1"/>
  <c r="AB13" i="1" s="1"/>
  <c r="AU8" i="1"/>
  <c r="AA8" i="1" s="1"/>
  <c r="AB8" i="1" s="1"/>
  <c r="J6" i="3"/>
  <c r="I6" i="3"/>
  <c r="AU16" i="1"/>
  <c r="AA16" i="1" s="1"/>
  <c r="AB16" i="1" s="1"/>
  <c r="AU4" i="1"/>
  <c r="AA4" i="1" s="1"/>
  <c r="AU23" i="1"/>
  <c r="AA23" i="1" s="1"/>
  <c r="AP20" i="1"/>
  <c r="Q20" i="1" s="1"/>
  <c r="AP26" i="1"/>
  <c r="Q26" i="1" s="1"/>
  <c r="AP21" i="1"/>
  <c r="Q21" i="1" s="1"/>
  <c r="AP19" i="1"/>
  <c r="Q19" i="1" s="1"/>
  <c r="Q11" i="1"/>
  <c r="AP7" i="1"/>
  <c r="Q7" i="1" s="1"/>
  <c r="U26" i="1"/>
  <c r="AT20" i="1"/>
  <c r="W20" i="1" s="1"/>
  <c r="AT19" i="1"/>
  <c r="W19" i="1" s="1"/>
  <c r="AT26" i="1"/>
  <c r="W26" i="1" s="1"/>
  <c r="AT21" i="1"/>
  <c r="W21" i="1" s="1"/>
  <c r="AT7" i="1"/>
  <c r="W7" i="1" s="1"/>
  <c r="P26" i="1"/>
  <c r="X26" i="1"/>
  <c r="Z26" i="1" s="1"/>
  <c r="O26" i="1"/>
  <c r="V26" i="1"/>
  <c r="K24" i="1"/>
  <c r="K23" i="1"/>
  <c r="K17" i="1"/>
  <c r="K6" i="10" l="1"/>
  <c r="AX14" i="1"/>
  <c r="AA14" i="1" s="1"/>
  <c r="AX11" i="1"/>
  <c r="AA11" i="1" s="1"/>
  <c r="AB11" i="1" s="1"/>
  <c r="AX20" i="1"/>
  <c r="AA20" i="1" s="1"/>
  <c r="AX7" i="1"/>
  <c r="AA7" i="1" s="1"/>
  <c r="AB7" i="1" s="1"/>
  <c r="AX19" i="1"/>
  <c r="AA19" i="1" s="1"/>
  <c r="AX26" i="1"/>
  <c r="AA26" i="1" s="1"/>
  <c r="AX21" i="1"/>
  <c r="AA21" i="1" s="1"/>
  <c r="AB2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H12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3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14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5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20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Uvedena jen jednotková cena (1ks - na 3 roky) Iluvienu 
</t>
        </r>
      </text>
    </comment>
    <comment ref="J20" authorId="0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Počítána cena za 1 ks Ozurdexu a 1 ks Iluvienu</t>
        </r>
      </text>
    </comment>
    <comment ref="L20" authorId="0" shapeId="0" xr:uid="{00000000-0006-0000-0000-000007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T20" authorId="0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  <comment ref="H21" authorId="0" shapeId="0" xr:uid="{00000000-0006-0000-0000-000009000000}">
      <text>
        <r>
          <rPr>
            <sz val="9"/>
            <color indexed="81"/>
            <rFont val="Tahoma"/>
            <family val="2"/>
            <charset val="238"/>
          </rPr>
          <t>Tato cena je jen za 1. balení, další balení pro téhož pacienta je již jen za 1 Kč</t>
        </r>
      </text>
    </comment>
    <comment ref="L21" authorId="0" shapeId="0" xr:uid="{00000000-0006-0000-0000-00000A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T21" authorId="0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  <comment ref="H22" authorId="0" shapeId="0" xr:uid="{00000000-0006-0000-0000-00000C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1.4.2023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H4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5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6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7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12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3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14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5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16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7" authorId="0" shapeId="0" xr:uid="{00000000-0006-0000-0100-00000A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18" authorId="0" shapeId="0" xr:uid="{00000000-0006-0000-0100-00000B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1.11.2024
</t>
        </r>
      </text>
    </comment>
    <comment ref="H19" authorId="0" shapeId="0" xr:uid="{00000000-0006-0000-0100-00000C000000}">
      <text>
        <r>
          <rPr>
            <sz val="9"/>
            <color indexed="81"/>
            <rFont val="Tahoma"/>
            <family val="2"/>
            <charset val="238"/>
          </rPr>
          <t xml:space="preserve">dle maximální úhrady k 1.11..2024
</t>
        </r>
      </text>
    </comment>
    <comment ref="H20" authorId="0" shapeId="0" xr:uid="{00000000-0006-0000-0100-00000D000000}">
      <text>
        <r>
          <rPr>
            <sz val="9"/>
            <color indexed="81"/>
            <rFont val="Tahoma"/>
            <family val="2"/>
            <charset val="238"/>
          </rPr>
          <t xml:space="preserve">Uvedena úhrada (1ks - na 3 roky) Iluvienu </t>
        </r>
      </text>
    </comment>
    <comment ref="J20" authorId="0" shapeId="0" xr:uid="{00000000-0006-0000-0100-00000E000000}">
      <text>
        <r>
          <rPr>
            <sz val="9"/>
            <color indexed="81"/>
            <rFont val="Tahoma"/>
            <family val="2"/>
            <charset val="238"/>
          </rPr>
          <t>Počítána cena za 1 ks Ozurdexu a 1 ks Iluvienu</t>
        </r>
      </text>
    </comment>
    <comment ref="L20" authorId="0" shapeId="0" xr:uid="{00000000-0006-0000-0100-00000F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R20" authorId="0" shapeId="0" xr:uid="{00000000-0006-0000-0100-000010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  <comment ref="L21" authorId="0" shapeId="0" xr:uid="{00000000-0006-0000-0100-000011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R21" authorId="0" shapeId="0" xr:uid="{00000000-0006-0000-0100-000012000000}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</commentList>
</comments>
</file>

<file path=xl/sharedStrings.xml><?xml version="1.0" encoding="utf-8"?>
<sst xmlns="http://schemas.openxmlformats.org/spreadsheetml/2006/main" count="417" uniqueCount="155">
  <si>
    <t>látka</t>
  </si>
  <si>
    <t>bonus</t>
  </si>
  <si>
    <r>
      <t xml:space="preserve">LP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 (posuz. LP je zvýrazněn modře)</t>
    </r>
  </si>
  <si>
    <t>držitel registrace</t>
  </si>
  <si>
    <t>Novartis</t>
  </si>
  <si>
    <t>Roche</t>
  </si>
  <si>
    <r>
      <rPr>
        <b/>
        <sz val="9"/>
        <color rgb="FFFFFF00"/>
        <rFont val="Calibri"/>
        <family val="2"/>
        <charset val="238"/>
      </rPr>
      <t>Δ</t>
    </r>
    <r>
      <rPr>
        <b/>
        <sz val="8.1"/>
        <color rgb="FFFFFF00"/>
        <rFont val="Calibri"/>
        <family val="2"/>
        <charset val="238"/>
      </rPr>
      <t xml:space="preserve"> c</t>
    </r>
    <r>
      <rPr>
        <b/>
        <sz val="9"/>
        <color rgb="FFFFFF00"/>
        <rFont val="Calibri"/>
        <family val="2"/>
        <charset val="238"/>
        <scheme val="minor"/>
      </rPr>
      <t>ena za rok u 100 pac., vč. bonusů</t>
    </r>
  </si>
  <si>
    <r>
      <t>bod. hodnota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</si>
  <si>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horní mez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</si>
  <si>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dolní mez        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</si>
  <si>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t>Cena za rok terapie u 100 pac., vč. bonusů</t>
  </si>
  <si>
    <t>ranibizumab</t>
  </si>
  <si>
    <t>faricimab</t>
  </si>
  <si>
    <t>VABYSMO 120mg/ml inj. 1x0,24ml (pro dávku 6mg)</t>
  </si>
  <si>
    <r>
      <rPr>
        <b/>
        <u/>
        <sz val="12"/>
        <color theme="1"/>
        <rFont val="Calibri"/>
        <family val="2"/>
        <charset val="238"/>
        <scheme val="minor"/>
      </rPr>
      <t>vlhká forma VPMD - tzv. nVPMD</t>
    </r>
    <r>
      <rPr>
        <b/>
        <sz val="12"/>
        <color theme="1"/>
        <rFont val="Calibri"/>
        <family val="2"/>
        <charset val="238"/>
        <scheme val="minor"/>
      </rPr>
      <t xml:space="preserve"> (při splnění dalších úhrad. podmínek) a</t>
    </r>
    <r>
      <rPr>
        <b/>
        <u/>
        <sz val="12"/>
        <color theme="1"/>
        <rFont val="Calibri"/>
        <family val="2"/>
        <charset val="238"/>
        <scheme val="minor"/>
      </rPr>
      <t xml:space="preserve"> DMA u pac. s DM 1. nebo 2. typu</t>
    </r>
    <r>
      <rPr>
        <b/>
        <sz val="12"/>
        <color theme="1"/>
        <rFont val="Calibri"/>
        <family val="2"/>
        <charset val="238"/>
        <scheme val="minor"/>
      </rPr>
      <t xml:space="preserve"> s glyk. hemoglob. v době zahájení léčby nižším než 70 mmol/mol (při splnění dalších úhrad. podmínek) 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</si>
  <si>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6mg 1x měsíčně - celkem 4 dávky</t>
    </r>
  </si>
  <si>
    <r>
      <t xml:space="preserve">počet dávek za 2. a další rok léčby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</si>
  <si>
    <t xml:space="preserve">EYLEA 40mg/ml inj. 1x0,09ml   (pro dávku 2mg)                    </t>
  </si>
  <si>
    <t>Bayer</t>
  </si>
  <si>
    <t>aflibercept</t>
  </si>
  <si>
    <t xml:space="preserve">BEOVU 120mg/ml inj. 1x0,165ml                                   (pro dávku 6mg)                    </t>
  </si>
  <si>
    <t>brolucizumab</t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</si>
  <si>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0,5mg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b/>
        <sz val="10"/>
        <color theme="1"/>
        <rFont val="Calibri"/>
        <family val="2"/>
        <charset val="238"/>
        <scheme val="minor"/>
      </rPr>
      <t>-</t>
    </r>
    <r>
      <rPr>
        <sz val="10"/>
        <color theme="1"/>
        <rFont val="Calibri"/>
        <family val="2"/>
        <charset val="238"/>
        <scheme val="minor"/>
      </rPr>
      <t xml:space="preserve">4 dávky   </t>
    </r>
    <r>
      <rPr>
        <sz val="8"/>
        <color theme="1"/>
        <rFont val="Calibri"/>
        <family val="2"/>
        <charset val="238"/>
        <scheme val="minor"/>
      </rPr>
      <t xml:space="preserve"> (dle UpToDate</t>
    </r>
    <r>
      <rPr>
        <vertAlign val="superscript"/>
        <sz val="8"/>
        <color theme="1"/>
        <rFont val="Calibri"/>
        <family val="2"/>
        <charset val="238"/>
        <scheme val="minor"/>
      </rPr>
      <t>114</t>
    </r>
    <r>
      <rPr>
        <sz val="8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</si>
  <si>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4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3 dávky</t>
    </r>
  </si>
  <si>
    <r>
      <rPr>
        <b/>
        <u/>
        <sz val="10"/>
        <color theme="1"/>
        <rFont val="Calibri"/>
        <family val="2"/>
        <charset val="238"/>
        <scheme val="minor"/>
      </rPr>
      <t>nVPMD s aktiv. onem.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</si>
  <si>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r>
      <rPr>
        <b/>
        <u/>
        <sz val="10"/>
        <color theme="1"/>
        <rFont val="Calibri"/>
        <family val="2"/>
        <charset val="238"/>
        <scheme val="minor"/>
      </rPr>
      <t>nVPMD s PRN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možno najednou prodl. max. o 2 týdny.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</si>
  <si>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měsíc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</si>
  <si>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 s fix. režimem ā měsíc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</si>
  <si>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6mg 1x měsíčně - celkem 4 dávky</t>
    </r>
  </si>
  <si>
    <r>
      <rPr>
        <b/>
        <u/>
        <sz val="10"/>
        <color theme="1"/>
        <rFont val="Calibri"/>
        <family val="2"/>
        <charset val="238"/>
        <scheme val="minor"/>
      </rPr>
      <t>nVPMD s PRN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5 dáve</t>
    </r>
    <r>
      <rPr>
        <b/>
        <sz val="10"/>
        <color theme="1"/>
        <rFont val="Calibri"/>
        <family val="2"/>
        <charset val="238"/>
        <scheme val="minor"/>
      </rPr>
      <t>k                 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</si>
  <si>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t>iniciální dávkování    (tzv. "LD") dle SPC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 xml:space="preserve">        či jiného zdroje                                  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</si>
  <si>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0,5mg</t>
    </r>
    <r>
      <rPr>
        <vertAlign val="superscript"/>
        <sz val="10"/>
        <color theme="1"/>
        <rFont val="Calibri"/>
        <family val="2"/>
        <charset val="238"/>
        <scheme val="minor"/>
      </rPr>
      <t>107</t>
    </r>
    <r>
      <rPr>
        <sz val="10"/>
        <color theme="1"/>
        <rFont val="Calibri"/>
        <family val="2"/>
        <charset val="238"/>
        <scheme val="minor"/>
      </rPr>
      <t xml:space="preserve"> 1x za 4 týdny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4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(dle Přílohy č. 15 pozn. e))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</si>
  <si>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0,5mg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 xml:space="preserve">3 </t>
    </r>
    <r>
      <rPr>
        <sz val="10"/>
        <color theme="1"/>
        <rFont val="Calibri"/>
        <family val="2"/>
        <charset val="238"/>
        <scheme val="minor"/>
      </rPr>
      <t>dávky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</si>
  <si>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možno najednou prodl. max. o 1 měs.    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</si>
  <si>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možno najednou prodl. max. o 1 měs.    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</si>
  <si>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2 dávky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</si>
  <si>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9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</si>
  <si>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2mg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dávky 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</si>
  <si>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</si>
  <si>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</si>
  <si>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8 dáve</t>
    </r>
    <r>
      <rPr>
        <b/>
        <sz val="10"/>
        <color theme="1"/>
        <rFont val="Calibri"/>
        <family val="2"/>
        <charset val="238"/>
        <scheme val="minor"/>
      </rPr>
      <t>k                 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</si>
  <si>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obvykle prodl. o 2 týdny, na obvykle max. 4 měs.,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</si>
  <si>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 prodl. jednoráz. max. o 4 týdny, na obvykle max. 4 měs.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10 dávek</t>
    </r>
    <r>
      <rPr>
        <b/>
        <sz val="10"/>
        <color theme="1"/>
        <rFont val="Calibri"/>
        <family val="2"/>
        <charset val="238"/>
        <scheme val="minor"/>
      </rPr>
      <t xml:space="preserve">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</si>
  <si>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2mg 1x za 4 týdny - celk.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4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(dle Přílohy č. 15 pozn. e), </t>
    </r>
    <r>
      <rPr>
        <u/>
        <sz val="8"/>
        <color theme="1"/>
        <rFont val="Calibri"/>
        <family val="2"/>
        <charset val="238"/>
        <scheme val="minor"/>
      </rPr>
      <t>dle SPC 5x ā měs</t>
    </r>
    <r>
      <rPr>
        <sz val="8"/>
        <color theme="1"/>
        <rFont val="Calibri"/>
        <family val="2"/>
        <charset val="238"/>
        <scheme val="minor"/>
      </rPr>
      <t>.)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</si>
  <si>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obvykle prodl. o 2 týdny, na obvykle max. 4 měs.,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11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</si>
  <si>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8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</si>
  <si>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6mg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dávky  </t>
    </r>
  </si>
  <si>
    <r>
      <rPr>
        <b/>
        <u/>
        <sz val="10"/>
        <color theme="1"/>
        <rFont val="Calibri"/>
        <family val="2"/>
        <charset val="238"/>
        <scheme val="minor"/>
      </rPr>
      <t>nVPMD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3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4 dávky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</si>
  <si>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6mg 1x za 6 týdnů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5</t>
    </r>
    <r>
      <rPr>
        <sz val="10"/>
        <color theme="1"/>
        <rFont val="Calibri"/>
        <family val="2"/>
        <charset val="238"/>
        <scheme val="minor"/>
      </rPr>
      <t xml:space="preserve"> dávek 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</si>
  <si>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 6mg 1x za 3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</si>
  <si>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r>
      <rPr>
        <b/>
        <u/>
        <sz val="10"/>
        <color theme="1"/>
        <rFont val="Calibri"/>
        <family val="2"/>
        <charset val="238"/>
        <scheme val="minor"/>
      </rPr>
      <t>DME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3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4 dávky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</si>
  <si>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</si>
  <si>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r>
      <rPr>
        <b/>
        <u/>
        <sz val="10"/>
        <color theme="1"/>
        <rFont val="Calibri"/>
        <family val="2"/>
        <charset val="238"/>
        <scheme val="minor"/>
      </rPr>
      <t>DME s aktiv. onem.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</si>
  <si>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r>
      <t xml:space="preserve">počet dávek za 1. rok léčby                                  </t>
    </r>
    <r>
      <rPr>
        <sz val="9"/>
        <color theme="1"/>
        <rFont val="Calibri"/>
        <family val="2"/>
        <charset val="238"/>
        <scheme val="minor"/>
      </rPr>
      <t xml:space="preserve"> (pro účely přepočtu: 1 měsíc = 30,42 dne)          </t>
    </r>
    <r>
      <rPr>
        <b/>
        <sz val="11"/>
        <color theme="1"/>
        <rFont val="Calibri"/>
        <family val="2"/>
        <charset val="238"/>
        <scheme val="minor"/>
      </rPr>
      <t xml:space="preserve">            </t>
    </r>
    <r>
      <rPr>
        <sz val="9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</si>
  <si>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po 4 měs. od zahájení pak 6mg 1x za 3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5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</si>
  <si>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po 4 měs. od zahájení pak 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</si>
  <si>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po 5 měs. od zahájení pak 6mg 1x za 4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5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</si>
  <si>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po 5 měs. od zahájení pak 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</si>
  <si>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t xml:space="preserve">nejlevnější u nVPMD za 1. rok </t>
  </si>
  <si>
    <r>
      <rPr>
        <b/>
        <u/>
        <sz val="10"/>
        <color theme="1"/>
        <rFont val="Calibri"/>
        <family val="2"/>
        <charset val="238"/>
        <scheme val="minor"/>
      </rPr>
      <t xml:space="preserve">DME s TaE režim. po LD 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prodl. jednoráz. max. o 4 týdny, na max. 4 měs. - viz pozn. 122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</si>
  <si>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 s TaE režimem po 4 měs.</t>
    </r>
    <r>
      <rPr>
        <sz val="10"/>
        <color theme="1"/>
        <rFont val="Calibri"/>
        <family val="2"/>
        <charset val="238"/>
        <scheme val="minor"/>
      </rPr>
      <t xml:space="preserve">: viz pozn. 122 </t>
    </r>
    <r>
      <rPr>
        <sz val="9"/>
        <color theme="1"/>
        <rFont val="Calibri"/>
        <family val="2"/>
        <charset val="238"/>
        <scheme val="minor"/>
      </rPr>
      <t xml:space="preserve">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3 dávky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</si>
  <si>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b/>
        <u/>
        <sz val="9"/>
        <color theme="1"/>
        <rFont val="Calibri"/>
        <family val="2"/>
        <charset val="238"/>
        <scheme val="minor"/>
      </rPr>
      <t xml:space="preserve"> s režim. Q8W ve stud. YOSEMITE a RHINE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6mg po 4 týdn. - celkem 6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</si>
  <si>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</t>
    </r>
    <r>
      <rPr>
        <b/>
        <u/>
        <sz val="9"/>
        <color theme="1"/>
        <rFont val="Calibri"/>
        <family val="2"/>
        <charset val="238"/>
        <scheme val="minor"/>
      </rPr>
      <t>s režim. Q8W ve stud. YOSEMITE a RHINE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10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</si>
  <si>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 s režim. Q8W ve studiích YOSEMITE a RHINE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</si>
  <si>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t>násobek ceny za léčbu vůči nejlevnějšímu</t>
  </si>
  <si>
    <t xml:space="preserve">nejlevnější u DME za 1. rok </t>
  </si>
  <si>
    <r>
      <t xml:space="preserve">cena za léčbu (jen LP)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1. rok                                      </t>
    </r>
  </si>
  <si>
    <r>
      <t>cena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1. rok                                      </t>
    </r>
  </si>
  <si>
    <t>nejlevnější u nVPMD za 1. rok (vč. dalších nákladů)</t>
  </si>
  <si>
    <t>nejlevnější u DME za 1. rok (vč. dalších nákladů)</t>
  </si>
  <si>
    <t>nejlevnější u nVPMD za 2. rok (vč. dalších nákladů)</t>
  </si>
  <si>
    <t>nejlevnější u DME za 2. rok (vč. dalších nákladů)</t>
  </si>
  <si>
    <r>
      <t xml:space="preserve">cena za léčbu (jen LP)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"dávkování</t>
    </r>
    <r>
      <rPr>
        <b/>
        <sz val="10"/>
        <color theme="1"/>
        <rFont val="Calibri"/>
        <family val="2"/>
        <charset val="238"/>
        <scheme val="minor"/>
      </rPr>
      <t xml:space="preserve">"  za 2. a další rok                           </t>
    </r>
  </si>
  <si>
    <r>
      <t>cena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2. a další rok                                      </t>
    </r>
  </si>
  <si>
    <t>Alimera</t>
  </si>
  <si>
    <t>ILUVIEN -  fluocinolon acetonid (kortikoid)</t>
  </si>
  <si>
    <r>
      <t xml:space="preserve">OZURDEX 700 mcg/ ILUVIEN 190 mcg intravitrální implantáty </t>
    </r>
    <r>
      <rPr>
        <b/>
        <sz val="9"/>
        <color theme="1"/>
        <rFont val="Calibri"/>
        <family val="2"/>
        <charset val="238"/>
        <scheme val="minor"/>
      </rPr>
      <t>(</t>
    </r>
    <r>
      <rPr>
        <b/>
        <u/>
        <sz val="9"/>
        <color theme="1"/>
        <rFont val="Calibri"/>
        <family val="2"/>
        <charset val="238"/>
        <scheme val="minor"/>
      </rPr>
      <t>nemají v ČR na DME úhradu!</t>
    </r>
    <r>
      <rPr>
        <b/>
        <sz val="9"/>
        <color theme="1"/>
        <rFont val="Calibri"/>
        <family val="2"/>
        <charset val="238"/>
        <scheme val="minor"/>
      </rPr>
      <t>)</t>
    </r>
  </si>
  <si>
    <t>AbbVie</t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</si>
  <si>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implantát OZURDEXU - </t>
    </r>
    <r>
      <rPr>
        <sz val="9"/>
        <color theme="1"/>
        <rFont val="Calibri"/>
        <family val="2"/>
        <charset val="238"/>
        <scheme val="minor"/>
      </rPr>
      <t>viz Příloha č. 12 pozn. 100 a 101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</si>
  <si>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9"/>
        <color theme="1"/>
        <rFont val="Calibri"/>
        <family val="2"/>
        <charset val="238"/>
        <scheme val="minor"/>
      </rPr>
      <t xml:space="preserve"> 1 impl. (na cca 6 měs., obvykle max. 7x, tj. na cca 3,5 roku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</t>
    </r>
    <r>
      <rPr>
        <b/>
        <u/>
        <sz val="10"/>
        <color theme="1"/>
        <rFont val="Calibri"/>
        <family val="2"/>
        <charset val="238"/>
        <scheme val="minor"/>
      </rPr>
      <t>celk. 2 implantáty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</si>
  <si>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implantát (na cca 6 měs.) - </t>
    </r>
    <r>
      <rPr>
        <sz val="9"/>
        <color theme="1"/>
        <rFont val="Calibri"/>
        <family val="2"/>
        <charset val="238"/>
        <scheme val="minor"/>
      </rPr>
      <t>viz Příloha č. 12, pozn. 100 a 101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</si>
  <si>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impl. (na cca 6 měs., obvykle max.7x, tj.na cca 3,5 roku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) - </t>
    </r>
    <r>
      <rPr>
        <sz val="9"/>
        <color theme="1"/>
        <rFont val="Calibri"/>
        <family val="2"/>
        <charset val="238"/>
        <scheme val="minor"/>
      </rPr>
      <t xml:space="preserve">viz Příl. č. 12,pozn.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</t>
    </r>
    <r>
      <rPr>
        <b/>
        <u/>
        <sz val="10"/>
        <color theme="1"/>
        <rFont val="Calibri"/>
        <family val="2"/>
        <charset val="238"/>
        <scheme val="minor"/>
      </rPr>
      <t>celk. 3 implantáty</t>
    </r>
  </si>
  <si>
    <r>
      <rPr>
        <b/>
        <u/>
        <sz val="10"/>
        <color theme="1"/>
        <rFont val="Calibri"/>
        <family val="2"/>
        <charset val="238"/>
        <scheme val="minor"/>
      </rPr>
      <t>DME dle dopor. v Příloze č. 12: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sz val="9"/>
        <color theme="1"/>
        <rFont val="Calibri"/>
        <family val="2"/>
        <charset val="238"/>
        <scheme val="minor"/>
      </rPr>
      <t xml:space="preserve">po 2 měs. po aplikaci OZURDEXU zhodnotit léč. odpověď, v pozit. případě aplikovat </t>
    </r>
    <r>
      <rPr>
        <b/>
        <u/>
        <sz val="9"/>
        <color theme="1"/>
        <rFont val="Calibri"/>
        <family val="2"/>
        <charset val="238"/>
        <scheme val="minor"/>
      </rPr>
      <t>ILUVIEN  (obvykle 1 impl. až na cca 3 roky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</t>
    </r>
    <r>
      <rPr>
        <sz val="10"/>
        <color theme="1"/>
        <rFont val="Calibri"/>
        <family val="2"/>
        <charset val="238"/>
        <scheme val="minor"/>
      </rPr>
      <t xml:space="preserve">- </t>
    </r>
    <r>
      <rPr>
        <sz val="9"/>
        <color theme="1"/>
        <rFont val="Calibri"/>
        <family val="2"/>
        <charset val="238"/>
        <scheme val="minor"/>
      </rPr>
      <t xml:space="preserve">viz 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/>
    </r>
  </si>
  <si>
    <r>
      <rPr>
        <b/>
        <u/>
        <sz val="10"/>
        <color theme="1"/>
        <rFont val="Calibri"/>
        <family val="2"/>
        <charset val="238"/>
        <scheme val="minor"/>
      </rPr>
      <t>DME dle dopor. v Příloze č. 12: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b/>
        <u/>
        <sz val="9"/>
        <color theme="1"/>
        <rFont val="Calibri"/>
        <family val="2"/>
        <charset val="238"/>
        <scheme val="minor"/>
      </rPr>
      <t>ILUVIEN  (obvykle 1 impl. až na cca 3 roky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</t>
    </r>
    <r>
      <rPr>
        <sz val="10"/>
        <color theme="1"/>
        <rFont val="Calibri"/>
        <family val="2"/>
        <charset val="238"/>
        <scheme val="minor"/>
      </rPr>
      <t xml:space="preserve">- </t>
    </r>
    <r>
      <rPr>
        <sz val="9"/>
        <color theme="1"/>
        <rFont val="Calibri"/>
        <family val="2"/>
        <charset val="238"/>
        <scheme val="minor"/>
      </rPr>
      <t xml:space="preserve">viz 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/>
    </r>
  </si>
  <si>
    <t xml:space="preserve">nejlevnější u nVPMD za 2. a další rok </t>
  </si>
  <si>
    <t xml:space="preserve">nejlevnější u DME za 2. a další rok </t>
  </si>
  <si>
    <r>
      <t>OZURDEX 700 mcg intravitrální implantát 1ks (</t>
    </r>
    <r>
      <rPr>
        <b/>
        <u/>
        <sz val="9"/>
        <color theme="1"/>
        <rFont val="Calibri"/>
        <family val="2"/>
        <charset val="238"/>
        <scheme val="minor"/>
      </rPr>
      <t>nemá v ČR na DME úhradu !!</t>
    </r>
    <r>
      <rPr>
        <b/>
        <sz val="9"/>
        <color theme="1"/>
        <rFont val="Calibri"/>
        <family val="2"/>
        <charset val="238"/>
        <scheme val="minor"/>
      </rPr>
      <t>)</t>
    </r>
  </si>
  <si>
    <t>nVPMD</t>
  </si>
  <si>
    <r>
      <t>PDT</t>
    </r>
    <r>
      <rPr>
        <b/>
        <vertAlign val="superscript"/>
        <sz val="10"/>
        <color theme="1"/>
        <rFont val="Calibri"/>
        <family val="2"/>
        <charset val="238"/>
        <scheme val="minor"/>
      </rPr>
      <t>33</t>
    </r>
    <r>
      <rPr>
        <b/>
        <sz val="10"/>
        <color theme="1"/>
        <rFont val="Calibri"/>
        <family val="2"/>
        <charset val="238"/>
        <scheme val="minor"/>
      </rPr>
      <t xml:space="preserve"> + VISUDYNE 15mg pášek pro inf. 1 amp.</t>
    </r>
  </si>
  <si>
    <t>verteporfin (fotosenzibil. látka)</t>
  </si>
  <si>
    <t>Cheplapharm</t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</si>
  <si>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je dáv. VISUDYNE 6mg/m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, za 15 min po zahájení inf. pak světelná aktivace laserem</t>
    </r>
    <r>
      <rPr>
        <vertAlign val="superscript"/>
        <sz val="10"/>
        <color theme="1"/>
        <rFont val="Calibri"/>
        <family val="2"/>
        <charset val="238"/>
        <scheme val="minor"/>
      </rPr>
      <t>33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u/>
        <sz val="10"/>
        <color theme="1"/>
        <rFont val="Calibri"/>
        <family val="2"/>
        <charset val="238"/>
        <scheme val="minor"/>
      </rPr>
      <t>celk. max. 4x za rok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</si>
  <si>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8"/>
        <color theme="1"/>
        <rFont val="Calibri"/>
        <family val="2"/>
        <charset val="238"/>
        <scheme val="minor"/>
      </rPr>
      <t>dle SPC</t>
    </r>
    <r>
      <rPr>
        <vertAlign val="superscript"/>
        <sz val="8"/>
        <color theme="1"/>
        <rFont val="Calibri"/>
        <family val="2"/>
        <charset val="238"/>
        <scheme val="minor"/>
      </rPr>
      <t>2</t>
    </r>
    <r>
      <rPr>
        <sz val="8"/>
        <color theme="1"/>
        <rFont val="Calibri"/>
        <family val="2"/>
        <charset val="238"/>
        <scheme val="minor"/>
      </rPr>
      <t xml:space="preserve"> je dávka VISUDYNE 6mg/m</t>
    </r>
    <r>
      <rPr>
        <vertAlign val="superscript"/>
        <sz val="8"/>
        <color theme="1"/>
        <rFont val="Calibri"/>
        <family val="2"/>
        <charset val="238"/>
        <scheme val="minor"/>
      </rPr>
      <t>2</t>
    </r>
    <r>
      <rPr>
        <sz val="8"/>
        <color theme="1"/>
        <rFont val="Calibri"/>
        <family val="2"/>
        <charset val="238"/>
        <scheme val="minor"/>
      </rPr>
      <t>, za 15 min po zahájení inf. pak svět. akt. laserem</t>
    </r>
    <r>
      <rPr>
        <vertAlign val="superscript"/>
        <sz val="8"/>
        <color theme="1"/>
        <rFont val="Calibri"/>
        <family val="2"/>
        <charset val="238"/>
        <scheme val="minor"/>
      </rPr>
      <t>33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u/>
        <sz val="10"/>
        <color theme="1"/>
        <rFont val="Calibri"/>
        <family val="2"/>
        <charset val="238"/>
        <scheme val="minor"/>
      </rPr>
      <t>celk.max. 4x za rok</t>
    </r>
  </si>
  <si>
    <t>procenta LP z ceny za léčbu</t>
  </si>
  <si>
    <t>dexa-methason (kortikoid)</t>
  </si>
  <si>
    <r>
      <t>náklady (LP + další nákl.</t>
    </r>
    <r>
      <rPr>
        <b/>
        <vertAlign val="superscript"/>
        <sz val="11"/>
        <color theme="1"/>
        <rFont val="Calibri"/>
        <family val="2"/>
        <charset val="238"/>
        <scheme val="minor"/>
      </rPr>
      <t>123</t>
    </r>
    <r>
      <rPr>
        <b/>
        <sz val="11"/>
        <color theme="1"/>
        <rFont val="Calibri"/>
        <family val="2"/>
        <charset val="238"/>
        <scheme val="minor"/>
      </rPr>
      <t>) na 1 pac. za 3 roky (bez diskont.)</t>
    </r>
  </si>
  <si>
    <t>LL náklady za VABYSMO (+další) za 1. rok u nVPMD</t>
  </si>
  <si>
    <t>UL náklady za VABYSMO (+další) za 1. rok u nVPMD</t>
  </si>
  <si>
    <t>LL náklady za VABYSMO (+další) za 1. rok u DME</t>
  </si>
  <si>
    <t>UL náklady za VABYSMO (+další) za 1. rok u DME</t>
  </si>
  <si>
    <t>LL náklady za VABYSMO (+další) za 2. a další rok u DME</t>
  </si>
  <si>
    <t>UL náklady za VABYSMO (+další) za 2. a další rok u DME</t>
  </si>
  <si>
    <t>LL náklady za VABYSMO (+další) za 3 roky u DME</t>
  </si>
  <si>
    <t>UL náklady za VABYSMO (+další) za 3 roky u DME</t>
  </si>
  <si>
    <t>LL náklady za VABYSMO (+další) za 3 roky u nVPMD</t>
  </si>
  <si>
    <t>UL náklady za VABYSMO (+další) za 3 roky u nVPMD</t>
  </si>
  <si>
    <t>LL náklady za VABYSMO (+další) za 2. a další rok u nVPMD</t>
  </si>
  <si>
    <t>UL náklady za VABYSMO (+další) za 2. a další rok u nVPMD</t>
  </si>
  <si>
    <t>procenta rozdílu nákladů za 1. rok z rozdílu za 3 roky</t>
  </si>
  <si>
    <t>náklady (LP + ostatní)</t>
  </si>
  <si>
    <t>EYLEA (aflibercept - dávka 2mg)                                          za 1. rok (7x - 10x)</t>
  </si>
  <si>
    <t>BEOVU (brolucizumab - dávka 6mg)                                           za 1. rok (5x - 7x)</t>
  </si>
  <si>
    <t>VABYSMO (faricimab - dávka 6mg)                                          za 1. rok (5x - 7x)</t>
  </si>
  <si>
    <t>EYLEA (aflibercept - dávka 2mg)                                           za 3 roky (7+6+6 až 10+8+8)</t>
  </si>
  <si>
    <t>BEOVU (brolucizumab - dávka 6mg)                                           za 3 roky (5+4+4 až 7+6+6)</t>
  </si>
  <si>
    <t>VABYSMO (faricimab - dávka 6mg)                                           za 3 roky (5+3+3 až 7+6+6)</t>
  </si>
  <si>
    <t>EYLEA (aflibercept - dávka 2mg)                                           za 3 roky (7+2+2 až 11+8+8)</t>
  </si>
  <si>
    <t>BEOVU (brolucizumab - dávka 6mg)                                           za 3 roky (6+4+4 až 7+6+6)</t>
  </si>
  <si>
    <t>VABYSMO (faricimab - dávka 6mg)                                           za 3 roky (6+3+3 až 10+6+6)</t>
  </si>
  <si>
    <t>EYLEA (aflibercept - dávka 2mg)                                          za 1. rok (7x - 11x)</t>
  </si>
  <si>
    <t>BEOVU (brolucizumab - dávka 6mg)                                           za 1. rok (6x - 7x)</t>
  </si>
  <si>
    <t>VABYSMO (faricimab - dávka 6mg)                                          za 1. rok (6x - 10x)</t>
  </si>
  <si>
    <r>
      <rPr>
        <b/>
        <u/>
        <sz val="9"/>
        <color theme="1"/>
        <rFont val="Calibri"/>
        <family val="2"/>
        <charset val="238"/>
        <scheme val="minor"/>
      </rPr>
      <t>rozdíl</t>
    </r>
    <r>
      <rPr>
        <b/>
        <sz val="9"/>
        <color theme="1"/>
        <rFont val="Calibri"/>
        <family val="2"/>
        <charset val="238"/>
        <scheme val="minor"/>
      </rPr>
      <t xml:space="preserve"> nákladů (za 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v 1. roce na 125 pac. s nVPMD, resp. 25 pac. s DME na daném LP</t>
    </r>
    <r>
      <rPr>
        <b/>
        <sz val="9"/>
        <color theme="1"/>
        <rFont val="Calibri"/>
        <family val="2"/>
        <charset val="238"/>
        <scheme val="minor"/>
      </rPr>
      <t xml:space="preserve"> od VABYSMA   (</t>
    </r>
    <r>
      <rPr>
        <b/>
        <i/>
        <u/>
        <sz val="9"/>
        <color theme="1"/>
        <rFont val="Calibri"/>
        <family val="2"/>
        <charset val="238"/>
        <scheme val="minor"/>
      </rPr>
      <t>záporný výsledek = VAB. je šetřící !</t>
    </r>
    <r>
      <rPr>
        <b/>
        <sz val="9"/>
        <color theme="1"/>
        <rFont val="Calibri"/>
        <family val="2"/>
        <charset val="238"/>
        <scheme val="minor"/>
      </rPr>
      <t>)</t>
    </r>
  </si>
  <si>
    <r>
      <rPr>
        <b/>
        <u/>
        <sz val="9"/>
        <color theme="1"/>
        <rFont val="Calibri"/>
        <family val="2"/>
        <charset val="238"/>
        <scheme val="minor"/>
      </rPr>
      <t>rozdíl</t>
    </r>
    <r>
      <rPr>
        <b/>
        <sz val="9"/>
        <color theme="1"/>
        <rFont val="Calibri"/>
        <family val="2"/>
        <charset val="238"/>
        <scheme val="minor"/>
      </rPr>
      <t xml:space="preserve"> nákladů (LP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v 2.a dalším roce na 125 pac. s nVPMD, resp. 25 pac. s DME na daném LP od VABYSMA</t>
    </r>
    <r>
      <rPr>
        <b/>
        <sz val="9"/>
        <color theme="1"/>
        <rFont val="Calibri"/>
        <family val="2"/>
        <charset val="238"/>
        <scheme val="minor"/>
      </rPr>
      <t xml:space="preserve">            (</t>
    </r>
    <r>
      <rPr>
        <b/>
        <i/>
        <u/>
        <sz val="9"/>
        <color theme="1"/>
        <rFont val="Calibri"/>
        <family val="2"/>
        <charset val="238"/>
        <scheme val="minor"/>
      </rPr>
      <t>záporný výsledek = VAB. je šetřící !</t>
    </r>
    <r>
      <rPr>
        <b/>
        <sz val="9"/>
        <color theme="1"/>
        <rFont val="Calibri"/>
        <family val="2"/>
        <charset val="238"/>
        <scheme val="minor"/>
      </rPr>
      <t>)</t>
    </r>
  </si>
  <si>
    <r>
      <rPr>
        <b/>
        <u/>
        <sz val="9"/>
        <color theme="1"/>
        <rFont val="Calibri"/>
        <family val="2"/>
        <charset val="238"/>
        <scheme val="minor"/>
      </rPr>
      <t xml:space="preserve">rozdíl </t>
    </r>
    <r>
      <rPr>
        <b/>
        <sz val="9"/>
        <color theme="1"/>
        <rFont val="Calibri"/>
        <family val="2"/>
        <charset val="238"/>
        <scheme val="minor"/>
      </rPr>
      <t>nákladů (LP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za 3 roky</t>
    </r>
    <r>
      <rPr>
        <b/>
        <sz val="9"/>
        <color theme="1"/>
        <rFont val="Calibri"/>
        <family val="2"/>
        <charset val="238"/>
        <scheme val="minor"/>
      </rPr>
      <t xml:space="preserve"> (bez diskont.)</t>
    </r>
    <r>
      <rPr>
        <b/>
        <u/>
        <sz val="9"/>
        <color theme="1"/>
        <rFont val="Calibri"/>
        <family val="2"/>
        <charset val="238"/>
        <scheme val="minor"/>
      </rPr>
      <t xml:space="preserve"> na 125 pac. s nVPMD, resp. 25 pac. s DME na daném LP od VABYSMA     (</t>
    </r>
    <r>
      <rPr>
        <b/>
        <i/>
        <u/>
        <sz val="9"/>
        <color theme="1"/>
        <rFont val="Calibri"/>
        <family val="2"/>
        <charset val="238"/>
        <scheme val="minor"/>
      </rPr>
      <t>záporný výsledek = VAB. je šetřící !</t>
    </r>
    <r>
      <rPr>
        <b/>
        <u/>
        <sz val="9"/>
        <color theme="1"/>
        <rFont val="Calibri"/>
        <family val="2"/>
        <charset val="238"/>
        <scheme val="minor"/>
      </rPr>
      <t>)</t>
    </r>
  </si>
  <si>
    <t>v 1. roce je VAB. dražší !!</t>
  </si>
  <si>
    <t>cena s DPH (NCSD) k 12.11.2024</t>
  </si>
  <si>
    <t>cena s DPH (NCSD) k 12.11.2024 vč. bonusu</t>
  </si>
  <si>
    <t>úhrada od ZP k 12.11.2024</t>
  </si>
  <si>
    <t xml:space="preserve">EYLEA 114,3mg/ml inj. 1x0,263ml   (pro dávku 8mg)                    </t>
  </si>
  <si>
    <t xml:space="preserve">XIMLUCI 10mg/ml inj. 1x0,23ml                                          (pro dávku 0,5mg)     </t>
  </si>
  <si>
    <t xml:space="preserve">XIMLUCI 10mg/ml inj. 1x0,23ml                                        (pro dávku 0,5mg)     </t>
  </si>
  <si>
    <t>STADA</t>
  </si>
  <si>
    <r>
      <rPr>
        <b/>
        <u/>
        <sz val="10"/>
        <color theme="1"/>
        <rFont val="Calibri"/>
        <family val="2"/>
        <charset val="238"/>
        <scheme val="minor"/>
      </rPr>
      <t xml:space="preserve">nVPMD i DME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</si>
  <si>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i DME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</si>
  <si>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 i DME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 lze interval prodloužit až na 1x za 4 mě., pak lze až na 1x za 5 měs., min. interval v udrž. fázi je 2 měs.,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6 dávek pro nVPMD i DME</t>
    </r>
    <r>
      <rPr>
        <b/>
        <sz val="10"/>
        <color theme="1"/>
        <rFont val="Calibri"/>
        <family val="2"/>
        <charset val="238"/>
        <scheme val="minor"/>
      </rPr>
      <t xml:space="preserve"> (dle studií PULSAR</t>
    </r>
    <r>
      <rPr>
        <b/>
        <vertAlign val="superscript"/>
        <sz val="10"/>
        <color theme="1"/>
        <rFont val="Calibri"/>
        <family val="2"/>
        <charset val="238"/>
        <scheme val="minor"/>
      </rPr>
      <t>150</t>
    </r>
    <r>
      <rPr>
        <b/>
        <sz val="10"/>
        <color theme="1"/>
        <rFont val="Calibri"/>
        <family val="2"/>
        <charset val="238"/>
        <scheme val="minor"/>
      </rPr>
      <t>, resp. PHOTON</t>
    </r>
    <r>
      <rPr>
        <b/>
        <vertAlign val="superscript"/>
        <sz val="10"/>
        <color theme="1"/>
        <rFont val="Calibri"/>
        <family val="2"/>
        <charset val="238"/>
        <scheme val="minor"/>
      </rPr>
      <t>150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</si>
  <si>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 i DME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3 dávky pro nVPMD i DME</t>
    </r>
    <r>
      <rPr>
        <b/>
        <sz val="10"/>
        <color theme="1"/>
        <rFont val="Calibri"/>
        <family val="2"/>
        <charset val="238"/>
        <scheme val="minor"/>
      </rPr>
      <t xml:space="preserve">  (dle studie PULSAR</t>
    </r>
    <r>
      <rPr>
        <b/>
        <vertAlign val="superscript"/>
        <sz val="10"/>
        <color theme="1"/>
        <rFont val="Calibri"/>
        <family val="2"/>
        <charset val="238"/>
        <scheme val="minor"/>
      </rPr>
      <t>150</t>
    </r>
    <r>
      <rPr>
        <b/>
        <sz val="10"/>
        <color theme="1"/>
        <rFont val="Calibri"/>
        <family val="2"/>
        <charset val="238"/>
        <scheme val="minor"/>
      </rPr>
      <t>, resp. PHOTON</t>
    </r>
    <r>
      <rPr>
        <b/>
        <vertAlign val="superscript"/>
        <sz val="10"/>
        <color theme="1"/>
        <rFont val="Calibri"/>
        <family val="2"/>
        <charset val="238"/>
        <scheme val="minor"/>
      </rPr>
      <t>150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</si>
  <si>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dle SPC 8mg 1x za měsíc - celk.</t>
    </r>
    <r>
      <rPr>
        <u/>
        <sz val="10"/>
        <color theme="1"/>
        <rFont val="Calibri"/>
        <family val="2"/>
        <charset val="238"/>
        <scheme val="minor"/>
      </rPr>
      <t xml:space="preserve"> 3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</si>
  <si>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dle SPC 8mg 1x za měsíc - celk.</t>
    </r>
    <r>
      <rPr>
        <u/>
        <sz val="10"/>
        <color theme="1"/>
        <rFont val="Calibri"/>
        <family val="2"/>
        <charset val="238"/>
        <scheme val="minor"/>
      </rPr>
      <t xml:space="preserve"> 3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</t>
    </r>
  </si>
  <si>
    <t>XIMLUCI (ranibizumab - dávka 0,5mg)                   za 3 roky (7+5+5 až 12+12+12)</t>
  </si>
  <si>
    <t>XIMLUCI (ranibizumab - dávka 0,5mg)             za 1. rok (7x - 12x)</t>
  </si>
  <si>
    <t>EYLEA HD (aflibercept - dávka 8mg)                                          za 1. rok (6x - 7x)</t>
  </si>
  <si>
    <t>EYLEA HD (aflibercept - dávka 8mg)                                           za 3 roky (6+3+3 až 7+6+6)</t>
  </si>
  <si>
    <t>jen v 1. roce je VAB. šetřící</t>
  </si>
  <si>
    <t>jen v 2. a 3. roce je VAB. šetřící</t>
  </si>
  <si>
    <t>XIMLUCI (ranibizumab - dávka 0,5mg)                   za 3 roky (7+2+2 až 12+9+9)</t>
  </si>
  <si>
    <r>
      <t>úhrada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1. rok                                      </t>
    </r>
  </si>
  <si>
    <r>
      <t>úhrada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2. a další rok                                      </t>
    </r>
  </si>
  <si>
    <r>
      <t>úhrada (LP + další nákl.</t>
    </r>
    <r>
      <rPr>
        <b/>
        <vertAlign val="superscript"/>
        <sz val="11"/>
        <color theme="1"/>
        <rFont val="Calibri"/>
        <family val="2"/>
        <charset val="238"/>
        <scheme val="minor"/>
      </rPr>
      <t>123</t>
    </r>
    <r>
      <rPr>
        <b/>
        <sz val="11"/>
        <color theme="1"/>
        <rFont val="Calibri"/>
        <family val="2"/>
        <charset val="238"/>
        <scheme val="minor"/>
      </rPr>
      <t>) na 1 pac. za 3 roky (bez diskont.)</t>
    </r>
  </si>
  <si>
    <r>
      <rPr>
        <b/>
        <i/>
        <u/>
        <sz val="11"/>
        <color theme="0"/>
        <rFont val="Calibri"/>
        <family val="2"/>
        <charset val="238"/>
        <scheme val="minor"/>
      </rPr>
      <t>"příjem" FN</t>
    </r>
    <r>
      <rPr>
        <b/>
        <i/>
        <sz val="11"/>
        <color theme="0"/>
        <rFont val="Calibri"/>
        <family val="2"/>
        <charset val="238"/>
        <scheme val="minor"/>
      </rPr>
      <t xml:space="preserve"> (tj. rozdíl úhrada - NCSD) </t>
    </r>
    <r>
      <rPr>
        <b/>
        <i/>
        <u/>
        <sz val="11"/>
        <color theme="0"/>
        <rFont val="Calibri"/>
        <family val="2"/>
        <charset val="238"/>
        <scheme val="minor"/>
      </rPr>
      <t>za 1. rok léčby u 1 pacienta</t>
    </r>
  </si>
  <si>
    <r>
      <rPr>
        <b/>
        <i/>
        <u/>
        <sz val="11"/>
        <color theme="0"/>
        <rFont val="Calibri"/>
        <family val="2"/>
        <charset val="238"/>
        <scheme val="minor"/>
      </rPr>
      <t>"příjem" FN</t>
    </r>
    <r>
      <rPr>
        <b/>
        <i/>
        <sz val="11"/>
        <color theme="0"/>
        <rFont val="Calibri"/>
        <family val="2"/>
        <charset val="238"/>
        <scheme val="minor"/>
      </rPr>
      <t xml:space="preserve"> (tj. rozdíl úhrada - NCSD) </t>
    </r>
    <r>
      <rPr>
        <b/>
        <i/>
        <u/>
        <sz val="11"/>
        <color theme="0"/>
        <rFont val="Calibri"/>
        <family val="2"/>
        <charset val="238"/>
        <scheme val="minor"/>
      </rPr>
      <t>za 3 roky léčby u 1 pac.</t>
    </r>
  </si>
  <si>
    <r>
      <rPr>
        <vertAlign val="superscript"/>
        <sz val="9"/>
        <color theme="1"/>
        <rFont val="Calibri"/>
        <family val="2"/>
        <charset val="238"/>
        <scheme val="minor"/>
      </rPr>
      <t>150</t>
    </r>
    <r>
      <rPr>
        <sz val="9"/>
        <color theme="1"/>
        <rFont val="Calibri"/>
        <family val="2"/>
        <charset val="238"/>
        <scheme val="minor"/>
      </rPr>
      <t xml:space="preserve"> EYLEA 8mg - Rozhodnutí SUKLu z 8.7.2024 - sp. zn. SUKLS37832/2024</t>
    </r>
  </si>
  <si>
    <t>jen v 1. roce cca VAB. šetřící</t>
  </si>
  <si>
    <r>
      <t xml:space="preserve">    </t>
    </r>
    <r>
      <rPr>
        <b/>
        <i/>
        <u/>
        <sz val="14"/>
        <color theme="1"/>
        <rFont val="Calibri"/>
        <family val="2"/>
        <charset val="238"/>
        <scheme val="minor"/>
      </rPr>
      <t>vlhká forma VPMD - tzv. nVPMD</t>
    </r>
    <r>
      <rPr>
        <b/>
        <i/>
        <sz val="14"/>
        <color theme="1"/>
        <rFont val="Calibri"/>
        <family val="2"/>
        <charset val="238"/>
        <scheme val="minor"/>
      </rPr>
      <t xml:space="preserve"> (při splnění dalších úhrad. podmínek) a</t>
    </r>
    <r>
      <rPr>
        <b/>
        <i/>
        <u/>
        <sz val="14"/>
        <color theme="1"/>
        <rFont val="Calibri"/>
        <family val="2"/>
        <charset val="238"/>
        <scheme val="minor"/>
      </rPr>
      <t xml:space="preserve"> DMA u pac. s DM 1. nebo 2. typu</t>
    </r>
    <r>
      <rPr>
        <b/>
        <i/>
        <sz val="14"/>
        <color theme="1"/>
        <rFont val="Calibri"/>
        <family val="2"/>
        <charset val="238"/>
        <scheme val="minor"/>
      </rPr>
      <t xml:space="preserve"> </t>
    </r>
    <r>
      <rPr>
        <b/>
        <i/>
        <u/>
        <sz val="14"/>
        <color theme="1"/>
        <rFont val="Calibri"/>
        <family val="2"/>
        <charset val="238"/>
        <scheme val="minor"/>
      </rPr>
      <t xml:space="preserve">s glyk. hemoglob. v době zahájení léčby nižším než 100 mmol/mol </t>
    </r>
    <r>
      <rPr>
        <b/>
        <i/>
        <sz val="14"/>
        <color theme="1"/>
        <rFont val="Calibri"/>
        <family val="2"/>
        <charset val="238"/>
        <scheme val="minor"/>
      </rPr>
      <t xml:space="preserve">(při splnění dalších úhrad. podmínek),                                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charset val="238"/>
        <scheme val="minor"/>
      </rPr>
      <t xml:space="preserve">CAVE! žlutě jsou podbarvené buňky kdy VABYSMO je nákladové šetřící, modře podbarvené jsou buňky týkající se EYLEY HD </t>
    </r>
  </si>
  <si>
    <t xml:space="preserve">název LP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</si>
</sst>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#,##0.00\ &quot;Kč&quot;"/>
    <numFmt numFmtId="165" formatCode="#,##0\ &quot;Kč&quot;"/>
    <numFmt numFmtId="166" formatCode="0.0"/>
    <numFmt numFmtId="167" formatCode="0.0%"/>
    <numFmt numFmtId="168" formatCode="_-* #,##0\ &quot;Kč&quot;_-;\-* #,##0\ &quot;Kč&quot;_-;_-* &quot;-&quot;??\ &quot;Kč&quot;_-;_-@_-"/>
  </numFmts>
  <fonts count="5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9"/>
      <color rgb="FFFFFF00"/>
      <name val="Calibri"/>
      <family val="2"/>
      <charset val="238"/>
      <scheme val="minor"/>
    </font>
    <font>
      <b/>
      <sz val="9"/>
      <color rgb="FFFFFF00"/>
      <name val="Calibri"/>
      <family val="2"/>
      <charset val="238"/>
    </font>
    <font>
      <b/>
      <sz val="8.1"/>
      <color rgb="FFFFFF00"/>
      <name val="Calibri"/>
      <family val="2"/>
      <charset val="238"/>
    </font>
    <font>
      <sz val="7.5"/>
      <color theme="1"/>
      <name val="Calibri"/>
      <family val="2"/>
      <charset val="238"/>
      <scheme val="minor"/>
    </font>
    <font>
      <vertAlign val="superscript"/>
      <sz val="7.5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u/>
      <vertAlign val="superscript"/>
      <sz val="10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sz val="10"/>
      <color rgb="FF223E54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</font>
    <font>
      <b/>
      <u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u/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vertAlign val="superscript"/>
      <sz val="9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  <font>
      <b/>
      <i/>
      <u/>
      <sz val="9"/>
      <color theme="1"/>
      <name val="Calibri"/>
      <family val="2"/>
      <charset val="238"/>
      <scheme val="minor"/>
    </font>
    <font>
      <i/>
      <sz val="14"/>
      <color theme="0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b/>
      <i/>
      <u/>
      <sz val="11"/>
      <color theme="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b/>
      <i/>
      <u/>
      <sz val="14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8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6" fillId="0" borderId="0"/>
    <xf numFmtId="0" fontId="17" fillId="0" borderId="0"/>
  </cellStyleXfs>
  <cellXfs count="259">
    <xf numFmtId="0" fontId="0" fillId="0" borderId="0" xfId="0"/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164" fontId="0" fillId="0" borderId="0" xfId="0" applyNumberFormat="1"/>
    <xf numFmtId="164" fontId="0" fillId="0" borderId="16" xfId="0" applyNumberFormat="1" applyBorder="1" applyAlignment="1">
      <alignment horizontal="center" vertical="center"/>
    </xf>
    <xf numFmtId="0" fontId="0" fillId="5" borderId="0" xfId="0" applyFill="1"/>
    <xf numFmtId="0" fontId="11" fillId="5" borderId="0" xfId="0" applyFont="1" applyFill="1"/>
    <xf numFmtId="0" fontId="3" fillId="0" borderId="2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64" fontId="0" fillId="0" borderId="4" xfId="1" applyNumberFormat="1" applyFont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164" fontId="0" fillId="0" borderId="6" xfId="1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5" fontId="13" fillId="0" borderId="18" xfId="0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vertical="center" wrapText="1"/>
    </xf>
    <xf numFmtId="165" fontId="0" fillId="0" borderId="0" xfId="0" applyNumberFormat="1"/>
    <xf numFmtId="0" fontId="19" fillId="8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165" fontId="0" fillId="5" borderId="1" xfId="0" applyNumberFormat="1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22" fillId="5" borderId="0" xfId="0" applyFont="1" applyFill="1"/>
    <xf numFmtId="0" fontId="11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" fillId="6" borderId="15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vertical="center" wrapText="1"/>
    </xf>
    <xf numFmtId="0" fontId="29" fillId="0" borderId="0" xfId="0" applyFont="1"/>
    <xf numFmtId="0" fontId="4" fillId="0" borderId="21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6" borderId="9" xfId="0" applyFont="1" applyFill="1" applyBorder="1" applyAlignment="1">
      <alignment horizontal="center" vertical="center" wrapText="1"/>
    </xf>
    <xf numFmtId="165" fontId="13" fillId="0" borderId="22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66" fontId="35" fillId="0" borderId="18" xfId="0" applyNumberFormat="1" applyFont="1" applyBorder="1" applyAlignment="1">
      <alignment horizontal="center" vertical="center"/>
    </xf>
    <xf numFmtId="166" fontId="35" fillId="0" borderId="12" xfId="0" applyNumberFormat="1" applyFont="1" applyBorder="1" applyAlignment="1">
      <alignment horizontal="center" vertical="center"/>
    </xf>
    <xf numFmtId="166" fontId="35" fillId="4" borderId="18" xfId="0" applyNumberFormat="1" applyFont="1" applyFill="1" applyBorder="1" applyAlignment="1">
      <alignment horizontal="center" vertical="center"/>
    </xf>
    <xf numFmtId="166" fontId="35" fillId="4" borderId="12" xfId="0" applyNumberFormat="1" applyFont="1" applyFill="1" applyBorder="1" applyAlignment="1">
      <alignment horizontal="center" vertical="center"/>
    </xf>
    <xf numFmtId="0" fontId="6" fillId="5" borderId="0" xfId="0" applyFont="1" applyFill="1"/>
    <xf numFmtId="0" fontId="12" fillId="5" borderId="0" xfId="0" applyFont="1" applyFill="1"/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6" fontId="11" fillId="5" borderId="0" xfId="0" applyNumberFormat="1" applyFont="1" applyFill="1" applyAlignment="1">
      <alignment horizontal="center"/>
    </xf>
    <xf numFmtId="167" fontId="0" fillId="0" borderId="18" xfId="0" applyNumberFormat="1" applyBorder="1"/>
    <xf numFmtId="167" fontId="0" fillId="0" borderId="12" xfId="0" applyNumberFormat="1" applyBorder="1"/>
    <xf numFmtId="0" fontId="3" fillId="4" borderId="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166" fontId="35" fillId="9" borderId="18" xfId="0" applyNumberFormat="1" applyFont="1" applyFill="1" applyBorder="1" applyAlignment="1">
      <alignment horizontal="center" vertical="center"/>
    </xf>
    <xf numFmtId="166" fontId="35" fillId="9" borderId="12" xfId="0" applyNumberFormat="1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165" fontId="13" fillId="9" borderId="18" xfId="0" applyNumberFormat="1" applyFont="1" applyFill="1" applyBorder="1" applyAlignment="1">
      <alignment horizontal="center" vertical="center"/>
    </xf>
    <xf numFmtId="165" fontId="13" fillId="9" borderId="12" xfId="0" applyNumberFormat="1" applyFont="1" applyFill="1" applyBorder="1" applyAlignment="1">
      <alignment horizontal="center" vertical="center"/>
    </xf>
    <xf numFmtId="165" fontId="13" fillId="4" borderId="18" xfId="0" applyNumberFormat="1" applyFont="1" applyFill="1" applyBorder="1" applyAlignment="1">
      <alignment horizontal="center" vertical="center"/>
    </xf>
    <xf numFmtId="165" fontId="13" fillId="4" borderId="1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4" fillId="13" borderId="15" xfId="0" applyFont="1" applyFill="1" applyBorder="1" applyAlignment="1">
      <alignment horizontal="center" vertical="center" wrapText="1"/>
    </xf>
    <xf numFmtId="166" fontId="35" fillId="7" borderId="18" xfId="0" applyNumberFormat="1" applyFont="1" applyFill="1" applyBorder="1" applyAlignment="1">
      <alignment horizontal="center" vertical="center"/>
    </xf>
    <xf numFmtId="166" fontId="35" fillId="7" borderId="12" xfId="0" applyNumberFormat="1" applyFont="1" applyFill="1" applyBorder="1" applyAlignment="1">
      <alignment horizontal="center" vertical="center"/>
    </xf>
    <xf numFmtId="166" fontId="35" fillId="6" borderId="18" xfId="0" applyNumberFormat="1" applyFont="1" applyFill="1" applyBorder="1" applyAlignment="1">
      <alignment horizontal="center" vertical="center"/>
    </xf>
    <xf numFmtId="166" fontId="35" fillId="6" borderId="12" xfId="0" applyNumberFormat="1" applyFont="1" applyFill="1" applyBorder="1" applyAlignment="1">
      <alignment horizontal="center" vertical="center"/>
    </xf>
    <xf numFmtId="165" fontId="13" fillId="7" borderId="18" xfId="0" applyNumberFormat="1" applyFont="1" applyFill="1" applyBorder="1" applyAlignment="1">
      <alignment horizontal="center" vertical="center"/>
    </xf>
    <xf numFmtId="165" fontId="13" fillId="7" borderId="12" xfId="0" applyNumberFormat="1" applyFont="1" applyFill="1" applyBorder="1" applyAlignment="1">
      <alignment horizontal="center" vertical="center"/>
    </xf>
    <xf numFmtId="165" fontId="13" fillId="6" borderId="18" xfId="0" applyNumberFormat="1" applyFont="1" applyFill="1" applyBorder="1" applyAlignment="1">
      <alignment horizontal="center" vertical="center"/>
    </xf>
    <xf numFmtId="165" fontId="13" fillId="6" borderId="12" xfId="0" applyNumberFormat="1" applyFont="1" applyFill="1" applyBorder="1" applyAlignment="1">
      <alignment horizontal="center" vertical="center"/>
    </xf>
    <xf numFmtId="165" fontId="13" fillId="17" borderId="18" xfId="0" applyNumberFormat="1" applyFont="1" applyFill="1" applyBorder="1" applyAlignment="1">
      <alignment horizontal="center" vertical="center"/>
    </xf>
    <xf numFmtId="165" fontId="13" fillId="17" borderId="12" xfId="0" applyNumberFormat="1" applyFont="1" applyFill="1" applyBorder="1" applyAlignment="1">
      <alignment horizontal="center" vertical="center"/>
    </xf>
    <xf numFmtId="167" fontId="0" fillId="0" borderId="27" xfId="0" applyNumberFormat="1" applyBorder="1"/>
    <xf numFmtId="0" fontId="4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vertical="center" wrapText="1"/>
    </xf>
    <xf numFmtId="0" fontId="3" fillId="0" borderId="24" xfId="0" applyFont="1" applyBorder="1" applyAlignment="1">
      <alignment horizontal="left" vertical="center" wrapText="1"/>
    </xf>
    <xf numFmtId="164" fontId="0" fillId="0" borderId="24" xfId="1" applyNumberFormat="1" applyFon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5" fontId="13" fillId="0" borderId="29" xfId="0" applyNumberFormat="1" applyFont="1" applyBorder="1" applyAlignment="1">
      <alignment horizontal="center" vertical="center"/>
    </xf>
    <xf numFmtId="166" fontId="35" fillId="0" borderId="29" xfId="0" applyNumberFormat="1" applyFont="1" applyBorder="1" applyAlignment="1">
      <alignment horizontal="center" vertical="center"/>
    </xf>
    <xf numFmtId="165" fontId="13" fillId="9" borderId="29" xfId="0" applyNumberFormat="1" applyFont="1" applyFill="1" applyBorder="1" applyAlignment="1">
      <alignment horizontal="center" vertical="center"/>
    </xf>
    <xf numFmtId="166" fontId="35" fillId="9" borderId="29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166" fontId="35" fillId="7" borderId="29" xfId="0" applyNumberFormat="1" applyFont="1" applyFill="1" applyBorder="1" applyAlignment="1">
      <alignment horizontal="center" vertical="center"/>
    </xf>
    <xf numFmtId="167" fontId="0" fillId="0" borderId="29" xfId="0" applyNumberFormat="1" applyBorder="1"/>
    <xf numFmtId="165" fontId="13" fillId="7" borderId="11" xfId="0" applyNumberFormat="1" applyFont="1" applyFill="1" applyBorder="1" applyAlignment="1">
      <alignment horizontal="center" vertical="center"/>
    </xf>
    <xf numFmtId="166" fontId="35" fillId="7" borderId="11" xfId="0" applyNumberFormat="1" applyFont="1" applyFill="1" applyBorder="1" applyAlignment="1">
      <alignment horizontal="center" vertical="center"/>
    </xf>
    <xf numFmtId="167" fontId="0" fillId="0" borderId="11" xfId="0" applyNumberFormat="1" applyBorder="1"/>
    <xf numFmtId="0" fontId="4" fillId="12" borderId="8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left" vertical="center" wrapText="1"/>
    </xf>
    <xf numFmtId="0" fontId="4" fillId="15" borderId="8" xfId="0" applyFont="1" applyFill="1" applyBorder="1" applyAlignment="1">
      <alignment horizontal="center" vertical="center" wrapText="1"/>
    </xf>
    <xf numFmtId="0" fontId="6" fillId="15" borderId="9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vertical="center" wrapText="1"/>
    </xf>
    <xf numFmtId="164" fontId="0" fillId="15" borderId="30" xfId="0" applyNumberFormat="1" applyFill="1" applyBorder="1" applyAlignment="1">
      <alignment horizontal="center" vertical="center"/>
    </xf>
    <xf numFmtId="165" fontId="13" fillId="15" borderId="11" xfId="0" applyNumberFormat="1" applyFont="1" applyFill="1" applyBorder="1" applyAlignment="1">
      <alignment horizontal="center" vertical="center"/>
    </xf>
    <xf numFmtId="166" fontId="35" fillId="15" borderId="11" xfId="0" applyNumberFormat="1" applyFont="1" applyFill="1" applyBorder="1" applyAlignment="1">
      <alignment horizontal="center" vertical="center"/>
    </xf>
    <xf numFmtId="164" fontId="0" fillId="12" borderId="26" xfId="0" applyNumberFormat="1" applyFill="1" applyBorder="1" applyAlignment="1">
      <alignment horizontal="center" vertical="center"/>
    </xf>
    <xf numFmtId="165" fontId="13" fillId="12" borderId="27" xfId="0" applyNumberFormat="1" applyFont="1" applyFill="1" applyBorder="1" applyAlignment="1">
      <alignment horizontal="center" vertical="center"/>
    </xf>
    <xf numFmtId="166" fontId="35" fillId="12" borderId="27" xfId="0" applyNumberFormat="1" applyFont="1" applyFill="1" applyBorder="1" applyAlignment="1">
      <alignment horizontal="center" vertical="center"/>
    </xf>
    <xf numFmtId="44" fontId="1" fillId="15" borderId="9" xfId="1" applyFont="1" applyFill="1" applyBorder="1" applyAlignment="1">
      <alignment vertical="center"/>
    </xf>
    <xf numFmtId="44" fontId="3" fillId="15" borderId="9" xfId="1" applyFont="1" applyFill="1" applyBorder="1" applyAlignment="1">
      <alignment vertical="center"/>
    </xf>
    <xf numFmtId="168" fontId="13" fillId="15" borderId="9" xfId="1" applyNumberFormat="1" applyFont="1" applyFill="1" applyBorder="1" applyAlignment="1">
      <alignment vertical="center"/>
    </xf>
    <xf numFmtId="168" fontId="39" fillId="15" borderId="9" xfId="1" applyNumberFormat="1" applyFont="1" applyFill="1" applyBorder="1" applyAlignment="1">
      <alignment vertical="center"/>
    </xf>
    <xf numFmtId="165" fontId="13" fillId="7" borderId="19" xfId="0" applyNumberFormat="1" applyFont="1" applyFill="1" applyBorder="1" applyAlignment="1">
      <alignment horizontal="center" vertical="center"/>
    </xf>
    <xf numFmtId="165" fontId="13" fillId="7" borderId="13" xfId="0" applyNumberFormat="1" applyFont="1" applyFill="1" applyBorder="1" applyAlignment="1">
      <alignment horizontal="center" vertical="center"/>
    </xf>
    <xf numFmtId="165" fontId="13" fillId="7" borderId="9" xfId="1" applyNumberFormat="1" applyFont="1" applyFill="1" applyBorder="1" applyAlignment="1">
      <alignment horizontal="center" vertical="center"/>
    </xf>
    <xf numFmtId="0" fontId="14" fillId="12" borderId="9" xfId="0" applyFont="1" applyFill="1" applyBorder="1" applyAlignment="1">
      <alignment vertical="center" wrapText="1"/>
    </xf>
    <xf numFmtId="44" fontId="1" fillId="12" borderId="9" xfId="1" applyFont="1" applyFill="1" applyBorder="1" applyAlignment="1">
      <alignment vertical="center"/>
    </xf>
    <xf numFmtId="9" fontId="9" fillId="9" borderId="18" xfId="0" applyNumberFormat="1" applyFont="1" applyFill="1" applyBorder="1" applyAlignment="1">
      <alignment horizontal="center" vertical="center"/>
    </xf>
    <xf numFmtId="9" fontId="9" fillId="9" borderId="12" xfId="0" applyNumberFormat="1" applyFont="1" applyFill="1" applyBorder="1" applyAlignment="1">
      <alignment horizontal="center" vertical="center"/>
    </xf>
    <xf numFmtId="9" fontId="9" fillId="4" borderId="18" xfId="0" applyNumberFormat="1" applyFont="1" applyFill="1" applyBorder="1" applyAlignment="1">
      <alignment horizontal="center" vertical="center"/>
    </xf>
    <xf numFmtId="9" fontId="9" fillId="4" borderId="12" xfId="0" applyNumberFormat="1" applyFont="1" applyFill="1" applyBorder="1" applyAlignment="1">
      <alignment horizontal="center" vertical="center"/>
    </xf>
    <xf numFmtId="0" fontId="37" fillId="10" borderId="15" xfId="0" applyFont="1" applyFill="1" applyBorder="1" applyAlignment="1">
      <alignment horizontal="center" vertical="center" wrapText="1"/>
    </xf>
    <xf numFmtId="9" fontId="9" fillId="12" borderId="18" xfId="0" applyNumberFormat="1" applyFont="1" applyFill="1" applyBorder="1" applyAlignment="1">
      <alignment horizontal="center" vertical="center"/>
    </xf>
    <xf numFmtId="9" fontId="9" fillId="15" borderId="18" xfId="0" applyNumberFormat="1" applyFont="1" applyFill="1" applyBorder="1" applyAlignment="1">
      <alignment horizontal="center" vertical="center"/>
    </xf>
    <xf numFmtId="9" fontId="9" fillId="7" borderId="18" xfId="0" applyNumberFormat="1" applyFont="1" applyFill="1" applyBorder="1" applyAlignment="1">
      <alignment horizontal="center" vertical="center"/>
    </xf>
    <xf numFmtId="9" fontId="9" fillId="7" borderId="12" xfId="0" applyNumberFormat="1" applyFont="1" applyFill="1" applyBorder="1" applyAlignment="1">
      <alignment horizontal="center" vertical="center"/>
    </xf>
    <xf numFmtId="9" fontId="9" fillId="12" borderId="12" xfId="0" applyNumberFormat="1" applyFont="1" applyFill="1" applyBorder="1" applyAlignment="1">
      <alignment horizontal="center" vertical="center"/>
    </xf>
    <xf numFmtId="9" fontId="9" fillId="7" borderId="11" xfId="0" applyNumberFormat="1" applyFont="1" applyFill="1" applyBorder="1" applyAlignment="1">
      <alignment horizontal="center" vertical="center"/>
    </xf>
    <xf numFmtId="9" fontId="9" fillId="17" borderId="18" xfId="0" applyNumberFormat="1" applyFont="1" applyFill="1" applyBorder="1" applyAlignment="1">
      <alignment horizontal="center" vertical="center"/>
    </xf>
    <xf numFmtId="9" fontId="9" fillId="17" borderId="12" xfId="0" applyNumberFormat="1" applyFont="1" applyFill="1" applyBorder="1" applyAlignment="1">
      <alignment horizontal="center" vertical="center"/>
    </xf>
    <xf numFmtId="0" fontId="37" fillId="17" borderId="15" xfId="0" applyFont="1" applyFill="1" applyBorder="1" applyAlignment="1">
      <alignment horizontal="center" vertical="center" wrapText="1"/>
    </xf>
    <xf numFmtId="0" fontId="2" fillId="16" borderId="25" xfId="0" applyFont="1" applyFill="1" applyBorder="1" applyAlignment="1">
      <alignment horizontal="center" vertical="center" wrapText="1"/>
    </xf>
    <xf numFmtId="0" fontId="37" fillId="16" borderId="15" xfId="0" applyFont="1" applyFill="1" applyBorder="1" applyAlignment="1">
      <alignment horizontal="center" vertical="center" wrapText="1"/>
    </xf>
    <xf numFmtId="165" fontId="40" fillId="4" borderId="18" xfId="0" applyNumberFormat="1" applyFont="1" applyFill="1" applyBorder="1" applyAlignment="1">
      <alignment horizontal="center" vertical="center"/>
    </xf>
    <xf numFmtId="165" fontId="40" fillId="9" borderId="18" xfId="0" applyNumberFormat="1" applyFont="1" applyFill="1" applyBorder="1" applyAlignment="1">
      <alignment horizontal="center" vertical="center"/>
    </xf>
    <xf numFmtId="165" fontId="40" fillId="9" borderId="12" xfId="0" applyNumberFormat="1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horizontal="center" vertical="center" wrapText="1"/>
    </xf>
    <xf numFmtId="0" fontId="4" fillId="18" borderId="25" xfId="0" applyFont="1" applyFill="1" applyBorder="1" applyAlignment="1">
      <alignment horizontal="center" vertical="center" wrapText="1"/>
    </xf>
    <xf numFmtId="0" fontId="4" fillId="19" borderId="25" xfId="0" applyFont="1" applyFill="1" applyBorder="1" applyAlignment="1">
      <alignment horizontal="center" vertical="center" wrapText="1"/>
    </xf>
    <xf numFmtId="165" fontId="40" fillId="15" borderId="12" xfId="0" applyNumberFormat="1" applyFont="1" applyFill="1" applyBorder="1" applyAlignment="1">
      <alignment horizontal="center" vertical="center"/>
    </xf>
    <xf numFmtId="165" fontId="40" fillId="7" borderId="12" xfId="0" applyNumberFormat="1" applyFont="1" applyFill="1" applyBorder="1" applyAlignment="1">
      <alignment horizontal="center" vertical="center"/>
    </xf>
    <xf numFmtId="165" fontId="40" fillId="17" borderId="12" xfId="0" applyNumberFormat="1" applyFont="1" applyFill="1" applyBorder="1" applyAlignment="1">
      <alignment horizontal="center" vertical="center"/>
    </xf>
    <xf numFmtId="165" fontId="40" fillId="7" borderId="18" xfId="0" applyNumberFormat="1" applyFont="1" applyFill="1" applyBorder="1" applyAlignment="1">
      <alignment horizontal="center" vertical="center"/>
    </xf>
    <xf numFmtId="165" fontId="40" fillId="17" borderId="18" xfId="0" applyNumberFormat="1" applyFont="1" applyFill="1" applyBorder="1" applyAlignment="1">
      <alignment horizontal="center" vertical="center"/>
    </xf>
    <xf numFmtId="165" fontId="41" fillId="14" borderId="18" xfId="0" applyNumberFormat="1" applyFont="1" applyFill="1" applyBorder="1" applyAlignment="1">
      <alignment horizontal="center" vertical="center"/>
    </xf>
    <xf numFmtId="165" fontId="41" fillId="14" borderId="12" xfId="0" applyNumberFormat="1" applyFont="1" applyFill="1" applyBorder="1" applyAlignment="1">
      <alignment horizontal="center" vertical="center"/>
    </xf>
    <xf numFmtId="165" fontId="35" fillId="14" borderId="18" xfId="0" applyNumberFormat="1" applyFont="1" applyFill="1" applyBorder="1" applyAlignment="1">
      <alignment horizontal="center" vertical="center"/>
    </xf>
    <xf numFmtId="165" fontId="35" fillId="14" borderId="12" xfId="0" applyNumberFormat="1" applyFont="1" applyFill="1" applyBorder="1" applyAlignment="1">
      <alignment horizontal="center" vertical="center"/>
    </xf>
    <xf numFmtId="0" fontId="12" fillId="16" borderId="25" xfId="0" applyFont="1" applyFill="1" applyBorder="1" applyAlignment="1">
      <alignment horizontal="center" vertical="center" wrapText="1"/>
    </xf>
    <xf numFmtId="9" fontId="10" fillId="14" borderId="18" xfId="0" applyNumberFormat="1" applyFont="1" applyFill="1" applyBorder="1" applyAlignment="1">
      <alignment horizontal="center" vertical="center"/>
    </xf>
    <xf numFmtId="165" fontId="41" fillId="2" borderId="18" xfId="0" applyNumberFormat="1" applyFont="1" applyFill="1" applyBorder="1" applyAlignment="1">
      <alignment horizontal="center" vertical="center"/>
    </xf>
    <xf numFmtId="165" fontId="41" fillId="2" borderId="12" xfId="0" applyNumberFormat="1" applyFont="1" applyFill="1" applyBorder="1" applyAlignment="1">
      <alignment horizontal="center" vertical="center"/>
    </xf>
    <xf numFmtId="9" fontId="10" fillId="14" borderId="12" xfId="0" applyNumberFormat="1" applyFont="1" applyFill="1" applyBorder="1" applyAlignment="1">
      <alignment horizontal="center" vertical="center"/>
    </xf>
    <xf numFmtId="9" fontId="10" fillId="2" borderId="12" xfId="0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 wrapText="1"/>
    </xf>
    <xf numFmtId="0" fontId="18" fillId="0" borderId="31" xfId="3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3" fillId="5" borderId="32" xfId="0" applyNumberFormat="1" applyFont="1" applyFill="1" applyBorder="1" applyAlignment="1">
      <alignment horizontal="center" vertical="center"/>
    </xf>
    <xf numFmtId="165" fontId="0" fillId="5" borderId="24" xfId="0" applyNumberFormat="1" applyFill="1" applyBorder="1" applyAlignment="1">
      <alignment horizontal="center" vertical="center"/>
    </xf>
    <xf numFmtId="166" fontId="0" fillId="5" borderId="24" xfId="0" applyNumberFormat="1" applyFill="1" applyBorder="1" applyAlignment="1">
      <alignment horizontal="center" vertical="center"/>
    </xf>
    <xf numFmtId="165" fontId="0" fillId="5" borderId="2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165" fontId="0" fillId="5" borderId="4" xfId="0" applyNumberFormat="1" applyFill="1" applyBorder="1" applyAlignment="1">
      <alignment horizontal="center" vertical="center"/>
    </xf>
    <xf numFmtId="166" fontId="0" fillId="5" borderId="4" xfId="0" applyNumberFormat="1" applyFill="1" applyBorder="1" applyAlignment="1">
      <alignment horizontal="center" vertical="center"/>
    </xf>
    <xf numFmtId="165" fontId="0" fillId="5" borderId="16" xfId="0" applyNumberFormat="1" applyFill="1" applyBorder="1" applyAlignment="1">
      <alignment horizontal="center" vertical="center"/>
    </xf>
    <xf numFmtId="0" fontId="37" fillId="0" borderId="33" xfId="0" applyFont="1" applyBorder="1" applyAlignment="1">
      <alignment horizontal="center" vertical="center" wrapText="1"/>
    </xf>
    <xf numFmtId="165" fontId="0" fillId="5" borderId="34" xfId="0" applyNumberForma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 wrapText="1"/>
    </xf>
    <xf numFmtId="165" fontId="0" fillId="5" borderId="6" xfId="0" applyNumberFormat="1" applyFill="1" applyBorder="1" applyAlignment="1">
      <alignment horizontal="center" vertical="center"/>
    </xf>
    <xf numFmtId="166" fontId="0" fillId="5" borderId="6" xfId="0" applyNumberFormat="1" applyFill="1" applyBorder="1" applyAlignment="1">
      <alignment horizontal="center" vertical="center"/>
    </xf>
    <xf numFmtId="165" fontId="0" fillId="5" borderId="7" xfId="0" applyNumberFormat="1" applyFill="1" applyBorder="1" applyAlignment="1">
      <alignment horizontal="center" vertical="center"/>
    </xf>
    <xf numFmtId="165" fontId="40" fillId="2" borderId="18" xfId="0" applyNumberFormat="1" applyFont="1" applyFill="1" applyBorder="1" applyAlignment="1">
      <alignment horizontal="center" vertical="center"/>
    </xf>
    <xf numFmtId="165" fontId="40" fillId="2" borderId="12" xfId="0" applyNumberFormat="1" applyFont="1" applyFill="1" applyBorder="1" applyAlignment="1">
      <alignment horizontal="center" vertical="center"/>
    </xf>
    <xf numFmtId="9" fontId="2" fillId="14" borderId="18" xfId="0" applyNumberFormat="1" applyFont="1" applyFill="1" applyBorder="1" applyAlignment="1">
      <alignment horizontal="center" vertical="center" wrapText="1"/>
    </xf>
    <xf numFmtId="9" fontId="2" fillId="2" borderId="18" xfId="0" applyNumberFormat="1" applyFont="1" applyFill="1" applyBorder="1" applyAlignment="1">
      <alignment horizontal="center" vertical="center" wrapText="1"/>
    </xf>
    <xf numFmtId="165" fontId="40" fillId="0" borderId="18" xfId="0" applyNumberFormat="1" applyFont="1" applyBorder="1" applyAlignment="1">
      <alignment horizontal="center" vertical="center"/>
    </xf>
    <xf numFmtId="165" fontId="40" fillId="0" borderId="12" xfId="0" applyNumberFormat="1" applyFont="1" applyBorder="1" applyAlignment="1">
      <alignment horizontal="center" vertical="center"/>
    </xf>
    <xf numFmtId="9" fontId="10" fillId="11" borderId="12" xfId="0" applyNumberFormat="1" applyFont="1" applyFill="1" applyBorder="1" applyAlignment="1">
      <alignment horizontal="center" vertical="center"/>
    </xf>
    <xf numFmtId="166" fontId="35" fillId="0" borderId="27" xfId="0" applyNumberFormat="1" applyFont="1" applyBorder="1" applyAlignment="1">
      <alignment horizontal="center" vertical="center"/>
    </xf>
    <xf numFmtId="164" fontId="1" fillId="0" borderId="4" xfId="1" applyNumberFormat="1" applyFont="1" applyFill="1" applyBorder="1" applyAlignment="1">
      <alignment horizontal="center" vertical="center"/>
    </xf>
    <xf numFmtId="164" fontId="1" fillId="0" borderId="6" xfId="1" applyNumberFormat="1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165" fontId="35" fillId="14" borderId="29" xfId="0" applyNumberFormat="1" applyFont="1" applyFill="1" applyBorder="1" applyAlignment="1">
      <alignment horizontal="center" vertical="center"/>
    </xf>
    <xf numFmtId="44" fontId="1" fillId="0" borderId="4" xfId="1" applyFont="1" applyFill="1" applyBorder="1" applyAlignment="1">
      <alignment vertical="center"/>
    </xf>
    <xf numFmtId="44" fontId="1" fillId="0" borderId="16" xfId="1" applyFont="1" applyFill="1" applyBorder="1" applyAlignment="1">
      <alignment vertical="center"/>
    </xf>
    <xf numFmtId="9" fontId="9" fillId="0" borderId="18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44" fontId="1" fillId="0" borderId="6" xfId="1" applyFont="1" applyFill="1" applyBorder="1" applyAlignment="1">
      <alignment vertical="center"/>
    </xf>
    <xf numFmtId="44" fontId="1" fillId="0" borderId="7" xfId="1" applyFont="1" applyFill="1" applyBorder="1" applyAlignment="1">
      <alignment vertical="center"/>
    </xf>
    <xf numFmtId="9" fontId="9" fillId="0" borderId="12" xfId="0" applyNumberFormat="1" applyFont="1" applyBorder="1" applyAlignment="1">
      <alignment horizontal="center" vertical="center"/>
    </xf>
    <xf numFmtId="165" fontId="35" fillId="0" borderId="18" xfId="0" applyNumberFormat="1" applyFont="1" applyBorder="1" applyAlignment="1">
      <alignment horizontal="center" vertical="center"/>
    </xf>
    <xf numFmtId="165" fontId="41" fillId="0" borderId="18" xfId="0" applyNumberFormat="1" applyFont="1" applyBorder="1" applyAlignment="1">
      <alignment horizontal="center" vertical="center"/>
    </xf>
    <xf numFmtId="9" fontId="10" fillId="0" borderId="18" xfId="0" applyNumberFormat="1" applyFont="1" applyBorder="1" applyAlignment="1">
      <alignment horizontal="center" vertical="center"/>
    </xf>
    <xf numFmtId="165" fontId="35" fillId="0" borderId="12" xfId="0" applyNumberFormat="1" applyFont="1" applyBorder="1" applyAlignment="1">
      <alignment horizontal="center" vertical="center"/>
    </xf>
    <xf numFmtId="165" fontId="41" fillId="0" borderId="12" xfId="0" applyNumberFormat="1" applyFont="1" applyBorder="1" applyAlignment="1">
      <alignment horizontal="center" vertical="center"/>
    </xf>
    <xf numFmtId="9" fontId="10" fillId="0" borderId="12" xfId="0" applyNumberFormat="1" applyFont="1" applyBorder="1" applyAlignment="1">
      <alignment horizontal="center" vertical="center"/>
    </xf>
    <xf numFmtId="164" fontId="1" fillId="4" borderId="4" xfId="1" applyNumberFormat="1" applyFon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3" fillId="4" borderId="6" xfId="0" applyFont="1" applyFill="1" applyBorder="1" applyAlignment="1">
      <alignment vertical="center" wrapText="1"/>
    </xf>
    <xf numFmtId="164" fontId="1" fillId="4" borderId="6" xfId="1" applyNumberFormat="1" applyFont="1" applyFill="1" applyBorder="1" applyAlignment="1">
      <alignment horizontal="center" vertical="center"/>
    </xf>
    <xf numFmtId="164" fontId="0" fillId="4" borderId="7" xfId="0" applyNumberFormat="1" applyFill="1" applyBorder="1" applyAlignment="1">
      <alignment horizontal="center" vertical="center"/>
    </xf>
    <xf numFmtId="0" fontId="3" fillId="4" borderId="24" xfId="0" applyFont="1" applyFill="1" applyBorder="1" applyAlignment="1">
      <alignment vertical="center" wrapText="1"/>
    </xf>
    <xf numFmtId="164" fontId="0" fillId="4" borderId="28" xfId="0" applyNumberFormat="1" applyFill="1" applyBorder="1" applyAlignment="1">
      <alignment horizontal="center" vertical="center"/>
    </xf>
    <xf numFmtId="165" fontId="13" fillId="0" borderId="25" xfId="0" applyNumberFormat="1" applyFont="1" applyBorder="1" applyAlignment="1">
      <alignment horizontal="center" vertical="center"/>
    </xf>
    <xf numFmtId="165" fontId="13" fillId="6" borderId="29" xfId="0" applyNumberFormat="1" applyFont="1" applyFill="1" applyBorder="1" applyAlignment="1">
      <alignment horizontal="center" vertical="center"/>
    </xf>
    <xf numFmtId="165" fontId="13" fillId="17" borderId="29" xfId="0" applyNumberFormat="1" applyFont="1" applyFill="1" applyBorder="1" applyAlignment="1">
      <alignment horizontal="center" vertical="center"/>
    </xf>
    <xf numFmtId="166" fontId="35" fillId="6" borderId="29" xfId="0" applyNumberFormat="1" applyFont="1" applyFill="1" applyBorder="1" applyAlignment="1">
      <alignment horizontal="center" vertical="center"/>
    </xf>
    <xf numFmtId="9" fontId="9" fillId="17" borderId="29" xfId="0" applyNumberFormat="1" applyFont="1" applyFill="1" applyBorder="1" applyAlignment="1">
      <alignment horizontal="center" vertical="center"/>
    </xf>
    <xf numFmtId="165" fontId="13" fillId="4" borderId="29" xfId="0" applyNumberFormat="1" applyFont="1" applyFill="1" applyBorder="1" applyAlignment="1">
      <alignment horizontal="center" vertical="center"/>
    </xf>
    <xf numFmtId="166" fontId="35" fillId="4" borderId="29" xfId="0" applyNumberFormat="1" applyFont="1" applyFill="1" applyBorder="1" applyAlignment="1">
      <alignment horizontal="center" vertical="center"/>
    </xf>
    <xf numFmtId="9" fontId="9" fillId="4" borderId="29" xfId="0" applyNumberFormat="1" applyFont="1" applyFill="1" applyBorder="1" applyAlignment="1">
      <alignment horizontal="center" vertical="center"/>
    </xf>
    <xf numFmtId="165" fontId="40" fillId="2" borderId="29" xfId="0" applyNumberFormat="1" applyFont="1" applyFill="1" applyBorder="1" applyAlignment="1">
      <alignment horizontal="center" vertical="center"/>
    </xf>
    <xf numFmtId="165" fontId="40" fillId="2" borderId="11" xfId="0" applyNumberFormat="1" applyFont="1" applyFill="1" applyBorder="1" applyAlignment="1">
      <alignment horizontal="center" vertical="center"/>
    </xf>
    <xf numFmtId="165" fontId="41" fillId="2" borderId="29" xfId="0" applyNumberFormat="1" applyFont="1" applyFill="1" applyBorder="1" applyAlignment="1">
      <alignment horizontal="center" vertical="center"/>
    </xf>
    <xf numFmtId="0" fontId="37" fillId="0" borderId="23" xfId="0" applyFont="1" applyBorder="1" applyAlignment="1">
      <alignment horizontal="center" vertical="center" wrapText="1"/>
    </xf>
    <xf numFmtId="165" fontId="0" fillId="5" borderId="28" xfId="0" applyNumberFormat="1" applyFill="1" applyBorder="1" applyAlignment="1">
      <alignment horizontal="center" vertical="center"/>
    </xf>
    <xf numFmtId="165" fontId="41" fillId="2" borderId="13" xfId="0" applyNumberFormat="1" applyFont="1" applyFill="1" applyBorder="1" applyAlignment="1">
      <alignment horizontal="center" vertical="center"/>
    </xf>
    <xf numFmtId="165" fontId="41" fillId="0" borderId="19" xfId="0" applyNumberFormat="1" applyFont="1" applyBorder="1" applyAlignment="1">
      <alignment horizontal="center" vertical="center"/>
    </xf>
    <xf numFmtId="165" fontId="41" fillId="0" borderId="13" xfId="0" applyNumberFormat="1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6" fontId="35" fillId="0" borderId="0" xfId="0" applyNumberFormat="1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165" fontId="35" fillId="0" borderId="0" xfId="0" applyNumberFormat="1" applyFont="1" applyAlignment="1">
      <alignment horizontal="center" vertical="center"/>
    </xf>
    <xf numFmtId="165" fontId="13" fillId="15" borderId="9" xfId="1" applyNumberFormat="1" applyFont="1" applyFill="1" applyBorder="1" applyAlignment="1">
      <alignment horizontal="center" vertical="center"/>
    </xf>
    <xf numFmtId="165" fontId="43" fillId="19" borderId="22" xfId="0" applyNumberFormat="1" applyFont="1" applyFill="1" applyBorder="1" applyAlignment="1">
      <alignment horizontal="center" vertical="center"/>
    </xf>
    <xf numFmtId="165" fontId="43" fillId="19" borderId="36" xfId="0" applyNumberFormat="1" applyFont="1" applyFill="1" applyBorder="1" applyAlignment="1">
      <alignment horizontal="center" vertical="center"/>
    </xf>
    <xf numFmtId="165" fontId="43" fillId="19" borderId="12" xfId="0" applyNumberFormat="1" applyFont="1" applyFill="1" applyBorder="1" applyAlignment="1">
      <alignment horizontal="center" vertical="center"/>
    </xf>
    <xf numFmtId="0" fontId="44" fillId="20" borderId="15" xfId="0" applyFont="1" applyFill="1" applyBorder="1" applyAlignment="1">
      <alignment horizontal="center" vertical="center" wrapText="1"/>
    </xf>
    <xf numFmtId="165" fontId="46" fillId="14" borderId="18" xfId="0" applyNumberFormat="1" applyFont="1" applyFill="1" applyBorder="1" applyAlignment="1">
      <alignment horizontal="center" vertical="center"/>
    </xf>
    <xf numFmtId="167" fontId="0" fillId="21" borderId="12" xfId="0" applyNumberFormat="1" applyFill="1" applyBorder="1"/>
    <xf numFmtId="0" fontId="9" fillId="2" borderId="0" xfId="0" applyFont="1" applyFill="1" applyAlignment="1">
      <alignment horizontal="center" vertical="center"/>
    </xf>
    <xf numFmtId="165" fontId="13" fillId="9" borderId="22" xfId="0" applyNumberFormat="1" applyFont="1" applyFill="1" applyBorder="1" applyAlignment="1">
      <alignment horizontal="center" vertical="center"/>
    </xf>
    <xf numFmtId="165" fontId="46" fillId="14" borderId="12" xfId="0" applyNumberFormat="1" applyFont="1" applyFill="1" applyBorder="1" applyAlignment="1">
      <alignment horizontal="center" vertical="center"/>
    </xf>
    <xf numFmtId="164" fontId="0" fillId="4" borderId="4" xfId="1" applyNumberFormat="1" applyFont="1" applyFill="1" applyBorder="1" applyAlignment="1">
      <alignment horizontal="center" vertical="center"/>
    </xf>
    <xf numFmtId="164" fontId="0" fillId="4" borderId="6" xfId="1" applyNumberFormat="1" applyFont="1" applyFill="1" applyBorder="1" applyAlignment="1">
      <alignment horizontal="center" vertical="center"/>
    </xf>
    <xf numFmtId="165" fontId="13" fillId="15" borderId="18" xfId="0" applyNumberFormat="1" applyFont="1" applyFill="1" applyBorder="1" applyAlignment="1">
      <alignment horizontal="center" vertical="center"/>
    </xf>
    <xf numFmtId="165" fontId="13" fillId="12" borderId="18" xfId="0" applyNumberFormat="1" applyFont="1" applyFill="1" applyBorder="1" applyAlignment="1">
      <alignment horizontal="center" vertical="center"/>
    </xf>
    <xf numFmtId="165" fontId="13" fillId="7" borderId="27" xfId="0" applyNumberFormat="1" applyFont="1" applyFill="1" applyBorder="1" applyAlignment="1">
      <alignment horizontal="center" vertical="center"/>
    </xf>
    <xf numFmtId="166" fontId="35" fillId="7" borderId="27" xfId="0" applyNumberFormat="1" applyFont="1" applyFill="1" applyBorder="1" applyAlignment="1">
      <alignment horizontal="center" vertical="center"/>
    </xf>
    <xf numFmtId="165" fontId="35" fillId="22" borderId="18" xfId="0" applyNumberFormat="1" applyFont="1" applyFill="1" applyBorder="1" applyAlignment="1">
      <alignment horizontal="center" vertical="center"/>
    </xf>
    <xf numFmtId="165" fontId="46" fillId="22" borderId="18" xfId="0" applyNumberFormat="1" applyFont="1" applyFill="1" applyBorder="1" applyAlignment="1">
      <alignment horizontal="center" vertical="center"/>
    </xf>
    <xf numFmtId="165" fontId="35" fillId="22" borderId="29" xfId="0" applyNumberFormat="1" applyFont="1" applyFill="1" applyBorder="1" applyAlignment="1">
      <alignment horizontal="center" vertical="center"/>
    </xf>
    <xf numFmtId="165" fontId="46" fillId="22" borderId="12" xfId="0" applyNumberFormat="1" applyFont="1" applyFill="1" applyBorder="1" applyAlignment="1">
      <alignment horizontal="center" vertical="center"/>
    </xf>
    <xf numFmtId="165" fontId="35" fillId="22" borderId="12" xfId="0" applyNumberFormat="1" applyFont="1" applyFill="1" applyBorder="1" applyAlignment="1">
      <alignment horizontal="center" vertical="center"/>
    </xf>
    <xf numFmtId="0" fontId="48" fillId="5" borderId="0" xfId="0" applyFont="1" applyFill="1" applyAlignment="1">
      <alignment vertical="center"/>
    </xf>
    <xf numFmtId="0" fontId="48" fillId="5" borderId="0" xfId="0" applyFont="1" applyFill="1" applyAlignment="1">
      <alignment horizontal="center" vertical="center" wrapText="1"/>
    </xf>
    <xf numFmtId="0" fontId="47" fillId="3" borderId="8" xfId="0" applyFont="1" applyFill="1" applyBorder="1" applyAlignment="1">
      <alignment horizontal="center" vertical="center" wrapText="1"/>
    </xf>
  </cellXfs>
  <cellStyles count="4">
    <cellStyle name="Excel Built-in Normal" xfId="3" xr:uid="{00000000-0005-0000-0000-000000000000}"/>
    <cellStyle name="Měna" xfId="1" builtinId="4"/>
    <cellStyle name="Normální" xfId="0" builtinId="0"/>
    <cellStyle name="Normální 2" xfId="2" xr:uid="{00000000-0005-0000-0000-000003000000}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41061533974921E-2"/>
          <c:y val="9.3715021990522479E-2"/>
          <c:w val="0.48929695987069738"/>
          <c:h val="0.727633463917902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'BIA (nVPMD)'!$D$3</c:f>
              <c:strCache>
                <c:ptCount val="1"/>
                <c:pt idx="0">
                  <c:v>XIMLUCI (ranibizumab - dávka 0,5mg)                   za 3 roky (7+5+5 až 12+12+12)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(nVPMD)'!$I$3:$K$3</c:f>
              <c:numCache>
                <c:formatCode>#\ ##0\ "Kč"</c:formatCode>
                <c:ptCount val="3"/>
                <c:pt idx="0">
                  <c:v>113768.62999999999</c:v>
                </c:pt>
                <c:pt idx="1">
                  <c:v>113768.62999999999</c:v>
                </c:pt>
                <c:pt idx="2">
                  <c:v>208130.03999999998</c:v>
                </c:pt>
              </c:numCache>
            </c:numRef>
          </c:xVal>
          <c:yVal>
            <c:numRef>
              <c:f>'BIA (nVPMD)'!$A$3:$C$3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9E-436B-AE00-E25C9D80539F}"/>
            </c:ext>
          </c:extLst>
        </c:ser>
        <c:ser>
          <c:idx val="1"/>
          <c:order val="1"/>
          <c:tx>
            <c:strRef>
              <c:f>'BIA (nVPMD)'!$D$4</c:f>
              <c:strCache>
                <c:ptCount val="1"/>
                <c:pt idx="0">
                  <c:v>EYLEA (aflibercept - dávka 2mg)                                           za 3 roky (7+6+6 až 10+8+8)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(nVPMD)'!$I$4:$K$4</c:f>
              <c:numCache>
                <c:formatCode>#\ ##0\ "Kč"</c:formatCode>
                <c:ptCount val="3"/>
                <c:pt idx="0">
                  <c:v>177233.87909999999</c:v>
                </c:pt>
                <c:pt idx="1">
                  <c:v>177233.87909999999</c:v>
                </c:pt>
                <c:pt idx="2">
                  <c:v>242530.57140000002</c:v>
                </c:pt>
              </c:numCache>
            </c:numRef>
          </c:xVal>
          <c:yVal>
            <c:numRef>
              <c:f>'BIA (nVPMD)'!$A$4:$C$4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9E-436B-AE00-E25C9D80539F}"/>
            </c:ext>
          </c:extLst>
        </c:ser>
        <c:ser>
          <c:idx val="2"/>
          <c:order val="2"/>
          <c:tx>
            <c:strRef>
              <c:f>'BIA (nVPMD)'!$D$5</c:f>
              <c:strCache>
                <c:ptCount val="1"/>
                <c:pt idx="0">
                  <c:v>BEOVU (brolucizumab - dávka 6mg)                                           za 3 roky (5+4+4 až 7+6+6)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(nVPMD)'!$I$5:$K$5</c:f>
              <c:numCache>
                <c:formatCode>#\ ##0\ "Kč"</c:formatCode>
                <c:ptCount val="3"/>
                <c:pt idx="0">
                  <c:v>118975.73999999999</c:v>
                </c:pt>
                <c:pt idx="1">
                  <c:v>118975.73999999999</c:v>
                </c:pt>
                <c:pt idx="2">
                  <c:v>173887.62</c:v>
                </c:pt>
              </c:numCache>
            </c:numRef>
          </c:xVal>
          <c:yVal>
            <c:numRef>
              <c:f>'BIA (nVPMD)'!$A$5:$C$5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9E-436B-AE00-E25C9D80539F}"/>
            </c:ext>
          </c:extLst>
        </c:ser>
        <c:ser>
          <c:idx val="3"/>
          <c:order val="3"/>
          <c:tx>
            <c:strRef>
              <c:f>'BIA (nVPMD)'!$D$6</c:f>
              <c:strCache>
                <c:ptCount val="1"/>
                <c:pt idx="0">
                  <c:v>VABYSMO (faricimab - dávka 6mg)                                           za 3 roky (5+3+3 až 7+6+6)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(nVPMD)'!$I$6:$K$6</c:f>
              <c:numCache>
                <c:formatCode>#\ ##0\ "Kč"</c:formatCode>
                <c:ptCount val="3"/>
                <c:pt idx="0">
                  <c:v>98428.198000000004</c:v>
                </c:pt>
                <c:pt idx="1">
                  <c:v>98428.198000000004</c:v>
                </c:pt>
                <c:pt idx="2">
                  <c:v>170012.342</c:v>
                </c:pt>
              </c:numCache>
            </c:numRef>
          </c:xVal>
          <c:yVal>
            <c:numRef>
              <c:f>'BIA (nVPMD)'!$A$6:$C$6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9E-436B-AE00-E25C9D80539F}"/>
            </c:ext>
          </c:extLst>
        </c:ser>
        <c:ser>
          <c:idx val="4"/>
          <c:order val="4"/>
          <c:tx>
            <c:strRef>
              <c:f>'BIA (nVPMD)'!$D$7</c:f>
              <c:strCache>
                <c:ptCount val="1"/>
                <c:pt idx="0">
                  <c:v>EYLEA HD (aflibercept - dávka 8mg)                                           za 3 roky (6+3+3 až 7+6+6)</c:v>
                </c:pt>
              </c:strCache>
            </c:strRef>
          </c:tx>
          <c:marker>
            <c:symbol val="none"/>
          </c:marker>
          <c:xVal>
            <c:numRef>
              <c:f>'BIA (nVPMD)'!$I$7:$K$7</c:f>
              <c:numCache>
                <c:formatCode>#\ ##0\ "Kč"</c:formatCode>
                <c:ptCount val="3"/>
                <c:pt idx="0">
                  <c:v>111937.1868</c:v>
                </c:pt>
                <c:pt idx="1">
                  <c:v>111937.1868</c:v>
                </c:pt>
                <c:pt idx="2">
                  <c:v>177233.87909999999</c:v>
                </c:pt>
              </c:numCache>
            </c:numRef>
          </c:xVal>
          <c:yVal>
            <c:numRef>
              <c:f>'BIA (nVPMD)'!$A$7:$C$7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DE-4137-9287-F18D9E36F5DB}"/>
            </c:ext>
          </c:extLst>
        </c:ser>
        <c:ser>
          <c:idx val="5"/>
          <c:order val="5"/>
          <c:tx>
            <c:strRef>
              <c:f>'BIA (nVPMD)'!$D$8</c:f>
              <c:strCache>
                <c:ptCount val="1"/>
                <c:pt idx="0">
                  <c:v>XIMLUCI (ranibizumab - dávka 0,5mg)             za 1. rok (7x - 12x)</c:v>
                </c:pt>
              </c:strCache>
            </c:strRef>
          </c:tx>
          <c:marker>
            <c:symbol val="none"/>
          </c:marker>
          <c:xVal>
            <c:numRef>
              <c:f>'BIA (nVPMD)'!$I$8:$K$8</c:f>
              <c:numCache>
                <c:formatCode>#\ ##0\ "Kč"</c:formatCode>
                <c:ptCount val="3"/>
                <c:pt idx="0">
                  <c:v>44544.729999999996</c:v>
                </c:pt>
                <c:pt idx="1">
                  <c:v>44544.729999999996</c:v>
                </c:pt>
                <c:pt idx="2">
                  <c:v>69376.679999999993</c:v>
                </c:pt>
              </c:numCache>
            </c:numRef>
          </c:xVal>
          <c:yVal>
            <c:numRef>
              <c:f>'BIA (nVPMD)'!$A$8:$C$8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DE-4137-9287-F18D9E36F5DB}"/>
            </c:ext>
          </c:extLst>
        </c:ser>
        <c:ser>
          <c:idx val="6"/>
          <c:order val="6"/>
          <c:tx>
            <c:strRef>
              <c:f>'BIA (nVPMD)'!$D$9</c:f>
              <c:strCache>
                <c:ptCount val="1"/>
                <c:pt idx="0">
                  <c:v>EYLEA (aflibercept - dávka 2mg)                                          za 1. rok (7x - 10x)</c:v>
                </c:pt>
              </c:strCache>
            </c:strRef>
          </c:tx>
          <c:marker>
            <c:symbol val="none"/>
          </c:marker>
          <c:xVal>
            <c:numRef>
              <c:f>'BIA (nVPMD)'!$I$9:$K$9</c:f>
              <c:numCache>
                <c:formatCode>#\ ##0\ "Kč"</c:formatCode>
                <c:ptCount val="3"/>
                <c:pt idx="0">
                  <c:v>65296.692300000002</c:v>
                </c:pt>
                <c:pt idx="1">
                  <c:v>65296.692300000002</c:v>
                </c:pt>
                <c:pt idx="2">
                  <c:v>93280.989000000001</c:v>
                </c:pt>
              </c:numCache>
            </c:numRef>
          </c:xVal>
          <c:yVal>
            <c:numRef>
              <c:f>'BIA (nVPMD)'!$A$9:$C$9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DE-4137-9287-F18D9E36F5DB}"/>
            </c:ext>
          </c:extLst>
        </c:ser>
        <c:ser>
          <c:idx val="7"/>
          <c:order val="7"/>
          <c:tx>
            <c:strRef>
              <c:f>'BIA (nVPMD)'!$D$10</c:f>
              <c:strCache>
                <c:ptCount val="1"/>
                <c:pt idx="0">
                  <c:v>BEOVU (brolucizumab - dávka 6mg)                                           za 1. rok (5x - 7x)</c:v>
                </c:pt>
              </c:strCache>
            </c:strRef>
          </c:tx>
          <c:marker>
            <c:symbol val="none"/>
          </c:marker>
          <c:xVal>
            <c:numRef>
              <c:f>'BIA (nVPMD)'!$I$10:$K$10</c:f>
              <c:numCache>
                <c:formatCode>#\ ##0\ "Kč"</c:formatCode>
                <c:ptCount val="3"/>
                <c:pt idx="0">
                  <c:v>45759.899999999994</c:v>
                </c:pt>
                <c:pt idx="1">
                  <c:v>45759.899999999994</c:v>
                </c:pt>
                <c:pt idx="2">
                  <c:v>64063.86</c:v>
                </c:pt>
              </c:numCache>
            </c:numRef>
          </c:xVal>
          <c:yVal>
            <c:numRef>
              <c:f>'BIA (nVPMD)'!$A$10:$C$10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DE-4137-9287-F18D9E36F5DB}"/>
            </c:ext>
          </c:extLst>
        </c:ser>
        <c:ser>
          <c:idx val="8"/>
          <c:order val="8"/>
          <c:tx>
            <c:strRef>
              <c:f>'BIA (nVPMD)'!$D$11</c:f>
              <c:strCache>
                <c:ptCount val="1"/>
                <c:pt idx="0">
                  <c:v>VABYSMO (faricimab - dávka 6mg)                                          za 1. rok (5x - 7x)</c:v>
                </c:pt>
              </c:strCache>
            </c:strRef>
          </c:tx>
          <c:marker>
            <c:symbol val="none"/>
          </c:marker>
          <c:xVal>
            <c:numRef>
              <c:f>'BIA (nVPMD)'!$I$11:$K$11</c:f>
              <c:numCache>
                <c:formatCode>#\ ##0\ "Kč"</c:formatCode>
                <c:ptCount val="3"/>
                <c:pt idx="0">
                  <c:v>44740.09</c:v>
                </c:pt>
                <c:pt idx="1">
                  <c:v>44740.09</c:v>
                </c:pt>
                <c:pt idx="2">
                  <c:v>62636.126000000004</c:v>
                </c:pt>
              </c:numCache>
            </c:numRef>
          </c:xVal>
          <c:yVal>
            <c:numRef>
              <c:f>'BIA (nVPMD)'!$A$11:$C$11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DE-4137-9287-F18D9E36F5DB}"/>
            </c:ext>
          </c:extLst>
        </c:ser>
        <c:ser>
          <c:idx val="9"/>
          <c:order val="9"/>
          <c:tx>
            <c:strRef>
              <c:f>'BIA (nVPMD)'!$D$12</c:f>
              <c:strCache>
                <c:ptCount val="1"/>
                <c:pt idx="0">
                  <c:v>EYLEA HD (aflibercept - dávka 8mg)                                          za 1. rok (6x - 7x)</c:v>
                </c:pt>
              </c:strCache>
            </c:strRef>
          </c:tx>
          <c:marker>
            <c:symbol val="none"/>
          </c:marker>
          <c:xVal>
            <c:numRef>
              <c:f>'BIA (nVPMD)'!$I$12:$K$12</c:f>
              <c:numCache>
                <c:formatCode>#\ ##0\ "Kč"</c:formatCode>
                <c:ptCount val="3"/>
                <c:pt idx="0">
                  <c:v>55968.593399999998</c:v>
                </c:pt>
                <c:pt idx="1">
                  <c:v>55968.593399999998</c:v>
                </c:pt>
                <c:pt idx="2">
                  <c:v>65296.692300000002</c:v>
                </c:pt>
              </c:numCache>
            </c:numRef>
          </c:xVal>
          <c:yVal>
            <c:numRef>
              <c:f>'BIA (nVPMD)'!$A$12:$C$12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DE-4137-9287-F18D9E36F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06272"/>
        <c:axId val="124807808"/>
      </c:scatterChart>
      <c:valAx>
        <c:axId val="124806272"/>
        <c:scaling>
          <c:orientation val="minMax"/>
          <c:max val="300000"/>
          <c:min val="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807808"/>
        <c:crosses val="autoZero"/>
        <c:crossBetween val="midCat"/>
        <c:majorUnit val="100000"/>
      </c:valAx>
      <c:valAx>
        <c:axId val="124807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4806272"/>
        <c:crossesAt val="92356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7811907355239407"/>
          <c:y val="0.18806230952192662"/>
          <c:w val="0.22188092644760593"/>
          <c:h val="0.607600341263709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14430140676873E-2"/>
          <c:y val="9.2942025824893845E-2"/>
          <c:w val="0.49603021844491663"/>
          <c:h val="0.72751889338019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'BIA (DME)'!$D$3</c:f>
              <c:strCache>
                <c:ptCount val="1"/>
                <c:pt idx="0">
                  <c:v>XIMLUCI (ranibizumab - dávka 0,5mg)                   za 3 roky (7+2+2 až 12+9+9)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'BIA (DME)'!$I$3:$K$3</c:f>
              <c:numCache>
                <c:formatCode>#\ ##0\ "Kč"</c:formatCode>
                <c:ptCount val="3"/>
                <c:pt idx="0">
                  <c:v>70115.289999999994</c:v>
                </c:pt>
                <c:pt idx="1">
                  <c:v>70115.289999999994</c:v>
                </c:pt>
                <c:pt idx="2">
                  <c:v>175071.69999999998</c:v>
                </c:pt>
              </c:numCache>
            </c:numRef>
          </c:xVal>
          <c:yVal>
            <c:numRef>
              <c:f>'BIA (DME)'!$A$3:$C$3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1F-4C79-82DF-0C5F0326BDF2}"/>
            </c:ext>
          </c:extLst>
        </c:ser>
        <c:ser>
          <c:idx val="1"/>
          <c:order val="1"/>
          <c:tx>
            <c:strRef>
              <c:f>'BIA (DME)'!$D$4</c:f>
              <c:strCache>
                <c:ptCount val="1"/>
                <c:pt idx="0">
                  <c:v>EYLEA (aflibercept - dávka 2mg)                                           za 3 roky (7+2+2 až 11+8+8)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'BIA (DME)'!$I$4:$K$4</c:f>
              <c:numCache>
                <c:formatCode>#\ ##0\ "Kč"</c:formatCode>
                <c:ptCount val="3"/>
                <c:pt idx="0">
                  <c:v>109129.0879</c:v>
                </c:pt>
                <c:pt idx="1">
                  <c:v>109129.0879</c:v>
                </c:pt>
                <c:pt idx="2">
                  <c:v>255933.6703</c:v>
                </c:pt>
              </c:numCache>
            </c:numRef>
          </c:xVal>
          <c:yVal>
            <c:numRef>
              <c:f>'BIA (DME)'!$A$4:$C$4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1F-4C79-82DF-0C5F0326BDF2}"/>
            </c:ext>
          </c:extLst>
        </c:ser>
        <c:ser>
          <c:idx val="2"/>
          <c:order val="2"/>
          <c:tx>
            <c:strRef>
              <c:f>'BIA (DME)'!$D$5</c:f>
              <c:strCache>
                <c:ptCount val="1"/>
                <c:pt idx="0">
                  <c:v>BEOVU (brolucizumab - dávka 6mg)                                           za 3 roky (6+4+4 až 7+6+6)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'BIA (DME)'!$I$5:$K$5</c:f>
              <c:numCache>
                <c:formatCode>#\ ##0\ "Kč"</c:formatCode>
                <c:ptCount val="3"/>
                <c:pt idx="0">
                  <c:v>128127.72</c:v>
                </c:pt>
                <c:pt idx="1">
                  <c:v>128127.72</c:v>
                </c:pt>
                <c:pt idx="2">
                  <c:v>173887.62</c:v>
                </c:pt>
              </c:numCache>
            </c:numRef>
          </c:xVal>
          <c:yVal>
            <c:numRef>
              <c:f>'BIA (DME)'!$A$5:$C$5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1F-4C79-82DF-0C5F0326BDF2}"/>
            </c:ext>
          </c:extLst>
        </c:ser>
        <c:ser>
          <c:idx val="3"/>
          <c:order val="3"/>
          <c:tx>
            <c:strRef>
              <c:f>'BIA (DME)'!$D$6</c:f>
              <c:strCache>
                <c:ptCount val="1"/>
                <c:pt idx="0">
                  <c:v>VABYSMO (faricimab - dávka 6mg)                                           za 3 roky (6+3+3 až 10+6+6)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'BIA (DME)'!$I$6:$K$6</c:f>
              <c:numCache>
                <c:formatCode>#\ ##0\ "Kč"</c:formatCode>
                <c:ptCount val="3"/>
                <c:pt idx="0">
                  <c:v>107376.216</c:v>
                </c:pt>
                <c:pt idx="1">
                  <c:v>107376.216</c:v>
                </c:pt>
                <c:pt idx="2">
                  <c:v>196856.39600000001</c:v>
                </c:pt>
              </c:numCache>
            </c:numRef>
          </c:xVal>
          <c:yVal>
            <c:numRef>
              <c:f>'BIA (DME)'!$A$6:$C$6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1F-4C79-82DF-0C5F0326BDF2}"/>
            </c:ext>
          </c:extLst>
        </c:ser>
        <c:ser>
          <c:idx val="4"/>
          <c:order val="4"/>
          <c:tx>
            <c:strRef>
              <c:f>'BIA (DME)'!$D$7</c:f>
              <c:strCache>
                <c:ptCount val="1"/>
                <c:pt idx="0">
                  <c:v>EYLEA HD (aflibercept - dávka 8mg)                                           za 3 roky (6+3+3 až 7+6+6)</c:v>
                </c:pt>
              </c:strCache>
            </c:strRef>
          </c:tx>
          <c:marker>
            <c:symbol val="none"/>
          </c:marker>
          <c:xVal>
            <c:numRef>
              <c:f>'BIA (DME)'!$I$7:$K$7</c:f>
              <c:numCache>
                <c:formatCode>#\ ##0\ "Kč"</c:formatCode>
                <c:ptCount val="3"/>
                <c:pt idx="0">
                  <c:v>111937.1868</c:v>
                </c:pt>
                <c:pt idx="1">
                  <c:v>111937.1868</c:v>
                </c:pt>
                <c:pt idx="2">
                  <c:v>177233.87909999999</c:v>
                </c:pt>
              </c:numCache>
            </c:numRef>
          </c:xVal>
          <c:yVal>
            <c:numRef>
              <c:f>'BIA (DME)'!$A$7:$C$7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AD-4EDC-A1C8-B39C03E3F2A1}"/>
            </c:ext>
          </c:extLst>
        </c:ser>
        <c:ser>
          <c:idx val="5"/>
          <c:order val="5"/>
          <c:tx>
            <c:strRef>
              <c:f>'BIA (DME)'!$D$8</c:f>
              <c:strCache>
                <c:ptCount val="1"/>
                <c:pt idx="0">
                  <c:v>XIMLUCI (ranibizumab - dávka 0,5mg)             za 1. rok (7x - 12x)</c:v>
                </c:pt>
              </c:strCache>
            </c:strRef>
          </c:tx>
          <c:marker>
            <c:symbol val="none"/>
          </c:marker>
          <c:xVal>
            <c:numRef>
              <c:f>'BIA (DME)'!$I$8:$K$8</c:f>
              <c:numCache>
                <c:formatCode>#\ ##0\ "Kč"</c:formatCode>
                <c:ptCount val="3"/>
                <c:pt idx="0">
                  <c:v>42099.729999999996</c:v>
                </c:pt>
                <c:pt idx="1">
                  <c:v>42099.729999999996</c:v>
                </c:pt>
                <c:pt idx="2">
                  <c:v>69376.679999999993</c:v>
                </c:pt>
              </c:numCache>
            </c:numRef>
          </c:xVal>
          <c:yVal>
            <c:numRef>
              <c:f>'BIA (DME)'!$A$8:$C$8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AD-4EDC-A1C8-B39C03E3F2A1}"/>
            </c:ext>
          </c:extLst>
        </c:ser>
        <c:ser>
          <c:idx val="6"/>
          <c:order val="6"/>
          <c:tx>
            <c:strRef>
              <c:f>'BIA (DME)'!$D$9</c:f>
              <c:strCache>
                <c:ptCount val="1"/>
                <c:pt idx="0">
                  <c:v>EYLEA (aflibercept - dávka 2mg)                                          za 1. rok (7x - 11x)</c:v>
                </c:pt>
              </c:strCache>
            </c:strRef>
          </c:tx>
          <c:marker>
            <c:symbol val="none"/>
          </c:marker>
          <c:xVal>
            <c:numRef>
              <c:f>'BIA (DME)'!$I$9:$K$9</c:f>
              <c:numCache>
                <c:formatCode>#\ ##0\ "Kč"</c:formatCode>
                <c:ptCount val="3"/>
                <c:pt idx="0">
                  <c:v>66926.692299999995</c:v>
                </c:pt>
                <c:pt idx="1">
                  <c:v>66926.692299999995</c:v>
                </c:pt>
                <c:pt idx="2">
                  <c:v>103424.0879</c:v>
                </c:pt>
              </c:numCache>
            </c:numRef>
          </c:xVal>
          <c:yVal>
            <c:numRef>
              <c:f>'BIA (DME)'!$A$9:$C$9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AD-4EDC-A1C8-B39C03E3F2A1}"/>
            </c:ext>
          </c:extLst>
        </c:ser>
        <c:ser>
          <c:idx val="7"/>
          <c:order val="7"/>
          <c:tx>
            <c:strRef>
              <c:f>'BIA (DME)'!$D$10</c:f>
              <c:strCache>
                <c:ptCount val="1"/>
                <c:pt idx="0">
                  <c:v>BEOVU (brolucizumab - dávka 6mg)                                           za 1. rok (6x - 7x)</c:v>
                </c:pt>
              </c:strCache>
            </c:strRef>
          </c:tx>
          <c:marker>
            <c:symbol val="none"/>
          </c:marker>
          <c:xVal>
            <c:numRef>
              <c:f>'BIA (DME)'!$I$10:$K$10</c:f>
              <c:numCache>
                <c:formatCode>#\ ##0\ "Kč"</c:formatCode>
                <c:ptCount val="3"/>
                <c:pt idx="0">
                  <c:v>54911.88</c:v>
                </c:pt>
                <c:pt idx="1">
                  <c:v>54911.88</c:v>
                </c:pt>
                <c:pt idx="2">
                  <c:v>64063.86</c:v>
                </c:pt>
              </c:numCache>
            </c:numRef>
          </c:xVal>
          <c:yVal>
            <c:numRef>
              <c:f>'BIA (DME)'!$A$10:$C$10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AD-4EDC-A1C8-B39C03E3F2A1}"/>
            </c:ext>
          </c:extLst>
        </c:ser>
        <c:ser>
          <c:idx val="8"/>
          <c:order val="8"/>
          <c:tx>
            <c:strRef>
              <c:f>'BIA (DME)'!$D$11</c:f>
              <c:strCache>
                <c:ptCount val="1"/>
                <c:pt idx="0">
                  <c:v>VABYSMO (faricimab - dávka 6mg)                                          za 1. rok (6x - 10x)</c:v>
                </c:pt>
              </c:strCache>
            </c:strRef>
          </c:tx>
          <c:marker>
            <c:symbol val="none"/>
          </c:marker>
          <c:xVal>
            <c:numRef>
              <c:f>'BIA (DME)'!$I$11:$K$11</c:f>
              <c:numCache>
                <c:formatCode>#\ ##0\ "Kč"</c:formatCode>
                <c:ptCount val="3"/>
                <c:pt idx="0">
                  <c:v>53688.108</c:v>
                </c:pt>
                <c:pt idx="1">
                  <c:v>53688.108</c:v>
                </c:pt>
                <c:pt idx="2">
                  <c:v>89480.18</c:v>
                </c:pt>
              </c:numCache>
            </c:numRef>
          </c:xVal>
          <c:yVal>
            <c:numRef>
              <c:f>'BIA (DME)'!$A$11:$C$11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AD-4EDC-A1C8-B39C03E3F2A1}"/>
            </c:ext>
          </c:extLst>
        </c:ser>
        <c:ser>
          <c:idx val="9"/>
          <c:order val="9"/>
          <c:tx>
            <c:strRef>
              <c:f>'BIA (DME)'!$D$12</c:f>
              <c:strCache>
                <c:ptCount val="1"/>
                <c:pt idx="0">
                  <c:v>EYLEA HD (aflibercept - dávka 8mg)                                          za 1. rok (6x - 7x)</c:v>
                </c:pt>
              </c:strCache>
            </c:strRef>
          </c:tx>
          <c:marker>
            <c:symbol val="none"/>
          </c:marker>
          <c:xVal>
            <c:numRef>
              <c:f>'BIA (DME)'!$I$12:$K$12</c:f>
              <c:numCache>
                <c:formatCode>#\ ##0\ "Kč"</c:formatCode>
                <c:ptCount val="3"/>
                <c:pt idx="0">
                  <c:v>55968.593399999998</c:v>
                </c:pt>
                <c:pt idx="1">
                  <c:v>55968.593399999998</c:v>
                </c:pt>
                <c:pt idx="2">
                  <c:v>65296.692300000002</c:v>
                </c:pt>
              </c:numCache>
            </c:numRef>
          </c:xVal>
          <c:yVal>
            <c:numRef>
              <c:f>'BIA (DME)'!$A$12:$C$12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AD-4EDC-A1C8-B39C03E3F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30240"/>
        <c:axId val="132331776"/>
      </c:scatterChart>
      <c:valAx>
        <c:axId val="132330240"/>
        <c:scaling>
          <c:orientation val="minMax"/>
          <c:max val="300000"/>
          <c:min val="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331776"/>
        <c:crosses val="autoZero"/>
        <c:crossBetween val="midCat"/>
        <c:majorUnit val="100000"/>
      </c:valAx>
      <c:valAx>
        <c:axId val="132331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330240"/>
        <c:crossesAt val="92356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743212081307708"/>
          <c:y val="0.19008144460549711"/>
          <c:w val="0.23882217471956899"/>
          <c:h val="0.61209499543592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52914</xdr:colOff>
      <xdr:row>27</xdr:row>
      <xdr:rowOff>42334</xdr:rowOff>
    </xdr:from>
    <xdr:to>
      <xdr:col>9</xdr:col>
      <xdr:colOff>0</xdr:colOff>
      <xdr:row>37</xdr:row>
      <xdr:rowOff>42333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43414" y="11980334"/>
          <a:ext cx="10583336" cy="154516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nVPMD aplikovány buď: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pevných (fixních) minimálně /maximálně doporučených (dle SPC daného anti-VEGF přípravku) intervalech (dle aktivity onemocnění) nebo ● adaptivním způsobem, ten může být dvojí: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re nata přístupu (tzv. PRN, někdy nazýván také jako „reaktivní“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přichází na kontroly v pevně stanovených intervalech, ale léčba je podávána pouze v případě, že je detekována aktivita onemocnění (viz  pozn. 5).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dostane anti-VEGF přípravek při každé kontrole, ale interval další kontroly se event. zkrátí či prodlouží podle anatomických a/nebo zrakových parametrů výsledků kontroly (viz výše pozn. 5).</a:t>
          </a:r>
        </a:p>
        <a:p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Dle: https://en.wikipedia.org/w/index.php?title=Macular_degeneration&amp;oldid=1127887761 ze dne 30.12.2022</a:t>
          </a:r>
        </a:p>
        <a:p>
          <a:endParaRPr lang="cs-CZ" sz="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DME aplikovány buď: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v pevných (fixních) minimálně /maximálně doporučených (dle SPC daného anti-VEGF přípravku) intervalech (dle aktivity onemocnění) nebo ● adaptivním způsobem: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režim z DRCR.net studie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(tzv. Protocol T - pro aflibercept a ranibizumab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– viz Příloha č. 15,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pacient dostane anti-VEGF přípravek při každé kontrole, ale interval další kontroly se event. zkrátí či prodlouží podle anatomických a/nebo zrakových parametrů výsledků kontroly</a:t>
          </a:r>
          <a:r>
            <a:rPr lang="cs-CZ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faricimabu také tzv. PTI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113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viz také Příloha č. 16.</a:t>
          </a:r>
          <a:endParaRPr lang="cs-CZ" sz="1000" b="1" u="none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260349</xdr:colOff>
      <xdr:row>0</xdr:row>
      <xdr:rowOff>31750</xdr:rowOff>
    </xdr:from>
    <xdr:to>
      <xdr:col>21</xdr:col>
      <xdr:colOff>134936</xdr:colOff>
      <xdr:row>27</xdr:row>
      <xdr:rowOff>87312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95B941B1-41F2-4FE7-9B3D-81AA5EE0D32C}"/>
            </a:ext>
          </a:extLst>
        </xdr:cNvPr>
        <xdr:cNvSpPr txBox="1"/>
      </xdr:nvSpPr>
      <xdr:spPr>
        <a:xfrm>
          <a:off x="260349" y="31750"/>
          <a:ext cx="12709525" cy="498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401460</xdr:colOff>
      <xdr:row>0</xdr:row>
      <xdr:rowOff>151695</xdr:rowOff>
    </xdr:from>
    <xdr:to>
      <xdr:col>11</xdr:col>
      <xdr:colOff>517347</xdr:colOff>
      <xdr:row>21</xdr:row>
      <xdr:rowOff>52071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75CF27-A3FE-4B05-80D8-71E3F7BD3A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60" y="151695"/>
          <a:ext cx="6790443" cy="37527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409573</xdr:colOff>
      <xdr:row>0</xdr:row>
      <xdr:rowOff>198436</xdr:rowOff>
    </xdr:from>
    <xdr:to>
      <xdr:col>28</xdr:col>
      <xdr:colOff>222249</xdr:colOff>
      <xdr:row>13</xdr:row>
      <xdr:rowOff>74084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471485</xdr:colOff>
      <xdr:row>11</xdr:row>
      <xdr:rowOff>74083</xdr:rowOff>
    </xdr:from>
    <xdr:to>
      <xdr:col>23</xdr:col>
      <xdr:colOff>20637</xdr:colOff>
      <xdr:row>11</xdr:row>
      <xdr:rowOff>427038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837235" y="4661958"/>
          <a:ext cx="5661027" cy="3529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kolik Kč vynaložím  za LP + další zdrav. náklady</a:t>
          </a:r>
          <a:r>
            <a:rPr lang="cs-CZ" sz="900" b="1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123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1. rok, resp. celé 3 roky léčby anti-VEGF u 1 pac. s nVPMD</a:t>
          </a:r>
          <a:endParaRPr lang="cs-CZ" sz="1100"/>
        </a:p>
      </xdr:txBody>
    </xdr:sp>
    <xdr:clientData/>
  </xdr:twoCellAnchor>
  <xdr:twoCellAnchor>
    <xdr:from>
      <xdr:col>26</xdr:col>
      <xdr:colOff>485775</xdr:colOff>
      <xdr:row>28</xdr:row>
      <xdr:rowOff>76200</xdr:rowOff>
    </xdr:from>
    <xdr:to>
      <xdr:col>27</xdr:col>
      <xdr:colOff>561976</xdr:colOff>
      <xdr:row>30</xdr:row>
      <xdr:rowOff>57150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 flipV="1">
          <a:off x="13849350" y="5467350"/>
          <a:ext cx="771526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466725</xdr:colOff>
      <xdr:row>30</xdr:row>
      <xdr:rowOff>85725</xdr:rowOff>
    </xdr:from>
    <xdr:to>
      <xdr:col>27</xdr:col>
      <xdr:colOff>571500</xdr:colOff>
      <xdr:row>33</xdr:row>
      <xdr:rowOff>95250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H="1">
          <a:off x="13830300" y="5800725"/>
          <a:ext cx="800100" cy="581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542925</xdr:colOff>
      <xdr:row>30</xdr:row>
      <xdr:rowOff>152400</xdr:rowOff>
    </xdr:from>
    <xdr:to>
      <xdr:col>28</xdr:col>
      <xdr:colOff>66675</xdr:colOff>
      <xdr:row>32</xdr:row>
      <xdr:rowOff>76200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 flipV="1">
          <a:off x="10858500" y="5867400"/>
          <a:ext cx="3876675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28</xdr:row>
      <xdr:rowOff>38100</xdr:rowOff>
    </xdr:from>
    <xdr:to>
      <xdr:col>15</xdr:col>
      <xdr:colOff>304800</xdr:colOff>
      <xdr:row>32</xdr:row>
      <xdr:rowOff>171450</xdr:rowOff>
    </xdr:to>
    <xdr:cxnSp macro="">
      <xdr:nvCxnSpPr>
        <xdr:cNvPr id="7" name="Přímá spojnice se šipkou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4381500" y="5429250"/>
          <a:ext cx="2581275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28</xdr:row>
      <xdr:rowOff>161925</xdr:rowOff>
    </xdr:from>
    <xdr:to>
      <xdr:col>14</xdr:col>
      <xdr:colOff>28575</xdr:colOff>
      <xdr:row>32</xdr:row>
      <xdr:rowOff>104776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4391025" y="5553075"/>
          <a:ext cx="1685925" cy="6477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31</xdr:row>
      <xdr:rowOff>114300</xdr:rowOff>
    </xdr:from>
    <xdr:to>
      <xdr:col>14</xdr:col>
      <xdr:colOff>342900</xdr:colOff>
      <xdr:row>33</xdr:row>
      <xdr:rowOff>76200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V="1">
          <a:off x="4391025" y="6019800"/>
          <a:ext cx="20002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28</xdr:row>
      <xdr:rowOff>28575</xdr:rowOff>
    </xdr:from>
    <xdr:to>
      <xdr:col>17</xdr:col>
      <xdr:colOff>409575</xdr:colOff>
      <xdr:row>33</xdr:row>
      <xdr:rowOff>19050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 flipV="1">
          <a:off x="4381500" y="5419725"/>
          <a:ext cx="3905250" cy="885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34</xdr:row>
      <xdr:rowOff>76200</xdr:rowOff>
    </xdr:from>
    <xdr:to>
      <xdr:col>18</xdr:col>
      <xdr:colOff>209550</xdr:colOff>
      <xdr:row>36</xdr:row>
      <xdr:rowOff>85725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4257675" y="6553200"/>
          <a:ext cx="4438650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405339</xdr:colOff>
      <xdr:row>2</xdr:row>
      <xdr:rowOff>114829</xdr:rowOff>
    </xdr:from>
    <xdr:to>
      <xdr:col>16</xdr:col>
      <xdr:colOff>443439</xdr:colOff>
      <xdr:row>10</xdr:row>
      <xdr:rowOff>132291</xdr:rowOff>
    </xdr:to>
    <xdr:cxnSp macro="">
      <xdr:nvCxnSpPr>
        <xdr:cNvPr id="12" name="Přímá spojnic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7358589" y="1003829"/>
          <a:ext cx="38100" cy="3668712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441325</xdr:colOff>
      <xdr:row>6</xdr:row>
      <xdr:rowOff>209022</xdr:rowOff>
    </xdr:from>
    <xdr:to>
      <xdr:col>28</xdr:col>
      <xdr:colOff>84667</xdr:colOff>
      <xdr:row>6</xdr:row>
      <xdr:rowOff>214048</xdr:rowOff>
    </xdr:to>
    <xdr:cxnSp macro="">
      <xdr:nvCxnSpPr>
        <xdr:cNvPr id="15" name="Přímá spojnice 14">
          <a:extLst>
            <a:ext uri="{FF2B5EF4-FFF2-40B4-BE49-F238E27FC236}">
              <a16:creationId xmlns:a16="http://schemas.microsoft.com/office/drawing/2014/main" id="{EA13E1E7-91F8-4398-98C8-7D6C34D754F1}"/>
            </a:ext>
          </a:extLst>
        </xdr:cNvPr>
        <xdr:cNvCxnSpPr/>
      </xdr:nvCxnSpPr>
      <xdr:spPr>
        <a:xfrm flipV="1">
          <a:off x="5553075" y="2928939"/>
          <a:ext cx="8935509" cy="50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250825</xdr:colOff>
      <xdr:row>6</xdr:row>
      <xdr:rowOff>172508</xdr:rowOff>
    </xdr:from>
    <xdr:to>
      <xdr:col>15</xdr:col>
      <xdr:colOff>250825</xdr:colOff>
      <xdr:row>10</xdr:row>
      <xdr:rowOff>146051</xdr:rowOff>
    </xdr:to>
    <xdr:cxnSp macro="">
      <xdr:nvCxnSpPr>
        <xdr:cNvPr id="21" name="Přímá spojnice 20">
          <a:extLst>
            <a:ext uri="{FF2B5EF4-FFF2-40B4-BE49-F238E27FC236}">
              <a16:creationId xmlns:a16="http://schemas.microsoft.com/office/drawing/2014/main" id="{ADC4D2B2-AC7B-402C-8BC0-C2EEC1C82CB1}"/>
            </a:ext>
          </a:extLst>
        </xdr:cNvPr>
        <xdr:cNvCxnSpPr/>
      </xdr:nvCxnSpPr>
      <xdr:spPr>
        <a:xfrm>
          <a:off x="6584950" y="2896658"/>
          <a:ext cx="0" cy="1802343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466724</xdr:colOff>
      <xdr:row>3</xdr:row>
      <xdr:rowOff>352425</xdr:rowOff>
    </xdr:from>
    <xdr:to>
      <xdr:col>15</xdr:col>
      <xdr:colOff>419099</xdr:colOff>
      <xdr:row>5</xdr:row>
      <xdr:rowOff>57150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699518BD-4269-4B71-8910-9AFC8F25FAC8}"/>
            </a:ext>
          </a:extLst>
        </xdr:cNvPr>
        <xdr:cNvSpPr txBox="1"/>
      </xdr:nvSpPr>
      <xdr:spPr>
        <a:xfrm>
          <a:off x="6067424" y="1533525"/>
          <a:ext cx="11715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600" b="1">
              <a:solidFill>
                <a:srgbClr val="00B050"/>
              </a:solidFill>
            </a:rPr>
            <a:t>CELKEM ZA            3 ROKY</a:t>
          </a:r>
        </a:p>
      </xdr:txBody>
    </xdr:sp>
    <xdr:clientData/>
  </xdr:twoCellAnchor>
  <xdr:twoCellAnchor>
    <xdr:from>
      <xdr:col>14</xdr:col>
      <xdr:colOff>23812</xdr:colOff>
      <xdr:row>1</xdr:row>
      <xdr:rowOff>76729</xdr:rowOff>
    </xdr:from>
    <xdr:to>
      <xdr:col>16</xdr:col>
      <xdr:colOff>220132</xdr:colOff>
      <xdr:row>2</xdr:row>
      <xdr:rowOff>322792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40043724-FDB3-4648-8874-338000ACC0FE}"/>
            </a:ext>
          </a:extLst>
        </xdr:cNvPr>
        <xdr:cNvSpPr txBox="1"/>
      </xdr:nvSpPr>
      <xdr:spPr>
        <a:xfrm>
          <a:off x="5749395" y="690562"/>
          <a:ext cx="1423987" cy="52123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>
              <a:solidFill>
                <a:srgbClr val="FF0000"/>
              </a:solidFill>
            </a:rPr>
            <a:t>dolní hranice nákladů u VABYSMA </a:t>
          </a:r>
          <a:endParaRPr lang="cs-CZ" sz="1100" b="1" u="sng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31750</xdr:colOff>
      <xdr:row>2</xdr:row>
      <xdr:rowOff>280459</xdr:rowOff>
    </xdr:from>
    <xdr:to>
      <xdr:col>16</xdr:col>
      <xdr:colOff>371475</xdr:colOff>
      <xdr:row>4</xdr:row>
      <xdr:rowOff>28575</xdr:rowOff>
    </xdr:to>
    <xdr:cxnSp macro="">
      <xdr:nvCxnSpPr>
        <xdr:cNvPr id="16" name="Přímá spojnice se šipkou 15">
          <a:extLst>
            <a:ext uri="{FF2B5EF4-FFF2-40B4-BE49-F238E27FC236}">
              <a16:creationId xmlns:a16="http://schemas.microsoft.com/office/drawing/2014/main" id="{29A929B7-2195-4C67-83CA-8D844DF5313B}"/>
            </a:ext>
          </a:extLst>
        </xdr:cNvPr>
        <xdr:cNvCxnSpPr/>
      </xdr:nvCxnSpPr>
      <xdr:spPr>
        <a:xfrm>
          <a:off x="6975475" y="1166284"/>
          <a:ext cx="339725" cy="67204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254000</xdr:colOff>
      <xdr:row>2</xdr:row>
      <xdr:rowOff>275167</xdr:rowOff>
    </xdr:from>
    <xdr:to>
      <xdr:col>15</xdr:col>
      <xdr:colOff>582083</xdr:colOff>
      <xdr:row>7</xdr:row>
      <xdr:rowOff>74084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A3D62530-FFE4-4F2F-A752-FD0567C53016}"/>
            </a:ext>
          </a:extLst>
        </xdr:cNvPr>
        <xdr:cNvCxnSpPr/>
      </xdr:nvCxnSpPr>
      <xdr:spPr>
        <a:xfrm flipH="1">
          <a:off x="6593417" y="1164167"/>
          <a:ext cx="328083" cy="208491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352425</xdr:colOff>
      <xdr:row>0</xdr:row>
      <xdr:rowOff>266700</xdr:rowOff>
    </xdr:from>
    <xdr:to>
      <xdr:col>28</xdr:col>
      <xdr:colOff>142875</xdr:colOff>
      <xdr:row>2</xdr:row>
      <xdr:rowOff>304800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FA6BDA08-78B5-4144-A12B-0BA0BFDF5D1B}"/>
            </a:ext>
          </a:extLst>
        </xdr:cNvPr>
        <xdr:cNvSpPr txBox="1"/>
      </xdr:nvSpPr>
      <xdr:spPr>
        <a:xfrm>
          <a:off x="12172950" y="266700"/>
          <a:ext cx="2314575" cy="9239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="1" u="sng"/>
            <a:t>CAVE! XIMLUCI jako jediný LP vygeneruje výrazný</a:t>
          </a:r>
          <a:r>
            <a:rPr lang="cs-CZ" sz="850" b="1" u="sng" baseline="0"/>
            <a:t> "čistý příjem" </a:t>
          </a:r>
          <a:r>
            <a:rPr lang="cs-CZ" sz="850" b="1" baseline="0"/>
            <a:t>nemocnici (tj. úhrada - NCSD) </a:t>
          </a:r>
          <a:r>
            <a:rPr lang="cs-CZ" sz="850" b="1" u="sng" baseline="0"/>
            <a:t>30-50 tisic Kč za 1. rok léčby 1 pac. a 70-150 tisíc Kč za 3 roky léčby 1 pac.</a:t>
          </a:r>
          <a:r>
            <a:rPr lang="cs-CZ" sz="850" b="1" baseline="0"/>
            <a:t> (při stejných cenách a úhradách), </a:t>
          </a:r>
          <a:r>
            <a:rPr lang="cs-CZ" sz="850" b="1" u="sng" baseline="0">
              <a:solidFill>
                <a:srgbClr val="FF0000"/>
              </a:solidFill>
            </a:rPr>
            <a:t>ale z centr. rozpočtu "ukrojí" nejvíce (viz list "</a:t>
          </a:r>
          <a:r>
            <a:rPr lang="cs-CZ" sz="850" b="1" i="1" u="sng" baseline="0">
              <a:solidFill>
                <a:srgbClr val="FF0000"/>
              </a:solidFill>
            </a:rPr>
            <a:t>Ceny za léčbu</a:t>
          </a:r>
          <a:r>
            <a:rPr lang="cs-CZ" sz="850" b="1" u="sng" baseline="0">
              <a:solidFill>
                <a:srgbClr val="FF0000"/>
              </a:solidFill>
            </a:rPr>
            <a:t>"</a:t>
          </a:r>
          <a:r>
            <a:rPr lang="cs-CZ" sz="850" b="1" baseline="0"/>
            <a:t>!</a:t>
          </a:r>
          <a:endParaRPr lang="cs-CZ" sz="85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0.00498</cdr:x>
      <cdr:y>0</cdr:y>
    </cdr:from>
    <cdr:to>
      <cdr:x>0.74088</cdr:x>
      <cdr:y>0.09361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45002" y="0"/>
          <a:ext cx="6654303" cy="5153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1100" b="1" u="sng">
              <a:effectLst/>
              <a:latin typeface="+mn-lt"/>
              <a:ea typeface="+mn-ea"/>
              <a:cs typeface="+mn-cs"/>
            </a:rPr>
            <a:t>Srovnání nákladů (za LP + další náklady</a:t>
          </a:r>
          <a:r>
            <a:rPr lang="cs-CZ" sz="1100" b="1" u="sng" baseline="30000">
              <a:effectLst/>
              <a:latin typeface="+mn-lt"/>
              <a:ea typeface="+mn-ea"/>
              <a:cs typeface="+mn-cs"/>
            </a:rPr>
            <a:t>123</a:t>
          </a:r>
          <a:r>
            <a:rPr lang="cs-CZ" sz="1100" b="1" u="sng">
              <a:effectLst/>
              <a:latin typeface="+mn-lt"/>
              <a:ea typeface="+mn-ea"/>
              <a:cs typeface="+mn-cs"/>
            </a:rPr>
            <a:t>) anti-VEGF</a:t>
          </a:r>
          <a:r>
            <a:rPr lang="cs-CZ" sz="1100" b="1" u="sng" baseline="0">
              <a:effectLst/>
              <a:latin typeface="+mn-lt"/>
              <a:ea typeface="+mn-ea"/>
              <a:cs typeface="+mn-cs"/>
            </a:rPr>
            <a:t> u nVPMD na 1 pac. za 1. rok léčby a za celé 3 roky léčby 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(počítáno bez diskontace a při stejných jednot. nákladech po celé 3 roky)</a:t>
          </a:r>
          <a:endParaRPr lang="cs-CZ" sz="1100"/>
        </a:p>
      </cdr:txBody>
    </cdr:sp>
  </cdr:relSizeAnchor>
  <cdr:relSizeAnchor xmlns:cdr="http://schemas.openxmlformats.org/drawingml/2006/chartDrawing">
    <cdr:from>
      <cdr:x>0.75631</cdr:x>
      <cdr:y>0.72861</cdr:y>
    </cdr:from>
    <cdr:to>
      <cdr:x>1</cdr:x>
      <cdr:y>0.79278</cdr:y>
    </cdr:to>
    <cdr:sp macro="" textlink="">
      <cdr:nvSpPr>
        <cdr:cNvPr id="3" name="Ovál 2">
          <a:extLst xmlns:a="http://schemas.openxmlformats.org/drawingml/2006/main">
            <a:ext uri="{FF2B5EF4-FFF2-40B4-BE49-F238E27FC236}">
              <a16:creationId xmlns:a16="http://schemas.microsoft.com/office/drawing/2014/main" id="{D8E4FD0E-0204-413B-8037-DB1D46D0FE6C}"/>
            </a:ext>
          </a:extLst>
        </cdr:cNvPr>
        <cdr:cNvSpPr/>
      </cdr:nvSpPr>
      <cdr:spPr>
        <a:xfrm xmlns:a="http://schemas.openxmlformats.org/drawingml/2006/main">
          <a:off x="6886121" y="3832798"/>
          <a:ext cx="2218721" cy="33756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0.75646</cdr:x>
      <cdr:y>0.42306</cdr:y>
    </cdr:from>
    <cdr:to>
      <cdr:x>1</cdr:x>
      <cdr:y>0.491</cdr:y>
    </cdr:to>
    <cdr:sp macro="" textlink="">
      <cdr:nvSpPr>
        <cdr:cNvPr id="4" name="Ovál 3">
          <a:extLst xmlns:a="http://schemas.openxmlformats.org/drawingml/2006/main">
            <a:ext uri="{FF2B5EF4-FFF2-40B4-BE49-F238E27FC236}">
              <a16:creationId xmlns:a16="http://schemas.microsoft.com/office/drawing/2014/main" id="{AD79505C-9360-4DE2-B4DD-25570ECD4C83}"/>
            </a:ext>
          </a:extLst>
        </cdr:cNvPr>
        <cdr:cNvSpPr/>
      </cdr:nvSpPr>
      <cdr:spPr>
        <a:xfrm xmlns:a="http://schemas.openxmlformats.org/drawingml/2006/main">
          <a:off x="6887450" y="2320396"/>
          <a:ext cx="2217393" cy="37264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0.54794</cdr:x>
      <cdr:y>0.10388</cdr:y>
    </cdr:from>
    <cdr:to>
      <cdr:x>0.72854</cdr:x>
      <cdr:y>0.78968</cdr:y>
    </cdr:to>
    <cdr:sp macro="" textlink="">
      <cdr:nvSpPr>
        <cdr:cNvPr id="6" name="TextovéPole 4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4988908" y="569763"/>
          <a:ext cx="1644334" cy="376146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</a:t>
          </a:r>
          <a:r>
            <a:rPr lang="cs-CZ" sz="1000" b="1" u="sng"/>
            <a:t>NÁKLADY</a:t>
          </a:r>
          <a:r>
            <a:rPr lang="cs-CZ" sz="1000" b="1"/>
            <a:t> </a:t>
          </a:r>
          <a:r>
            <a:rPr lang="cs-CZ" sz="1000" b="1" u="sng"/>
            <a:t>(v NCSD cca</a:t>
          </a:r>
          <a:r>
            <a:rPr lang="cs-CZ" sz="1000" b="1"/>
            <a:t>)                              </a:t>
          </a:r>
          <a:r>
            <a:rPr lang="cs-CZ" sz="900" b="1"/>
            <a:t>(rozmezí dle počtu injekcí)</a:t>
          </a:r>
        </a:p>
        <a:p xmlns:a="http://schemas.openxmlformats.org/drawingml/2006/main">
          <a:endParaRPr lang="cs-CZ" sz="8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/>
            <a:t>  </a:t>
          </a:r>
          <a:r>
            <a:rPr lang="cs-CZ" sz="1000" b="1">
              <a:latin typeface="+mn-lt"/>
            </a:rPr>
            <a:t>114.000</a:t>
          </a:r>
          <a:r>
            <a:rPr lang="cs-CZ" sz="1000" b="1" baseline="0">
              <a:latin typeface="+mn-lt"/>
            </a:rPr>
            <a:t> Kč - 208.000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177.000 Kč - 243.000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119.000 Kč - 174.000 Kč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  98.000 Kč - 170.000</a:t>
          </a:r>
          <a:r>
            <a:rPr lang="cs-CZ" sz="1000" b="1" baseline="0">
              <a:effectLst/>
              <a:latin typeface="+mn-lt"/>
            </a:rPr>
            <a:t>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112.000 Kč - 177.000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3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  45.000 Kč  -  69.000 Kč</a:t>
          </a:r>
        </a:p>
        <a:p xmlns:a="http://schemas.openxmlformats.org/drawingml/2006/main">
          <a:endParaRPr lang="cs-CZ" sz="9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65.000 Kč  -  93.000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1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  46.000 Kč  -  64.000 Kč</a:t>
          </a:r>
        </a:p>
        <a:p xmlns:a="http://schemas.openxmlformats.org/drawingml/2006/main">
          <a:endParaRPr lang="cs-CZ" sz="11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45.000 Kč  -  63.000 Kč</a:t>
          </a:r>
          <a:endParaRPr lang="cs-CZ" sz="1000">
            <a:effectLst/>
          </a:endParaRPr>
        </a:p>
        <a:p xmlns:a="http://schemas.openxmlformats.org/drawingml/2006/main">
          <a:endParaRPr lang="cs-CZ" sz="11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56.000 Kč  -  65.000 Kč</a:t>
          </a:r>
          <a:endParaRPr lang="cs-CZ" sz="1000">
            <a:effectLst/>
          </a:endParaRPr>
        </a:p>
        <a:p xmlns:a="http://schemas.openxmlformats.org/drawingml/2006/main">
          <a:endParaRPr lang="cs-CZ" sz="1000" b="1">
            <a:latin typeface="+mn-lt"/>
          </a:endParaRPr>
        </a:p>
        <a:p xmlns:a="http://schemas.openxmlformats.org/drawingml/2006/main">
          <a:endParaRPr lang="cs-CZ" sz="1000" b="1">
            <a:latin typeface="+mn-lt"/>
          </a:endParaRPr>
        </a:p>
        <a:p xmlns:a="http://schemas.openxmlformats.org/drawingml/2006/main">
          <a:endParaRPr lang="cs-CZ" sz="10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0.01184</cdr:x>
      <cdr:y>0.56638</cdr:y>
    </cdr:from>
    <cdr:to>
      <cdr:x>0.14929</cdr:x>
      <cdr:y>0.65153</cdr:y>
    </cdr:to>
    <cdr:sp macro="" textlink="">
      <cdr:nvSpPr>
        <cdr:cNvPr id="7" name="TextovéPole 23">
          <a:extLst xmlns:a="http://schemas.openxmlformats.org/drawingml/2006/main">
            <a:ext uri="{FF2B5EF4-FFF2-40B4-BE49-F238E27FC236}">
              <a16:creationId xmlns:a16="http://schemas.microsoft.com/office/drawing/2014/main" id="{699518BD-4269-4B71-8910-9AFC8F25FAC8}"/>
            </a:ext>
          </a:extLst>
        </cdr:cNvPr>
        <cdr:cNvSpPr txBox="1"/>
      </cdr:nvSpPr>
      <cdr:spPr>
        <a:xfrm xmlns:a="http://schemas.openxmlformats.org/drawingml/2006/main">
          <a:off x="98425" y="2851150"/>
          <a:ext cx="114300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600" b="1">
              <a:solidFill>
                <a:srgbClr val="00B050"/>
              </a:solidFill>
            </a:rPr>
            <a:t>ZA 1. ROK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242886</xdr:rowOff>
    </xdr:from>
    <xdr:to>
      <xdr:col>27</xdr:col>
      <xdr:colOff>104775</xdr:colOff>
      <xdr:row>17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56FCAF5-ADF0-4185-A6CC-8810513F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610733</xdr:colOff>
      <xdr:row>12</xdr:row>
      <xdr:rowOff>88142</xdr:rowOff>
    </xdr:from>
    <xdr:to>
      <xdr:col>21</xdr:col>
      <xdr:colOff>567190</xdr:colOff>
      <xdr:row>15</xdr:row>
      <xdr:rowOff>23056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BC938073-7924-47B6-9CC0-24D08BC08A9B}"/>
            </a:ext>
          </a:extLst>
        </xdr:cNvPr>
        <xdr:cNvSpPr txBox="1"/>
      </xdr:nvSpPr>
      <xdr:spPr>
        <a:xfrm>
          <a:off x="5778046" y="5001455"/>
          <a:ext cx="5528582" cy="4032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kolik Kč vynaložím  za LP + další zdrav. náklady</a:t>
          </a:r>
          <a:r>
            <a:rPr lang="cs-CZ" sz="900" b="1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123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1. rok, resp. celé 3 roky léčby anti-VEGF u 1 pac. s DME</a:t>
          </a:r>
          <a:endParaRPr lang="cs-CZ" sz="1100"/>
        </a:p>
      </xdr:txBody>
    </xdr:sp>
    <xdr:clientData/>
  </xdr:twoCellAnchor>
  <xdr:twoCellAnchor>
    <xdr:from>
      <xdr:col>10</xdr:col>
      <xdr:colOff>314325</xdr:colOff>
      <xdr:row>35</xdr:row>
      <xdr:rowOff>76200</xdr:rowOff>
    </xdr:from>
    <xdr:to>
      <xdr:col>18</xdr:col>
      <xdr:colOff>209550</xdr:colOff>
      <xdr:row>37</xdr:row>
      <xdr:rowOff>85725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0A2D8DB8-C5D9-4065-8D31-4FF4F307EE4A}"/>
            </a:ext>
          </a:extLst>
        </xdr:cNvPr>
        <xdr:cNvCxnSpPr/>
      </xdr:nvCxnSpPr>
      <xdr:spPr>
        <a:xfrm flipV="1">
          <a:off x="4419600" y="8667750"/>
          <a:ext cx="4438650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198967</xdr:colOff>
      <xdr:row>3</xdr:row>
      <xdr:rowOff>278341</xdr:rowOff>
    </xdr:from>
    <xdr:to>
      <xdr:col>16</xdr:col>
      <xdr:colOff>237067</xdr:colOff>
      <xdr:row>11</xdr:row>
      <xdr:rowOff>329141</xdr:rowOff>
    </xdr:to>
    <xdr:cxnSp macro="">
      <xdr:nvCxnSpPr>
        <xdr:cNvPr id="12" name="Přímá spojnice 11">
          <a:extLst>
            <a:ext uri="{FF2B5EF4-FFF2-40B4-BE49-F238E27FC236}">
              <a16:creationId xmlns:a16="http://schemas.microsoft.com/office/drawing/2014/main" id="{F9771D9B-409B-4A1E-A7C4-EE0D94D2A17D}"/>
            </a:ext>
          </a:extLst>
        </xdr:cNvPr>
        <xdr:cNvCxnSpPr/>
      </xdr:nvCxnSpPr>
      <xdr:spPr>
        <a:xfrm>
          <a:off x="7609417" y="1259416"/>
          <a:ext cx="38100" cy="368935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388937</xdr:colOff>
      <xdr:row>7</xdr:row>
      <xdr:rowOff>294481</xdr:rowOff>
    </xdr:from>
    <xdr:to>
      <xdr:col>27</xdr:col>
      <xdr:colOff>112712</xdr:colOff>
      <xdr:row>7</xdr:row>
      <xdr:rowOff>294481</xdr:rowOff>
    </xdr:to>
    <xdr:cxnSp macro="">
      <xdr:nvCxnSpPr>
        <xdr:cNvPr id="13" name="Přímá spojnice 12">
          <a:extLst>
            <a:ext uri="{FF2B5EF4-FFF2-40B4-BE49-F238E27FC236}">
              <a16:creationId xmlns:a16="http://schemas.microsoft.com/office/drawing/2014/main" id="{6C701FC7-7389-4BC0-BBDC-FE26DB0F91A9}"/>
            </a:ext>
          </a:extLst>
        </xdr:cNvPr>
        <xdr:cNvCxnSpPr/>
      </xdr:nvCxnSpPr>
      <xdr:spPr>
        <a:xfrm>
          <a:off x="5556250" y="2890044"/>
          <a:ext cx="9082087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5820</xdr:colOff>
      <xdr:row>7</xdr:row>
      <xdr:rowOff>239713</xdr:rowOff>
    </xdr:from>
    <xdr:to>
      <xdr:col>15</xdr:col>
      <xdr:colOff>28045</xdr:colOff>
      <xdr:row>11</xdr:row>
      <xdr:rowOff>323322</xdr:rowOff>
    </xdr:to>
    <xdr:cxnSp macro="">
      <xdr:nvCxnSpPr>
        <xdr:cNvPr id="14" name="Přímá spojnice 13">
          <a:extLst>
            <a:ext uri="{FF2B5EF4-FFF2-40B4-BE49-F238E27FC236}">
              <a16:creationId xmlns:a16="http://schemas.microsoft.com/office/drawing/2014/main" id="{E761455F-19D9-47FA-A12C-9D1C52B8305A}"/>
            </a:ext>
          </a:extLst>
        </xdr:cNvPr>
        <xdr:cNvCxnSpPr/>
      </xdr:nvCxnSpPr>
      <xdr:spPr>
        <a:xfrm>
          <a:off x="6806670" y="3049588"/>
          <a:ext cx="22225" cy="1893359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409574</xdr:colOff>
      <xdr:row>3</xdr:row>
      <xdr:rowOff>285750</xdr:rowOff>
    </xdr:from>
    <xdr:to>
      <xdr:col>14</xdr:col>
      <xdr:colOff>314324</xdr:colOff>
      <xdr:row>4</xdr:row>
      <xdr:rowOff>447675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9C63E027-2F49-47D0-A907-56F371A9F1A3}"/>
            </a:ext>
          </a:extLst>
        </xdr:cNvPr>
        <xdr:cNvSpPr txBox="1"/>
      </xdr:nvSpPr>
      <xdr:spPr>
        <a:xfrm>
          <a:off x="5353049" y="1466850"/>
          <a:ext cx="11715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600" b="1">
              <a:solidFill>
                <a:srgbClr val="00B050"/>
              </a:solidFill>
            </a:rPr>
            <a:t>CELKEM ZA            3 ROKY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0.00237</cdr:y>
    </cdr:from>
    <cdr:to>
      <cdr:x>0.74109</cdr:x>
      <cdr:y>0.09598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0" y="13397"/>
          <a:ext cx="6663585" cy="5300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1100" b="1" u="sng">
              <a:effectLst/>
              <a:latin typeface="+mn-lt"/>
              <a:ea typeface="+mn-ea"/>
              <a:cs typeface="+mn-cs"/>
            </a:rPr>
            <a:t>Srovnání nákladů (za LP + další náklady</a:t>
          </a:r>
          <a:r>
            <a:rPr lang="cs-CZ" sz="1100" b="1" u="sng" baseline="30000">
              <a:effectLst/>
              <a:latin typeface="+mn-lt"/>
              <a:ea typeface="+mn-ea"/>
              <a:cs typeface="+mn-cs"/>
            </a:rPr>
            <a:t>123</a:t>
          </a:r>
          <a:r>
            <a:rPr lang="cs-CZ" sz="1100" b="1" u="sng">
              <a:effectLst/>
              <a:latin typeface="+mn-lt"/>
              <a:ea typeface="+mn-ea"/>
              <a:cs typeface="+mn-cs"/>
            </a:rPr>
            <a:t>) anti-VEGF</a:t>
          </a:r>
          <a:r>
            <a:rPr lang="cs-CZ" sz="1100" b="1" u="sng" baseline="0">
              <a:effectLst/>
              <a:latin typeface="+mn-lt"/>
              <a:ea typeface="+mn-ea"/>
              <a:cs typeface="+mn-cs"/>
            </a:rPr>
            <a:t> u DME na 1 pac. za 1. rok léčby a za celé 3 roky léčby 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(počítáno bez diskontace a při stejných jednot. nákladech po celé 3 roky)</a:t>
          </a:r>
          <a:endParaRPr lang="cs-CZ" sz="1100"/>
        </a:p>
      </cdr:txBody>
    </cdr:sp>
  </cdr:relSizeAnchor>
  <cdr:relSizeAnchor xmlns:cdr="http://schemas.openxmlformats.org/drawingml/2006/chartDrawing">
    <cdr:from>
      <cdr:x>0.75168</cdr:x>
      <cdr:y>0.73279</cdr:y>
    </cdr:from>
    <cdr:to>
      <cdr:x>0.98401</cdr:x>
      <cdr:y>0.80437</cdr:y>
    </cdr:to>
    <cdr:sp macro="" textlink="">
      <cdr:nvSpPr>
        <cdr:cNvPr id="3" name="Ovál 2">
          <a:extLst xmlns:a="http://schemas.openxmlformats.org/drawingml/2006/main">
            <a:ext uri="{FF2B5EF4-FFF2-40B4-BE49-F238E27FC236}">
              <a16:creationId xmlns:a16="http://schemas.microsoft.com/office/drawing/2014/main" id="{D8E4FD0E-0204-413B-8037-DB1D46D0FE6C}"/>
            </a:ext>
          </a:extLst>
        </cdr:cNvPr>
        <cdr:cNvSpPr/>
      </cdr:nvSpPr>
      <cdr:spPr>
        <a:xfrm xmlns:a="http://schemas.openxmlformats.org/drawingml/2006/main">
          <a:off x="6826823" y="4140201"/>
          <a:ext cx="2110041" cy="40441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0.75181</cdr:x>
      <cdr:y>0.42479</cdr:y>
    </cdr:from>
    <cdr:to>
      <cdr:x>0.98415</cdr:x>
      <cdr:y>0.49637</cdr:y>
    </cdr:to>
    <cdr:sp macro="" textlink="">
      <cdr:nvSpPr>
        <cdr:cNvPr id="4" name="Ovál 3">
          <a:extLst xmlns:a="http://schemas.openxmlformats.org/drawingml/2006/main">
            <a:ext uri="{FF2B5EF4-FFF2-40B4-BE49-F238E27FC236}">
              <a16:creationId xmlns:a16="http://schemas.microsoft.com/office/drawing/2014/main" id="{AD79505C-9360-4DE2-B4DD-25570ECD4C83}"/>
            </a:ext>
          </a:extLst>
        </cdr:cNvPr>
        <cdr:cNvSpPr/>
      </cdr:nvSpPr>
      <cdr:spPr>
        <a:xfrm xmlns:a="http://schemas.openxmlformats.org/drawingml/2006/main">
          <a:off x="6251575" y="2138364"/>
          <a:ext cx="1931940" cy="360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0.56013</cdr:x>
      <cdr:y>0.08326</cdr:y>
    </cdr:from>
    <cdr:to>
      <cdr:x>0.74073</cdr:x>
      <cdr:y>0.79742</cdr:y>
    </cdr:to>
    <cdr:sp macro="" textlink="">
      <cdr:nvSpPr>
        <cdr:cNvPr id="6" name="TextovéPole 4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5087169" y="470418"/>
          <a:ext cx="1640225" cy="403490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</a:t>
          </a:r>
          <a:r>
            <a:rPr lang="cs-CZ" sz="1000" b="1" u="sng"/>
            <a:t>NÁKLADY (v NCSD cca)</a:t>
          </a:r>
          <a:r>
            <a:rPr lang="cs-CZ" sz="1000" b="1"/>
            <a:t>                            </a:t>
          </a:r>
          <a:r>
            <a:rPr lang="cs-CZ" sz="900" b="1"/>
            <a:t>(rozmezí dle počtu injekcí)</a:t>
          </a:r>
        </a:p>
        <a:p xmlns:a="http://schemas.openxmlformats.org/drawingml/2006/main">
          <a:endParaRPr lang="cs-CZ" sz="600" b="1"/>
        </a:p>
        <a:p xmlns:a="http://schemas.openxmlformats.org/drawingml/2006/main">
          <a:endParaRPr lang="cs-CZ" sz="600" b="1"/>
        </a:p>
        <a:p xmlns:a="http://schemas.openxmlformats.org/drawingml/2006/main">
          <a:endParaRPr lang="cs-CZ" sz="6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/>
            <a:t>    </a:t>
          </a:r>
          <a:r>
            <a:rPr lang="cs-CZ" sz="1000" b="1">
              <a:latin typeface="+mn-lt"/>
            </a:rPr>
            <a:t>70.000</a:t>
          </a:r>
          <a:r>
            <a:rPr lang="cs-CZ" sz="1000" b="1" baseline="0">
              <a:latin typeface="+mn-lt"/>
            </a:rPr>
            <a:t> Kč - 175.000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109.000 Kč - 256.000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128.000 Kč - 174.000 Kč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3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107.000 Kč - 197.000</a:t>
          </a:r>
          <a:r>
            <a:rPr lang="cs-CZ" sz="1000" b="1" baseline="0">
              <a:effectLst/>
              <a:latin typeface="+mn-lt"/>
            </a:rPr>
            <a:t>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112.000 Kč - 177.000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  42.000 Kč  -  69.000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67.000 Kč - 103.000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  55.000 Kč  -  64.000 Kč</a:t>
          </a:r>
        </a:p>
        <a:p xmlns:a="http://schemas.openxmlformats.org/drawingml/2006/main">
          <a:endParaRPr lang="cs-CZ" sz="1200">
            <a:effectLst/>
          </a:endParaRPr>
        </a:p>
        <a:p xmlns:a="http://schemas.openxmlformats.org/drawingml/2006/main"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54.000 Kč  - </a:t>
          </a:r>
          <a:r>
            <a:rPr lang="cs-CZ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89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.000 Kč</a:t>
          </a:r>
        </a:p>
        <a:p xmlns:a="http://schemas.openxmlformats.org/drawingml/2006/main">
          <a:endParaRPr lang="cs-CZ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56.000 Kč  -  65.000 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Kč</a:t>
          </a:r>
          <a:endParaRPr lang="cs-CZ" sz="1000">
            <a:effectLst/>
          </a:endParaRPr>
        </a:p>
        <a:p xmlns:a="http://schemas.openxmlformats.org/drawingml/2006/main">
          <a:endParaRPr lang="cs-CZ" sz="1000">
            <a:effectLst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000" b="0"/>
        </a:p>
      </cdr:txBody>
    </cdr:sp>
  </cdr:relSizeAnchor>
  <cdr:relSizeAnchor xmlns:cdr="http://schemas.openxmlformats.org/drawingml/2006/chartDrawing">
    <cdr:from>
      <cdr:x>0.01184</cdr:x>
      <cdr:y>0.56638</cdr:y>
    </cdr:from>
    <cdr:to>
      <cdr:x>0.14929</cdr:x>
      <cdr:y>0.65153</cdr:y>
    </cdr:to>
    <cdr:sp macro="" textlink="">
      <cdr:nvSpPr>
        <cdr:cNvPr id="7" name="TextovéPole 23">
          <a:extLst xmlns:a="http://schemas.openxmlformats.org/drawingml/2006/main">
            <a:ext uri="{FF2B5EF4-FFF2-40B4-BE49-F238E27FC236}">
              <a16:creationId xmlns:a16="http://schemas.microsoft.com/office/drawing/2014/main" id="{699518BD-4269-4B71-8910-9AFC8F25FAC8}"/>
            </a:ext>
          </a:extLst>
        </cdr:cNvPr>
        <cdr:cNvSpPr txBox="1"/>
      </cdr:nvSpPr>
      <cdr:spPr>
        <a:xfrm xmlns:a="http://schemas.openxmlformats.org/drawingml/2006/main">
          <a:off x="98425" y="2851150"/>
          <a:ext cx="114300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600" b="1">
              <a:solidFill>
                <a:srgbClr val="00B050"/>
              </a:solidFill>
            </a:rPr>
            <a:t>ZA 1. ROK</a:t>
          </a:r>
        </a:p>
      </cdr:txBody>
    </cdr:sp>
  </cdr:relSizeAnchor>
  <cdr:relSizeAnchor xmlns:cdr="http://schemas.openxmlformats.org/drawingml/2006/chartDrawing">
    <cdr:from>
      <cdr:x>0.03571</cdr:x>
      <cdr:y>0.08655</cdr:y>
    </cdr:from>
    <cdr:to>
      <cdr:x>0.19867</cdr:x>
      <cdr:y>0.18076</cdr:y>
    </cdr:to>
    <cdr:sp macro="" textlink="">
      <cdr:nvSpPr>
        <cdr:cNvPr id="8" name="TextovéPole 12">
          <a:extLst xmlns:a="http://schemas.openxmlformats.org/drawingml/2006/main">
            <a:ext uri="{FF2B5EF4-FFF2-40B4-BE49-F238E27FC236}">
              <a16:creationId xmlns:a16="http://schemas.microsoft.com/office/drawing/2014/main" id="{40043724-FDB3-4648-8874-338000ACC0FE}"/>
            </a:ext>
          </a:extLst>
        </cdr:cNvPr>
        <cdr:cNvSpPr txBox="1"/>
      </cdr:nvSpPr>
      <cdr:spPr>
        <a:xfrm xmlns:a="http://schemas.openxmlformats.org/drawingml/2006/main">
          <a:off x="321081" y="495865"/>
          <a:ext cx="1465271" cy="53976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19050" cmpd="sng">
          <a:solidFill>
            <a:srgbClr val="FF000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100" b="1">
              <a:solidFill>
                <a:srgbClr val="FF0000"/>
              </a:solidFill>
            </a:rPr>
            <a:t>dolní hranice nákladů u VABYSMA</a:t>
          </a:r>
          <a:endParaRPr lang="cs-CZ" sz="1100" b="1" u="sng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0.20033</cdr:x>
      <cdr:y>0.1766</cdr:y>
    </cdr:from>
    <cdr:to>
      <cdr:x>0.25292</cdr:x>
      <cdr:y>0.18746</cdr:y>
    </cdr:to>
    <cdr:cxnSp macro="">
      <cdr:nvCxnSpPr>
        <cdr:cNvPr id="9" name="Přímá spojnice se šipkou 8">
          <a:extLst xmlns:a="http://schemas.openxmlformats.org/drawingml/2006/main">
            <a:ext uri="{FF2B5EF4-FFF2-40B4-BE49-F238E27FC236}">
              <a16:creationId xmlns:a16="http://schemas.microsoft.com/office/drawing/2014/main" id="{29A929B7-2195-4C67-83CA-8D844DF5313B}"/>
            </a:ext>
          </a:extLst>
        </cdr:cNvPr>
        <cdr:cNvCxnSpPr/>
      </cdr:nvCxnSpPr>
      <cdr:spPr>
        <a:xfrm xmlns:a="http://schemas.openxmlformats.org/drawingml/2006/main">
          <a:off x="1801301" y="1011792"/>
          <a:ext cx="472868" cy="6222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0.12288</cdr:x>
      <cdr:y>0.17872</cdr:y>
    </cdr:from>
    <cdr:to>
      <cdr:x>0.16737</cdr:x>
      <cdr:y>0.48961</cdr:y>
    </cdr:to>
    <cdr:cxnSp macro="">
      <cdr:nvCxnSpPr>
        <cdr:cNvPr id="10" name="Přímá spojnice se šipkou 9">
          <a:extLst xmlns:a="http://schemas.openxmlformats.org/drawingml/2006/main">
            <a:ext uri="{FF2B5EF4-FFF2-40B4-BE49-F238E27FC236}">
              <a16:creationId xmlns:a16="http://schemas.microsoft.com/office/drawing/2014/main" id="{FFDC87FF-5E43-40F8-ADB3-F6C978EC8CB1}"/>
            </a:ext>
          </a:extLst>
        </cdr:cNvPr>
        <cdr:cNvCxnSpPr/>
      </cdr:nvCxnSpPr>
      <cdr:spPr>
        <a:xfrm xmlns:a="http://schemas.openxmlformats.org/drawingml/2006/main">
          <a:off x="1104900" y="1023939"/>
          <a:ext cx="400050" cy="17811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0.72246</cdr:x>
      <cdr:y>0.00897</cdr:y>
    </cdr:from>
    <cdr:to>
      <cdr:x>0.99788</cdr:x>
      <cdr:y>0.17213</cdr:y>
    </cdr:to>
    <cdr:sp macro="" textlink="">
      <cdr:nvSpPr>
        <cdr:cNvPr id="5" name="TextovéPole 13">
          <a:extLst xmlns:a="http://schemas.openxmlformats.org/drawingml/2006/main">
            <a:ext uri="{FF2B5EF4-FFF2-40B4-BE49-F238E27FC236}">
              <a16:creationId xmlns:a16="http://schemas.microsoft.com/office/drawing/2014/main" id="{FA6BDA08-78B5-4144-A12B-0BA0BFDF5D1B}"/>
            </a:ext>
          </a:extLst>
        </cdr:cNvPr>
        <cdr:cNvSpPr txBox="1"/>
      </cdr:nvSpPr>
      <cdr:spPr>
        <a:xfrm xmlns:a="http://schemas.openxmlformats.org/drawingml/2006/main">
          <a:off x="6496050" y="51398"/>
          <a:ext cx="2476500" cy="9348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50" b="1" u="sng"/>
            <a:t>CAVE! XIMLUCI jako jediný LP vygeneruje výrazný</a:t>
          </a:r>
          <a:r>
            <a:rPr lang="cs-CZ" sz="850" b="1" u="sng" baseline="0"/>
            <a:t> "čistý příjem" </a:t>
          </a:r>
          <a:r>
            <a:rPr lang="cs-CZ" sz="850" b="1" baseline="0"/>
            <a:t>nemocnici (tj. úhrada - NCSD) </a:t>
          </a:r>
          <a:r>
            <a:rPr lang="cs-CZ" sz="850" b="1" u="sng" baseline="0"/>
            <a:t>30-50 tisic Kč za 1. rok léčby 1 pac. a 47-127 tisíc Kč za 3 roky léčby 1 pac.</a:t>
          </a:r>
          <a:r>
            <a:rPr lang="cs-CZ" sz="850" b="1" baseline="0"/>
            <a:t> (při stejných cenách a úhradách), </a:t>
          </a:r>
          <a:r>
            <a:rPr lang="cs-CZ" sz="850" b="1" u="sng" baseline="0">
              <a:solidFill>
                <a:srgbClr val="FF0000"/>
              </a:solidFill>
            </a:rPr>
            <a:t>ale z centr. rozpočtu "ukrojí" nejvíce, ale pravděp. méně než u nVPMD (viz list "</a:t>
          </a:r>
          <a:r>
            <a:rPr lang="cs-CZ" sz="850" b="1" i="1" u="sng" baseline="0">
              <a:solidFill>
                <a:srgbClr val="FF0000"/>
              </a:solidFill>
            </a:rPr>
            <a:t>Ceny za léčbu</a:t>
          </a:r>
          <a:r>
            <a:rPr lang="cs-CZ" sz="850" b="1" u="sng" baseline="0">
              <a:solidFill>
                <a:srgbClr val="FF0000"/>
              </a:solidFill>
            </a:rPr>
            <a:t>"</a:t>
          </a:r>
          <a:r>
            <a:rPr lang="cs-CZ" sz="850" b="1" baseline="0"/>
            <a:t>!</a:t>
          </a:r>
          <a:endParaRPr lang="cs-CZ" sz="85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52914</xdr:colOff>
      <xdr:row>27</xdr:row>
      <xdr:rowOff>42334</xdr:rowOff>
    </xdr:from>
    <xdr:to>
      <xdr:col>9</xdr:col>
      <xdr:colOff>0</xdr:colOff>
      <xdr:row>37</xdr:row>
      <xdr:rowOff>42333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4798583A-738B-4801-9D42-93CC7BC8099E}"/>
            </a:ext>
          </a:extLst>
        </xdr:cNvPr>
        <xdr:cNvSpPr txBox="1"/>
      </xdr:nvSpPr>
      <xdr:spPr>
        <a:xfrm>
          <a:off x="249764" y="13358284"/>
          <a:ext cx="11167536" cy="153034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nVPMD aplikovány buď: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pevných (fixních) minimálně /maximálně doporučených (dle SPC daného anti-VEGF přípravku) intervalech (dle aktivity onemocnění) nebo ● adaptivním způsobem, ten může být dvojí: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re nata přístupu (tzv. PRN, někdy nazýván také jako „reaktivní“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přichází na kontroly v pevně stanovených intervalech, ale léčba je podávána pouze v případě, že je detekována aktivita onemocnění (viz  pozn. 5).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dostane anti-VEGF přípravek při každé kontrole, ale interval další kontroly se event. zkrátí či prodlouží podle anatomických a/nebo zrakových parametrů výsledků kontroly (viz výše pozn. 5).</a:t>
          </a:r>
        </a:p>
        <a:p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Dle: https://en.wikipedia.org/w/index.php?title=Macular_degeneration&amp;oldid=1127887761 ze dne 30.12.2022</a:t>
          </a:r>
        </a:p>
        <a:p>
          <a:endParaRPr lang="cs-CZ" sz="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DME aplikovány buď: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v pevných (fixních) minimálně /maximálně doporučených (dle SPC daného anti-VEGF přípravku) intervalech (dle aktivity onemocnění) nebo ● adaptivním způsobem: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režim z DRCR.net studie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(tzv. Protocol T - pro aflibercept a ranibizumab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– viz Příloha č. 15,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pacient dostane anti-VEGF přípravek při každé kontrole, ale interval další kontroly se event. zkrátí či prodlouží podle anatomických a/nebo zrakových parametrů výsledků kontroly</a:t>
          </a:r>
          <a:r>
            <a:rPr lang="cs-CZ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faricimabu také tzv. PTI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113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viz také Příloha č. 16.</a:t>
          </a:r>
          <a:endParaRPr lang="cs-CZ" sz="1000" b="1" u="none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200023</xdr:colOff>
      <xdr:row>0</xdr:row>
      <xdr:rowOff>133349</xdr:rowOff>
    </xdr:from>
    <xdr:to>
      <xdr:col>61</xdr:col>
      <xdr:colOff>306917</xdr:colOff>
      <xdr:row>80</xdr:row>
      <xdr:rowOff>52916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00023" y="133349"/>
          <a:ext cx="37550727" cy="151595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314325</xdr:colOff>
      <xdr:row>10</xdr:row>
      <xdr:rowOff>76200</xdr:rowOff>
    </xdr:from>
    <xdr:to>
      <xdr:col>9</xdr:col>
      <xdr:colOff>504825</xdr:colOff>
      <xdr:row>15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81200"/>
          <a:ext cx="56769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</xdr:row>
      <xdr:rowOff>152400</xdr:rowOff>
    </xdr:from>
    <xdr:to>
      <xdr:col>9</xdr:col>
      <xdr:colOff>523875</xdr:colOff>
      <xdr:row>10</xdr:row>
      <xdr:rowOff>28575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19100" y="1295400"/>
          <a:ext cx="5591175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Rozvoj VPMD  (anglicky</a:t>
          </a:r>
          <a:r>
            <a:rPr lang="cs-CZ" sz="1100" baseline="0"/>
            <a:t>: AMD) </a:t>
          </a:r>
          <a:r>
            <a:rPr lang="cs-CZ" sz="1100"/>
            <a:t>však není vždy lineární progresí a neovaskulární VPMD (anglicky: nAMD) se může objevit i v nepřítomnosti "suché" VPMD  (anglicky: dry AMD) a neovaskulární VPMD (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anglicky: nAMD)</a:t>
          </a:r>
          <a:r>
            <a:rPr lang="cs-CZ" sz="1100"/>
            <a:t> může také progredovat do GA.</a:t>
          </a:r>
        </a:p>
      </xdr:txBody>
    </xdr:sp>
    <xdr:clientData/>
  </xdr:twoCellAnchor>
  <xdr:twoCellAnchor editAs="oneCell">
    <xdr:from>
      <xdr:col>11</xdr:col>
      <xdr:colOff>228600</xdr:colOff>
      <xdr:row>2</xdr:row>
      <xdr:rowOff>9527</xdr:rowOff>
    </xdr:from>
    <xdr:to>
      <xdr:col>21</xdr:col>
      <xdr:colOff>123825</xdr:colOff>
      <xdr:row>11</xdr:row>
      <xdr:rowOff>89535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90527"/>
          <a:ext cx="5991225" cy="179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123825</xdr:colOff>
      <xdr:row>3</xdr:row>
      <xdr:rowOff>9526</xdr:rowOff>
    </xdr:from>
    <xdr:to>
      <xdr:col>16</xdr:col>
      <xdr:colOff>276225</xdr:colOff>
      <xdr:row>4</xdr:row>
      <xdr:rowOff>57150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048625" y="581026"/>
          <a:ext cx="1981200" cy="2381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:</a:t>
          </a:r>
        </a:p>
      </xdr:txBody>
    </xdr:sp>
    <xdr:clientData/>
  </xdr:twoCellAnchor>
  <xdr:twoCellAnchor>
    <xdr:from>
      <xdr:col>17</xdr:col>
      <xdr:colOff>228600</xdr:colOff>
      <xdr:row>11</xdr:row>
      <xdr:rowOff>123825</xdr:rowOff>
    </xdr:from>
    <xdr:to>
      <xdr:col>18</xdr:col>
      <xdr:colOff>247650</xdr:colOff>
      <xdr:row>12</xdr:row>
      <xdr:rowOff>123825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0591800" y="2219325"/>
          <a:ext cx="6286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11</xdr:col>
      <xdr:colOff>409575</xdr:colOff>
      <xdr:row>11</xdr:row>
      <xdr:rowOff>76200</xdr:rowOff>
    </xdr:from>
    <xdr:to>
      <xdr:col>21</xdr:col>
      <xdr:colOff>390525</xdr:colOff>
      <xdr:row>38</xdr:row>
      <xdr:rowOff>33655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1742" y="2171700"/>
          <a:ext cx="6119283" cy="510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323850</xdr:colOff>
      <xdr:row>11</xdr:row>
      <xdr:rowOff>95249</xdr:rowOff>
    </xdr:from>
    <xdr:to>
      <xdr:col>19</xdr:col>
      <xdr:colOff>104775</xdr:colOff>
      <xdr:row>12</xdr:row>
      <xdr:rowOff>180974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0687050" y="2190749"/>
          <a:ext cx="10001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:</a:t>
          </a:r>
        </a:p>
      </xdr:txBody>
    </xdr:sp>
    <xdr:clientData/>
  </xdr:twoCellAnchor>
  <xdr:twoCellAnchor>
    <xdr:from>
      <xdr:col>11</xdr:col>
      <xdr:colOff>465666</xdr:colOff>
      <xdr:row>2</xdr:row>
      <xdr:rowOff>179917</xdr:rowOff>
    </xdr:from>
    <xdr:to>
      <xdr:col>21</xdr:col>
      <xdr:colOff>211667</xdr:colOff>
      <xdr:row>3</xdr:row>
      <xdr:rowOff>1</xdr:rowOff>
    </xdr:to>
    <xdr:cxnSp macro="">
      <xdr:nvCxnSpPr>
        <xdr:cNvPr id="11" name="Přímá spojnic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flipV="1">
          <a:off x="7217833" y="560917"/>
          <a:ext cx="5884334" cy="1058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582084</xdr:colOff>
      <xdr:row>12</xdr:row>
      <xdr:rowOff>148167</xdr:rowOff>
    </xdr:from>
    <xdr:to>
      <xdr:col>17</xdr:col>
      <xdr:colOff>455083</xdr:colOff>
      <xdr:row>12</xdr:row>
      <xdr:rowOff>148167</xdr:rowOff>
    </xdr:to>
    <xdr:cxnSp macro="">
      <xdr:nvCxnSpPr>
        <xdr:cNvPr id="14" name="Přímá spojnic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7334251" y="2434167"/>
          <a:ext cx="355599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465666</xdr:colOff>
      <xdr:row>4</xdr:row>
      <xdr:rowOff>42333</xdr:rowOff>
    </xdr:from>
    <xdr:to>
      <xdr:col>13</xdr:col>
      <xdr:colOff>296334</xdr:colOff>
      <xdr:row>4</xdr:row>
      <xdr:rowOff>52917</xdr:rowOff>
    </xdr:to>
    <xdr:cxnSp macro="">
      <xdr:nvCxnSpPr>
        <xdr:cNvPr id="15" name="Přímá spojnic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 flipV="1">
          <a:off x="7217833" y="804333"/>
          <a:ext cx="1058334" cy="1058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285749</xdr:colOff>
      <xdr:row>29</xdr:row>
      <xdr:rowOff>158750</xdr:rowOff>
    </xdr:from>
    <xdr:to>
      <xdr:col>20</xdr:col>
      <xdr:colOff>275166</xdr:colOff>
      <xdr:row>31</xdr:row>
      <xdr:rowOff>95250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37916" y="5683250"/>
          <a:ext cx="5513917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404812</xdr:colOff>
      <xdr:row>40</xdr:row>
      <xdr:rowOff>47624</xdr:rowOff>
    </xdr:from>
    <xdr:to>
      <xdr:col>9</xdr:col>
      <xdr:colOff>519112</xdr:colOff>
      <xdr:row>70</xdr:row>
      <xdr:rowOff>57149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7667624"/>
          <a:ext cx="5638800" cy="572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587376</xdr:colOff>
      <xdr:row>41</xdr:row>
      <xdr:rowOff>136262</xdr:rowOff>
    </xdr:from>
    <xdr:to>
      <xdr:col>7</xdr:col>
      <xdr:colOff>200025</xdr:colOff>
      <xdr:row>43</xdr:row>
      <xdr:rowOff>104775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025776" y="7946762"/>
          <a:ext cx="1441449" cy="3495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sng"/>
            <a:t>in BCVA at 1 year             </a:t>
          </a:r>
          <a:r>
            <a:rPr lang="cs-CZ" sz="800" b="1" u="none"/>
            <a:t>(ETDRS letters, viz pozn. 11)</a:t>
          </a:r>
        </a:p>
      </xdr:txBody>
    </xdr:sp>
    <xdr:clientData/>
  </xdr:twoCellAnchor>
  <xdr:twoCellAnchor>
    <xdr:from>
      <xdr:col>8</xdr:col>
      <xdr:colOff>296335</xdr:colOff>
      <xdr:row>41</xdr:row>
      <xdr:rowOff>158748</xdr:rowOff>
    </xdr:from>
    <xdr:to>
      <xdr:col>10</xdr:col>
      <xdr:colOff>42335</xdr:colOff>
      <xdr:row>49</xdr:row>
      <xdr:rowOff>9525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173135" y="7969248"/>
          <a:ext cx="965200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 editAs="oneCell">
    <xdr:from>
      <xdr:col>10</xdr:col>
      <xdr:colOff>285751</xdr:colOff>
      <xdr:row>40</xdr:row>
      <xdr:rowOff>105833</xdr:rowOff>
    </xdr:from>
    <xdr:to>
      <xdr:col>19</xdr:col>
      <xdr:colOff>214843</xdr:colOff>
      <xdr:row>69</xdr:row>
      <xdr:rowOff>86783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4" y="7725833"/>
          <a:ext cx="5453592" cy="550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60</xdr:row>
      <xdr:rowOff>38100</xdr:rowOff>
    </xdr:from>
    <xdr:to>
      <xdr:col>10</xdr:col>
      <xdr:colOff>50800</xdr:colOff>
      <xdr:row>66</xdr:row>
      <xdr:rowOff>47625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5181600" y="11468100"/>
          <a:ext cx="965200" cy="1152525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(4x monthly,</a:t>
          </a:r>
          <a:r>
            <a:rPr lang="cs-CZ" sz="800" b="0" u="none" baseline="0"/>
            <a:t> then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inj. every 8 or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16 weeks on the basis of disease activity and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assessment at weeks 20 and 24</a:t>
          </a:r>
          <a:endParaRPr lang="cs-CZ" sz="800" b="1" u="sng"/>
        </a:p>
      </xdr:txBody>
    </xdr:sp>
    <xdr:clientData/>
  </xdr:twoCellAnchor>
  <xdr:twoCellAnchor>
    <xdr:from>
      <xdr:col>0</xdr:col>
      <xdr:colOff>352426</xdr:colOff>
      <xdr:row>62</xdr:row>
      <xdr:rowOff>85725</xdr:rowOff>
    </xdr:from>
    <xdr:to>
      <xdr:col>3</xdr:col>
      <xdr:colOff>47626</xdr:colOff>
      <xdr:row>64</xdr:row>
      <xdr:rowOff>22225</xdr:rowOff>
    </xdr:to>
    <xdr:sp macro="" textlink="">
      <xdr:nvSpPr>
        <xdr:cNvPr id="21" name="Ovál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52426" y="11896725"/>
          <a:ext cx="1524000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200025</xdr:colOff>
      <xdr:row>61</xdr:row>
      <xdr:rowOff>19050</xdr:rowOff>
    </xdr:from>
    <xdr:to>
      <xdr:col>12</xdr:col>
      <xdr:colOff>504825</xdr:colOff>
      <xdr:row>62</xdr:row>
      <xdr:rowOff>146050</xdr:rowOff>
    </xdr:to>
    <xdr:sp macro="" textlink="">
      <xdr:nvSpPr>
        <xdr:cNvPr id="22" name="Ovál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6296025" y="11639550"/>
          <a:ext cx="1524000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495300</xdr:colOff>
      <xdr:row>42</xdr:row>
      <xdr:rowOff>66675</xdr:rowOff>
    </xdr:from>
    <xdr:to>
      <xdr:col>17</xdr:col>
      <xdr:colOff>200025</xdr:colOff>
      <xdr:row>44</xdr:row>
      <xdr:rowOff>57150</xdr:rowOff>
    </xdr:to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9029700" y="8067675"/>
          <a:ext cx="153352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in retinal thickness at 1 year </a:t>
          </a:r>
        </a:p>
        <a:p>
          <a:pPr algn="l"/>
          <a:r>
            <a:rPr lang="cs-CZ" sz="900" b="1" u="none"/>
            <a:t>     </a:t>
          </a:r>
          <a:r>
            <a:rPr lang="cs-CZ" sz="800" b="1" u="none"/>
            <a:t>(micrometrs,</a:t>
          </a:r>
          <a:r>
            <a:rPr lang="cs-CZ" sz="800" b="1" u="none" baseline="0"/>
            <a:t> viz pozn. 18)</a:t>
          </a:r>
          <a:endParaRPr lang="cs-CZ" sz="800" b="1" u="none"/>
        </a:p>
      </xdr:txBody>
    </xdr:sp>
    <xdr:clientData/>
  </xdr:twoCellAnchor>
  <xdr:twoCellAnchor>
    <xdr:from>
      <xdr:col>2</xdr:col>
      <xdr:colOff>428625</xdr:colOff>
      <xdr:row>61</xdr:row>
      <xdr:rowOff>161925</xdr:rowOff>
    </xdr:from>
    <xdr:to>
      <xdr:col>8</xdr:col>
      <xdr:colOff>381000</xdr:colOff>
      <xdr:row>63</xdr:row>
      <xdr:rowOff>38100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 flipV="1">
          <a:off x="1647825" y="11782425"/>
          <a:ext cx="3609975" cy="2571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41</xdr:row>
      <xdr:rowOff>142875</xdr:rowOff>
    </xdr:from>
    <xdr:to>
      <xdr:col>16</xdr:col>
      <xdr:colOff>219076</xdr:colOff>
      <xdr:row>43</xdr:row>
      <xdr:rowOff>142875</xdr:rowOff>
    </xdr:to>
    <xdr:cxnSp macro="">
      <xdr:nvCxnSpPr>
        <xdr:cNvPr id="24" name="Přímá spojnice se šipkou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 flipH="1">
          <a:off x="6010275" y="7953375"/>
          <a:ext cx="3962401" cy="381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442912</xdr:colOff>
      <xdr:row>41</xdr:row>
      <xdr:rowOff>76200</xdr:rowOff>
    </xdr:from>
    <xdr:to>
      <xdr:col>8</xdr:col>
      <xdr:colOff>361950</xdr:colOff>
      <xdr:row>43</xdr:row>
      <xdr:rowOff>19050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>
          <a:off x="4100512" y="7886700"/>
          <a:ext cx="1138238" cy="3238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62</xdr:row>
      <xdr:rowOff>66676</xdr:rowOff>
    </xdr:from>
    <xdr:to>
      <xdr:col>10</xdr:col>
      <xdr:colOff>495300</xdr:colOff>
      <xdr:row>63</xdr:row>
      <xdr:rowOff>9525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/>
      </xdr:nvCxnSpPr>
      <xdr:spPr>
        <a:xfrm flipH="1">
          <a:off x="6010275" y="11877676"/>
          <a:ext cx="581025" cy="13334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428625</xdr:colOff>
      <xdr:row>11</xdr:row>
      <xdr:rowOff>85725</xdr:rowOff>
    </xdr:from>
    <xdr:to>
      <xdr:col>33</xdr:col>
      <xdr:colOff>342900</xdr:colOff>
      <xdr:row>35</xdr:row>
      <xdr:rowOff>38100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9025" y="2181225"/>
          <a:ext cx="540067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523876</xdr:colOff>
      <xdr:row>4</xdr:row>
      <xdr:rowOff>95251</xdr:rowOff>
    </xdr:from>
    <xdr:to>
      <xdr:col>27</xdr:col>
      <xdr:colOff>542926</xdr:colOff>
      <xdr:row>11</xdr:row>
      <xdr:rowOff>104495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5763876" y="857251"/>
          <a:ext cx="1238250" cy="1342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523875</xdr:colOff>
      <xdr:row>10</xdr:row>
      <xdr:rowOff>47626</xdr:rowOff>
    </xdr:from>
    <xdr:to>
      <xdr:col>26</xdr:col>
      <xdr:colOff>259963</xdr:colOff>
      <xdr:row>11</xdr:row>
      <xdr:rowOff>85726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3875" y="1952626"/>
          <a:ext cx="34568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171450</xdr:colOff>
      <xdr:row>10</xdr:row>
      <xdr:rowOff>47625</xdr:rowOff>
    </xdr:from>
    <xdr:to>
      <xdr:col>27</xdr:col>
      <xdr:colOff>517138</xdr:colOff>
      <xdr:row>11</xdr:row>
      <xdr:rowOff>85725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650" y="1952625"/>
          <a:ext cx="34568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571500</xdr:colOff>
      <xdr:row>8</xdr:row>
      <xdr:rowOff>9525</xdr:rowOff>
    </xdr:from>
    <xdr:to>
      <xdr:col>26</xdr:col>
      <xdr:colOff>304800</xdr:colOff>
      <xdr:row>9</xdr:row>
      <xdr:rowOff>37772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0" y="1533525"/>
          <a:ext cx="342900" cy="21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8</xdr:row>
      <xdr:rowOff>19050</xdr:rowOff>
    </xdr:from>
    <xdr:to>
      <xdr:col>27</xdr:col>
      <xdr:colOff>457200</xdr:colOff>
      <xdr:row>9</xdr:row>
      <xdr:rowOff>47297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0" y="1543050"/>
          <a:ext cx="342900" cy="21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342900</xdr:colOff>
      <xdr:row>4</xdr:row>
      <xdr:rowOff>66675</xdr:rowOff>
    </xdr:from>
    <xdr:to>
      <xdr:col>27</xdr:col>
      <xdr:colOff>85725</xdr:colOff>
      <xdr:row>5</xdr:row>
      <xdr:rowOff>11146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828675"/>
          <a:ext cx="352425" cy="13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303068</xdr:colOff>
      <xdr:row>4</xdr:row>
      <xdr:rowOff>43294</xdr:rowOff>
    </xdr:from>
    <xdr:to>
      <xdr:col>31</xdr:col>
      <xdr:colOff>216478</xdr:colOff>
      <xdr:row>11</xdr:row>
      <xdr:rowOff>139086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7881023" y="805294"/>
          <a:ext cx="1125682" cy="142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543624</xdr:colOff>
      <xdr:row>4</xdr:row>
      <xdr:rowOff>44044</xdr:rowOff>
    </xdr:from>
    <xdr:to>
      <xdr:col>31</xdr:col>
      <xdr:colOff>4329</xdr:colOff>
      <xdr:row>5</xdr:row>
      <xdr:rowOff>22514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1579" y="806044"/>
          <a:ext cx="672977" cy="16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44631</xdr:colOff>
      <xdr:row>6</xdr:row>
      <xdr:rowOff>28575</xdr:rowOff>
    </xdr:from>
    <xdr:to>
      <xdr:col>30</xdr:col>
      <xdr:colOff>114299</xdr:colOff>
      <xdr:row>7</xdr:row>
      <xdr:rowOff>66675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3031" y="1171575"/>
          <a:ext cx="67926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238125</xdr:colOff>
      <xdr:row>11</xdr:row>
      <xdr:rowOff>38100</xdr:rowOff>
    </xdr:from>
    <xdr:to>
      <xdr:col>30</xdr:col>
      <xdr:colOff>34826</xdr:colOff>
      <xdr:row>12</xdr:row>
      <xdr:rowOff>47625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6525" y="2133600"/>
          <a:ext cx="406301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507117</xdr:colOff>
      <xdr:row>11</xdr:row>
      <xdr:rowOff>16092</xdr:rowOff>
    </xdr:from>
    <xdr:to>
      <xdr:col>31</xdr:col>
      <xdr:colOff>373206</xdr:colOff>
      <xdr:row>12</xdr:row>
      <xdr:rowOff>50223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1208" y="2111592"/>
          <a:ext cx="472225" cy="224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495300</xdr:colOff>
      <xdr:row>3</xdr:row>
      <xdr:rowOff>66675</xdr:rowOff>
    </xdr:from>
    <xdr:to>
      <xdr:col>27</xdr:col>
      <xdr:colOff>447675</xdr:colOff>
      <xdr:row>4</xdr:row>
      <xdr:rowOff>47625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5300" y="638175"/>
          <a:ext cx="1171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185305</xdr:colOff>
      <xdr:row>3</xdr:row>
      <xdr:rowOff>25976</xdr:rowOff>
    </xdr:from>
    <xdr:to>
      <xdr:col>31</xdr:col>
      <xdr:colOff>337705</xdr:colOff>
      <xdr:row>4</xdr:row>
      <xdr:rowOff>73601</xdr:rowOff>
    </xdr:to>
    <xdr:sp macro="" textlink="">
      <xdr:nvSpPr>
        <xdr:cNvPr id="42" name="TextovéPol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17763260" y="597476"/>
          <a:ext cx="1364672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Faricimab ~ 150 KDa            </a:t>
          </a:r>
        </a:p>
      </xdr:txBody>
    </xdr:sp>
    <xdr:clientData/>
  </xdr:twoCellAnchor>
  <xdr:twoCellAnchor>
    <xdr:from>
      <xdr:col>32</xdr:col>
      <xdr:colOff>171450</xdr:colOff>
      <xdr:row>8</xdr:row>
      <xdr:rowOff>133350</xdr:rowOff>
    </xdr:from>
    <xdr:to>
      <xdr:col>32</xdr:col>
      <xdr:colOff>419100</xdr:colOff>
      <xdr:row>11</xdr:row>
      <xdr:rowOff>152400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9678650" y="1657350"/>
          <a:ext cx="247650" cy="590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1100" b="0" u="none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oneCell">
    <xdr:from>
      <xdr:col>32</xdr:col>
      <xdr:colOff>216353</xdr:colOff>
      <xdr:row>9</xdr:row>
      <xdr:rowOff>16995</xdr:rowOff>
    </xdr:from>
    <xdr:to>
      <xdr:col>33</xdr:col>
      <xdr:colOff>39584</xdr:colOff>
      <xdr:row>11</xdr:row>
      <xdr:rowOff>125186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3553" y="1731495"/>
          <a:ext cx="432831" cy="48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236268</xdr:colOff>
      <xdr:row>11</xdr:row>
      <xdr:rowOff>186170</xdr:rowOff>
    </xdr:from>
    <xdr:to>
      <xdr:col>32</xdr:col>
      <xdr:colOff>541068</xdr:colOff>
      <xdr:row>13</xdr:row>
      <xdr:rowOff>119495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0554" y="228167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112568</xdr:colOff>
      <xdr:row>18</xdr:row>
      <xdr:rowOff>8658</xdr:rowOff>
    </xdr:from>
    <xdr:to>
      <xdr:col>38</xdr:col>
      <xdr:colOff>355023</xdr:colOff>
      <xdr:row>18</xdr:row>
      <xdr:rowOff>147205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3145750" y="3437658"/>
          <a:ext cx="242455" cy="1385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32</xdr:col>
      <xdr:colOff>324570</xdr:colOff>
      <xdr:row>11</xdr:row>
      <xdr:rowOff>6882</xdr:rowOff>
    </xdr:from>
    <xdr:to>
      <xdr:col>32</xdr:col>
      <xdr:colOff>431026</xdr:colOff>
      <xdr:row>11</xdr:row>
      <xdr:rowOff>148077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19918856" y="2102382"/>
          <a:ext cx="106456" cy="141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32</xdr:col>
      <xdr:colOff>421822</xdr:colOff>
      <xdr:row>11</xdr:row>
      <xdr:rowOff>68654</xdr:rowOff>
    </xdr:from>
    <xdr:to>
      <xdr:col>33</xdr:col>
      <xdr:colOff>84118</xdr:colOff>
      <xdr:row>11</xdr:row>
      <xdr:rowOff>173229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0016108" y="2164154"/>
          <a:ext cx="274617" cy="104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 editAs="oneCell">
    <xdr:from>
      <xdr:col>31</xdr:col>
      <xdr:colOff>535366</xdr:colOff>
      <xdr:row>7</xdr:row>
      <xdr:rowOff>69273</xdr:rowOff>
    </xdr:from>
    <xdr:to>
      <xdr:col>33</xdr:col>
      <xdr:colOff>433818</xdr:colOff>
      <xdr:row>8</xdr:row>
      <xdr:rowOff>164523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5593" y="1402773"/>
          <a:ext cx="11107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597476</xdr:colOff>
      <xdr:row>1</xdr:row>
      <xdr:rowOff>155863</xdr:rowOff>
    </xdr:from>
    <xdr:to>
      <xdr:col>31</xdr:col>
      <xdr:colOff>528205</xdr:colOff>
      <xdr:row>13</xdr:row>
      <xdr:rowOff>173182</xdr:rowOff>
    </xdr:to>
    <xdr:sp macro="" textlink="">
      <xdr:nvSpPr>
        <xdr:cNvPr id="52" name="Ovál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7569294" y="346363"/>
          <a:ext cx="1749138" cy="2303319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514350</xdr:colOff>
      <xdr:row>12</xdr:row>
      <xdr:rowOff>152833</xdr:rowOff>
    </xdr:from>
    <xdr:to>
      <xdr:col>32</xdr:col>
      <xdr:colOff>236268</xdr:colOff>
      <xdr:row>16</xdr:row>
      <xdr:rowOff>28575</xdr:rowOff>
    </xdr:to>
    <xdr:cxnSp macro="">
      <xdr:nvCxnSpPr>
        <xdr:cNvPr id="25" name="Přímá spojnic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>
          <a:stCxn id="46" idx="1"/>
        </xdr:cNvCxnSpPr>
      </xdr:nvCxnSpPr>
      <xdr:spPr>
        <a:xfrm flipH="1">
          <a:off x="16973550" y="2438833"/>
          <a:ext cx="2769918" cy="637742"/>
        </a:xfrm>
        <a:prstGeom prst="line">
          <a:avLst/>
        </a:prstGeom>
        <a:ln w="19050">
          <a:solidFill>
            <a:schemeClr val="accent2">
              <a:lumMod val="5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474517</xdr:colOff>
      <xdr:row>14</xdr:row>
      <xdr:rowOff>161925</xdr:rowOff>
    </xdr:from>
    <xdr:to>
      <xdr:col>29</xdr:col>
      <xdr:colOff>96980</xdr:colOff>
      <xdr:row>15</xdr:row>
      <xdr:rowOff>152400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98347">
          <a:off x="17543317" y="2828925"/>
          <a:ext cx="2320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268432</xdr:colOff>
      <xdr:row>10</xdr:row>
      <xdr:rowOff>112568</xdr:rowOff>
    </xdr:from>
    <xdr:to>
      <xdr:col>24</xdr:col>
      <xdr:colOff>513785</xdr:colOff>
      <xdr:row>11</xdr:row>
      <xdr:rowOff>152400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5705" y="2017568"/>
          <a:ext cx="245353" cy="23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329046</xdr:colOff>
      <xdr:row>8</xdr:row>
      <xdr:rowOff>111491</xdr:rowOff>
    </xdr:from>
    <xdr:to>
      <xdr:col>25</xdr:col>
      <xdr:colOff>458933</xdr:colOff>
      <xdr:row>10</xdr:row>
      <xdr:rowOff>58016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0182" y="1635491"/>
          <a:ext cx="1342160" cy="32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294410</xdr:colOff>
      <xdr:row>11</xdr:row>
      <xdr:rowOff>129888</xdr:rowOff>
    </xdr:from>
    <xdr:to>
      <xdr:col>24</xdr:col>
      <xdr:colOff>597478</xdr:colOff>
      <xdr:row>13</xdr:row>
      <xdr:rowOff>25979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1683" y="2225388"/>
          <a:ext cx="303068" cy="27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545522</xdr:colOff>
      <xdr:row>13</xdr:row>
      <xdr:rowOff>51955</xdr:rowOff>
    </xdr:from>
    <xdr:to>
      <xdr:col>27</xdr:col>
      <xdr:colOff>34636</xdr:colOff>
      <xdr:row>15</xdr:row>
      <xdr:rowOff>181841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CxnSpPr/>
      </xdr:nvCxnSpPr>
      <xdr:spPr>
        <a:xfrm>
          <a:off x="15092795" y="2528455"/>
          <a:ext cx="1307523" cy="510886"/>
        </a:xfrm>
        <a:prstGeom prst="straightConnector1">
          <a:avLst/>
        </a:prstGeom>
        <a:ln w="190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467591</xdr:colOff>
      <xdr:row>13</xdr:row>
      <xdr:rowOff>51955</xdr:rowOff>
    </xdr:from>
    <xdr:to>
      <xdr:col>25</xdr:col>
      <xdr:colOff>199159</xdr:colOff>
      <xdr:row>17</xdr:row>
      <xdr:rowOff>121227</xdr:rowOff>
    </xdr:to>
    <xdr:cxnSp macro="">
      <xdr:nvCxnSpPr>
        <xdr:cNvPr id="61" name="Přímá spojnice se šipkou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CxnSpPr/>
      </xdr:nvCxnSpPr>
      <xdr:spPr>
        <a:xfrm>
          <a:off x="15014864" y="2528455"/>
          <a:ext cx="337704" cy="831272"/>
        </a:xfrm>
        <a:prstGeom prst="straightConnector1">
          <a:avLst/>
        </a:prstGeom>
        <a:ln w="190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17318</xdr:colOff>
      <xdr:row>14</xdr:row>
      <xdr:rowOff>69273</xdr:rowOff>
    </xdr:from>
    <xdr:to>
      <xdr:col>26</xdr:col>
      <xdr:colOff>160193</xdr:colOff>
      <xdr:row>15</xdr:row>
      <xdr:rowOff>69273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6863" y="2736273"/>
          <a:ext cx="1428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571500</xdr:colOff>
      <xdr:row>15</xdr:row>
      <xdr:rowOff>43296</xdr:rowOff>
    </xdr:from>
    <xdr:to>
      <xdr:col>25</xdr:col>
      <xdr:colOff>125784</xdr:colOff>
      <xdr:row>16</xdr:row>
      <xdr:rowOff>43295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92806">
          <a:off x="15118773" y="2900796"/>
          <a:ext cx="160420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114300</xdr:colOff>
      <xdr:row>12</xdr:row>
      <xdr:rowOff>152833</xdr:rowOff>
    </xdr:from>
    <xdr:to>
      <xdr:col>32</xdr:col>
      <xdr:colOff>236268</xdr:colOff>
      <xdr:row>18</xdr:row>
      <xdr:rowOff>161925</xdr:rowOff>
    </xdr:to>
    <xdr:cxnSp macro="">
      <xdr:nvCxnSpPr>
        <xdr:cNvPr id="62" name="Přímá spojnice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>
          <a:stCxn id="46" idx="1"/>
        </xdr:cNvCxnSpPr>
      </xdr:nvCxnSpPr>
      <xdr:spPr>
        <a:xfrm flipH="1">
          <a:off x="15963900" y="2438833"/>
          <a:ext cx="3779568" cy="1152092"/>
        </a:xfrm>
        <a:prstGeom prst="line">
          <a:avLst/>
        </a:prstGeom>
        <a:ln w="19050">
          <a:solidFill>
            <a:schemeClr val="accent2">
              <a:lumMod val="5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371475</xdr:colOff>
      <xdr:row>17</xdr:row>
      <xdr:rowOff>142875</xdr:rowOff>
    </xdr:from>
    <xdr:to>
      <xdr:col>26</xdr:col>
      <xdr:colOff>603538</xdr:colOff>
      <xdr:row>18</xdr:row>
      <xdr:rowOff>133350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69203">
          <a:off x="16221075" y="3381375"/>
          <a:ext cx="2320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84666</xdr:colOff>
      <xdr:row>5</xdr:row>
      <xdr:rowOff>1</xdr:rowOff>
    </xdr:from>
    <xdr:to>
      <xdr:col>28</xdr:col>
      <xdr:colOff>211666</xdr:colOff>
      <xdr:row>6</xdr:row>
      <xdr:rowOff>52917</xdr:rowOff>
    </xdr:to>
    <xdr:sp macro="" textlink="">
      <xdr:nvSpPr>
        <xdr:cNvPr id="63" name="TextovéPole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658166" y="952501"/>
          <a:ext cx="740833" cy="2434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44             </a:t>
          </a:r>
        </a:p>
      </xdr:txBody>
    </xdr:sp>
    <xdr:clientData/>
  </xdr:twoCellAnchor>
  <xdr:twoCellAnchor>
    <xdr:from>
      <xdr:col>22</xdr:col>
      <xdr:colOff>433918</xdr:colOff>
      <xdr:row>10</xdr:row>
      <xdr:rowOff>116416</xdr:rowOff>
    </xdr:from>
    <xdr:to>
      <xdr:col>23</xdr:col>
      <xdr:colOff>603249</xdr:colOff>
      <xdr:row>11</xdr:row>
      <xdr:rowOff>148166</xdr:rowOff>
    </xdr:to>
    <xdr:sp macro="" textlink="">
      <xdr:nvSpPr>
        <xdr:cNvPr id="64" name="TextovéPole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3938251" y="2021416"/>
          <a:ext cx="783165" cy="222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46            </a:t>
          </a:r>
        </a:p>
      </xdr:txBody>
    </xdr:sp>
    <xdr:clientData/>
  </xdr:twoCellAnchor>
  <xdr:twoCellAnchor>
    <xdr:from>
      <xdr:col>33</xdr:col>
      <xdr:colOff>95249</xdr:colOff>
      <xdr:row>9</xdr:row>
      <xdr:rowOff>137583</xdr:rowOff>
    </xdr:from>
    <xdr:to>
      <xdr:col>34</xdr:col>
      <xdr:colOff>232833</xdr:colOff>
      <xdr:row>11</xdr:row>
      <xdr:rowOff>21166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0351749" y="1852083"/>
          <a:ext cx="751417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47             </a:t>
          </a:r>
        </a:p>
      </xdr:txBody>
    </xdr:sp>
    <xdr:clientData/>
  </xdr:twoCellAnchor>
  <xdr:twoCellAnchor>
    <xdr:from>
      <xdr:col>30</xdr:col>
      <xdr:colOff>391583</xdr:colOff>
      <xdr:row>5</xdr:row>
      <xdr:rowOff>127001</xdr:rowOff>
    </xdr:from>
    <xdr:to>
      <xdr:col>31</xdr:col>
      <xdr:colOff>465667</xdr:colOff>
      <xdr:row>7</xdr:row>
      <xdr:rowOff>10584</xdr:rowOff>
    </xdr:to>
    <xdr:sp macro="" textlink="">
      <xdr:nvSpPr>
        <xdr:cNvPr id="69" name="TextovéPole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8806583" y="1079501"/>
          <a:ext cx="687917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40             </a:t>
          </a:r>
        </a:p>
      </xdr:txBody>
    </xdr:sp>
    <xdr:clientData/>
  </xdr:twoCellAnchor>
  <xdr:twoCellAnchor editAs="oneCell">
    <xdr:from>
      <xdr:col>20</xdr:col>
      <xdr:colOff>317499</xdr:colOff>
      <xdr:row>39</xdr:row>
      <xdr:rowOff>31751</xdr:rowOff>
    </xdr:from>
    <xdr:to>
      <xdr:col>32</xdr:col>
      <xdr:colOff>450849</xdr:colOff>
      <xdr:row>45</xdr:row>
      <xdr:rowOff>174626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166" y="7461251"/>
          <a:ext cx="749935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402165</xdr:colOff>
      <xdr:row>39</xdr:row>
      <xdr:rowOff>63500</xdr:rowOff>
    </xdr:from>
    <xdr:to>
      <xdr:col>35</xdr:col>
      <xdr:colOff>93132</xdr:colOff>
      <xdr:row>45</xdr:row>
      <xdr:rowOff>177800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4832" y="7493000"/>
          <a:ext cx="153246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317500</xdr:colOff>
      <xdr:row>39</xdr:row>
      <xdr:rowOff>74085</xdr:rowOff>
    </xdr:from>
    <xdr:to>
      <xdr:col>34</xdr:col>
      <xdr:colOff>317501</xdr:colOff>
      <xdr:row>41</xdr:row>
      <xdr:rowOff>16935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0167" y="7503585"/>
          <a:ext cx="122766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328084</xdr:colOff>
      <xdr:row>39</xdr:row>
      <xdr:rowOff>116416</xdr:rowOff>
    </xdr:from>
    <xdr:to>
      <xdr:col>33</xdr:col>
      <xdr:colOff>560918</xdr:colOff>
      <xdr:row>40</xdr:row>
      <xdr:rowOff>190498</xdr:rowOff>
    </xdr:to>
    <xdr:sp macro="" textlink="">
      <xdr:nvSpPr>
        <xdr:cNvPr id="74" name="TextovéPole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9970751" y="7545916"/>
          <a:ext cx="846667" cy="264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Faricimab            </a:t>
          </a:r>
        </a:p>
      </xdr:txBody>
    </xdr:sp>
    <xdr:clientData/>
  </xdr:twoCellAnchor>
  <xdr:twoCellAnchor>
    <xdr:from>
      <xdr:col>20</xdr:col>
      <xdr:colOff>285750</xdr:colOff>
      <xdr:row>42</xdr:row>
      <xdr:rowOff>84666</xdr:rowOff>
    </xdr:from>
    <xdr:to>
      <xdr:col>23</xdr:col>
      <xdr:colOff>254000</xdr:colOff>
      <xdr:row>43</xdr:row>
      <xdr:rowOff>42333</xdr:rowOff>
    </xdr:to>
    <xdr:sp macro="" textlink="">
      <xdr:nvSpPr>
        <xdr:cNvPr id="79" name="TextovéPol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2562417" y="8085666"/>
          <a:ext cx="1809750" cy="14816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Nitroční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biolog. poločas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25</xdr:col>
      <xdr:colOff>285750</xdr:colOff>
      <xdr:row>42</xdr:row>
      <xdr:rowOff>84666</xdr:rowOff>
    </xdr:from>
    <xdr:to>
      <xdr:col>35</xdr:col>
      <xdr:colOff>0</xdr:colOff>
      <xdr:row>43</xdr:row>
      <xdr:rowOff>21167</xdr:rowOff>
    </xdr:to>
    <xdr:sp macro="" textlink="">
      <xdr:nvSpPr>
        <xdr:cNvPr id="80" name="TextovéPole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5631583" y="8085666"/>
          <a:ext cx="5852584" cy="12700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cca 3 - 4,4 dne                     cca 7,1 dní                          cca 4,8 dne                        cca 7,5 dní            </a:t>
          </a:r>
        </a:p>
      </xdr:txBody>
    </xdr:sp>
    <xdr:clientData/>
  </xdr:twoCellAnchor>
  <xdr:twoCellAnchor>
    <xdr:from>
      <xdr:col>20</xdr:col>
      <xdr:colOff>296333</xdr:colOff>
      <xdr:row>43</xdr:row>
      <xdr:rowOff>105833</xdr:rowOff>
    </xdr:from>
    <xdr:to>
      <xdr:col>25</xdr:col>
      <xdr:colOff>31750</xdr:colOff>
      <xdr:row>44</xdr:row>
      <xdr:rowOff>95250</xdr:rowOff>
    </xdr:to>
    <xdr:sp macro="" textlink="">
      <xdr:nvSpPr>
        <xdr:cNvPr id="81" name="TextovéPole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2573000" y="8297333"/>
          <a:ext cx="2804583" cy="17991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Kd pro vazbu na VEGF-A            </a:t>
          </a:r>
        </a:p>
      </xdr:txBody>
    </xdr:sp>
    <xdr:clientData/>
  </xdr:twoCellAnchor>
  <xdr:twoCellAnchor>
    <xdr:from>
      <xdr:col>25</xdr:col>
      <xdr:colOff>328083</xdr:colOff>
      <xdr:row>43</xdr:row>
      <xdr:rowOff>126999</xdr:rowOff>
    </xdr:from>
    <xdr:to>
      <xdr:col>35</xdr:col>
      <xdr:colOff>42333</xdr:colOff>
      <xdr:row>44</xdr:row>
      <xdr:rowOff>84667</xdr:rowOff>
    </xdr:to>
    <xdr:sp macro="" textlink="">
      <xdr:nvSpPr>
        <xdr:cNvPr id="82" name="TextovéPole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5673916" y="8318499"/>
          <a:ext cx="5852584" cy="14816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cca 30 pM                cca 0,5 pM </a:t>
          </a:r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(40pM pro PIGF2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)         cca 50 pM              cca 3 nM</a:t>
          </a:r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 (22</a:t>
          </a:r>
          <a:r>
            <a:rPr lang="cs-CZ" sz="9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nM pro Ang-2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)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20</xdr:col>
      <xdr:colOff>285750</xdr:colOff>
      <xdr:row>44</xdr:row>
      <xdr:rowOff>148167</xdr:rowOff>
    </xdr:from>
    <xdr:to>
      <xdr:col>25</xdr:col>
      <xdr:colOff>402167</xdr:colOff>
      <xdr:row>45</xdr:row>
      <xdr:rowOff>148167</xdr:rowOff>
    </xdr:to>
    <xdr:sp macro="" textlink="">
      <xdr:nvSpPr>
        <xdr:cNvPr id="83" name="TextovéPole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2562417" y="8530167"/>
          <a:ext cx="3185583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Klinická jednotlivá dávka           </a:t>
          </a:r>
        </a:p>
      </xdr:txBody>
    </xdr:sp>
    <xdr:clientData/>
  </xdr:twoCellAnchor>
  <xdr:twoCellAnchor>
    <xdr:from>
      <xdr:col>25</xdr:col>
      <xdr:colOff>391584</xdr:colOff>
      <xdr:row>44</xdr:row>
      <xdr:rowOff>179918</xdr:rowOff>
    </xdr:from>
    <xdr:to>
      <xdr:col>35</xdr:col>
      <xdr:colOff>105834</xdr:colOff>
      <xdr:row>45</xdr:row>
      <xdr:rowOff>137584</xdr:rowOff>
    </xdr:to>
    <xdr:sp macro="" textlink="">
      <xdr:nvSpPr>
        <xdr:cNvPr id="84" name="TextovéPole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5737417" y="8561918"/>
          <a:ext cx="5852584" cy="14816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6,0 mg                                2,0 mg                                 0,5 mg                                6 mg            </a:t>
          </a:r>
        </a:p>
      </xdr:txBody>
    </xdr:sp>
    <xdr:clientData/>
  </xdr:twoCellAnchor>
  <xdr:twoCellAnchor>
    <xdr:from>
      <xdr:col>25</xdr:col>
      <xdr:colOff>412751</xdr:colOff>
      <xdr:row>46</xdr:row>
      <xdr:rowOff>31750</xdr:rowOff>
    </xdr:from>
    <xdr:to>
      <xdr:col>35</xdr:col>
      <xdr:colOff>127001</xdr:colOff>
      <xdr:row>46</xdr:row>
      <xdr:rowOff>179916</xdr:rowOff>
    </xdr:to>
    <xdr:sp macro="" textlink="">
      <xdr:nvSpPr>
        <xdr:cNvPr id="85" name="TextovéPole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15758584" y="8794750"/>
          <a:ext cx="5852584" cy="14816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11,2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- 13,3    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              1,0                                     0,5 - 0,6                            2,0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- 2,2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25</xdr:col>
      <xdr:colOff>444500</xdr:colOff>
      <xdr:row>45</xdr:row>
      <xdr:rowOff>169333</xdr:rowOff>
    </xdr:from>
    <xdr:to>
      <xdr:col>35</xdr:col>
      <xdr:colOff>84666</xdr:colOff>
      <xdr:row>45</xdr:row>
      <xdr:rowOff>169336</xdr:rowOff>
    </xdr:to>
    <xdr:cxnSp macro="">
      <xdr:nvCxnSpPr>
        <xdr:cNvPr id="36" name="Přímá spojnic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/>
      </xdr:nvCxnSpPr>
      <xdr:spPr>
        <a:xfrm>
          <a:off x="15790333" y="8741833"/>
          <a:ext cx="5778500" cy="3"/>
        </a:xfrm>
        <a:prstGeom prst="line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264582</xdr:colOff>
      <xdr:row>45</xdr:row>
      <xdr:rowOff>179917</xdr:rowOff>
    </xdr:from>
    <xdr:to>
      <xdr:col>25</xdr:col>
      <xdr:colOff>380999</xdr:colOff>
      <xdr:row>46</xdr:row>
      <xdr:rowOff>179917</xdr:rowOff>
    </xdr:to>
    <xdr:sp macro="" textlink="">
      <xdr:nvSpPr>
        <xdr:cNvPr id="86" name="TextovéPole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12541249" y="8752417"/>
          <a:ext cx="3185583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Relativní počet molekul na 1 injekci (ref. je aflib.)           </a:t>
          </a:r>
        </a:p>
      </xdr:txBody>
    </xdr:sp>
    <xdr:clientData/>
  </xdr:twoCellAnchor>
  <xdr:twoCellAnchor>
    <xdr:from>
      <xdr:col>32</xdr:col>
      <xdr:colOff>306916</xdr:colOff>
      <xdr:row>14</xdr:row>
      <xdr:rowOff>42333</xdr:rowOff>
    </xdr:from>
    <xdr:to>
      <xdr:col>34</xdr:col>
      <xdr:colOff>264584</xdr:colOff>
      <xdr:row>16</xdr:row>
      <xdr:rowOff>137582</xdr:rowOff>
    </xdr:to>
    <xdr:sp macro="" textlink="">
      <xdr:nvSpPr>
        <xdr:cNvPr id="87" name="TextovéPole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19949583" y="2709333"/>
          <a:ext cx="1185334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rgbClr val="7030A0"/>
              </a:solidFill>
            </a:rPr>
            <a:t>měl by vázat (dle pozn. 51) všechny isoformy VEGF-A - viz pozn. 45    </a:t>
          </a:r>
          <a:r>
            <a:rPr lang="cs-CZ" sz="800" b="1" u="none">
              <a:solidFill>
                <a:schemeClr val="tx1">
                  <a:lumMod val="65000"/>
                  <a:lumOff val="35000"/>
                </a:schemeClr>
              </a:solidFill>
            </a:rPr>
            <a:t>         </a:t>
          </a:r>
        </a:p>
      </xdr:txBody>
    </xdr:sp>
    <xdr:clientData/>
  </xdr:twoCellAnchor>
  <xdr:twoCellAnchor>
    <xdr:from>
      <xdr:col>23</xdr:col>
      <xdr:colOff>105834</xdr:colOff>
      <xdr:row>14</xdr:row>
      <xdr:rowOff>116417</xdr:rowOff>
    </xdr:from>
    <xdr:to>
      <xdr:col>24</xdr:col>
      <xdr:colOff>550335</xdr:colOff>
      <xdr:row>17</xdr:row>
      <xdr:rowOff>179917</xdr:rowOff>
    </xdr:to>
    <xdr:sp macro="" textlink="">
      <xdr:nvSpPr>
        <xdr:cNvPr id="88" name="TextovéPole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14224001" y="2783417"/>
          <a:ext cx="1058334" cy="635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rgbClr val="7030A0"/>
              </a:solidFill>
            </a:rPr>
            <a:t>měl by vázat (dle pozn. 51) isoformy VEGF-A : 110, 121, 165 - </a:t>
          </a:r>
          <a:r>
            <a:rPr lang="cs-CZ" sz="800" b="1" u="none" baseline="0">
              <a:solidFill>
                <a:srgbClr val="7030A0"/>
              </a:solidFill>
            </a:rPr>
            <a:t> </a:t>
          </a:r>
          <a:r>
            <a:rPr lang="cs-CZ" sz="800" b="1" u="none">
              <a:solidFill>
                <a:srgbClr val="7030A0"/>
              </a:solidFill>
            </a:rPr>
            <a:t>viz pozn. 45             </a:t>
          </a:r>
        </a:p>
      </xdr:txBody>
    </xdr:sp>
    <xdr:clientData/>
  </xdr:twoCellAnchor>
  <xdr:twoCellAnchor>
    <xdr:from>
      <xdr:col>23</xdr:col>
      <xdr:colOff>74084</xdr:colOff>
      <xdr:row>14</xdr:row>
      <xdr:rowOff>21167</xdr:rowOff>
    </xdr:from>
    <xdr:to>
      <xdr:col>24</xdr:col>
      <xdr:colOff>518583</xdr:colOff>
      <xdr:row>18</xdr:row>
      <xdr:rowOff>0</xdr:rowOff>
    </xdr:to>
    <xdr:sp macro="" textlink="">
      <xdr:nvSpPr>
        <xdr:cNvPr id="89" name="Ovál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14192251" y="2688167"/>
          <a:ext cx="1058332" cy="740833"/>
        </a:xfrm>
        <a:prstGeom prst="ellipse">
          <a:avLst/>
        </a:prstGeom>
        <a:noFill/>
        <a:ln w="254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285750</xdr:colOff>
      <xdr:row>13</xdr:row>
      <xdr:rowOff>105833</xdr:rowOff>
    </xdr:from>
    <xdr:to>
      <xdr:col>34</xdr:col>
      <xdr:colOff>296334</xdr:colOff>
      <xdr:row>17</xdr:row>
      <xdr:rowOff>21167</xdr:rowOff>
    </xdr:to>
    <xdr:sp macro="" textlink="">
      <xdr:nvSpPr>
        <xdr:cNvPr id="90" name="Ovál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>
          <a:off x="19928417" y="2582333"/>
          <a:ext cx="1238250" cy="677334"/>
        </a:xfrm>
        <a:prstGeom prst="ellipse">
          <a:avLst/>
        </a:prstGeom>
        <a:noFill/>
        <a:ln w="254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23</xdr:col>
      <xdr:colOff>582084</xdr:colOff>
      <xdr:row>10</xdr:row>
      <xdr:rowOff>84666</xdr:rowOff>
    </xdr:from>
    <xdr:to>
      <xdr:col>24</xdr:col>
      <xdr:colOff>95250</xdr:colOff>
      <xdr:row>14</xdr:row>
      <xdr:rowOff>148167</xdr:rowOff>
    </xdr:to>
    <xdr:sp macro="" textlink="">
      <xdr:nvSpPr>
        <xdr:cNvPr id="91" name="Šipka dolů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>
          <a:off x="14700251" y="1989666"/>
          <a:ext cx="126999" cy="8255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33</xdr:col>
      <xdr:colOff>52918</xdr:colOff>
      <xdr:row>9</xdr:row>
      <xdr:rowOff>21167</xdr:rowOff>
    </xdr:from>
    <xdr:to>
      <xdr:col>33</xdr:col>
      <xdr:colOff>179918</xdr:colOff>
      <xdr:row>14</xdr:row>
      <xdr:rowOff>52917</xdr:rowOff>
    </xdr:to>
    <xdr:sp macro="" textlink="">
      <xdr:nvSpPr>
        <xdr:cNvPr id="92" name="Šipka dolů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20309418" y="1735667"/>
          <a:ext cx="127000" cy="984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20</xdr:col>
      <xdr:colOff>105832</xdr:colOff>
      <xdr:row>48</xdr:row>
      <xdr:rowOff>148167</xdr:rowOff>
    </xdr:from>
    <xdr:to>
      <xdr:col>29</xdr:col>
      <xdr:colOff>53974</xdr:colOff>
      <xdr:row>78</xdr:row>
      <xdr:rowOff>129117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99" y="9292167"/>
          <a:ext cx="5472642" cy="569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127000</xdr:colOff>
      <xdr:row>50</xdr:row>
      <xdr:rowOff>179917</xdr:rowOff>
    </xdr:from>
    <xdr:to>
      <xdr:col>26</xdr:col>
      <xdr:colOff>353482</xdr:colOff>
      <xdr:row>52</xdr:row>
      <xdr:rowOff>148430</xdr:rowOff>
    </xdr:to>
    <xdr:sp macro="" textlink="">
      <xdr:nvSpPr>
        <xdr:cNvPr id="94" name="TextovéPole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14859000" y="9704917"/>
          <a:ext cx="1454149" cy="3495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sng"/>
            <a:t>in BCVA at 2 year             </a:t>
          </a:r>
          <a:r>
            <a:rPr lang="cs-CZ" sz="800" b="1" u="none"/>
            <a:t>(ETDRS letters, viz pozn. 11)</a:t>
          </a:r>
        </a:p>
      </xdr:txBody>
    </xdr:sp>
    <xdr:clientData/>
  </xdr:twoCellAnchor>
  <xdr:twoCellAnchor editAs="oneCell">
    <xdr:from>
      <xdr:col>29</xdr:col>
      <xdr:colOff>412751</xdr:colOff>
      <xdr:row>48</xdr:row>
      <xdr:rowOff>148167</xdr:rowOff>
    </xdr:from>
    <xdr:to>
      <xdr:col>38</xdr:col>
      <xdr:colOff>151343</xdr:colOff>
      <xdr:row>77</xdr:row>
      <xdr:rowOff>179917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3918" y="9292167"/>
          <a:ext cx="5263092" cy="555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317501</xdr:colOff>
      <xdr:row>50</xdr:row>
      <xdr:rowOff>74084</xdr:rowOff>
    </xdr:from>
    <xdr:to>
      <xdr:col>36</xdr:col>
      <xdr:colOff>22226</xdr:colOff>
      <xdr:row>52</xdr:row>
      <xdr:rowOff>64559</xdr:rowOff>
    </xdr:to>
    <xdr:sp macro="" textlink="">
      <xdr:nvSpPr>
        <xdr:cNvPr id="96" name="TextovéPole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20574001" y="9599084"/>
          <a:ext cx="154622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in retinal thickness at 2 year </a:t>
          </a:r>
        </a:p>
        <a:p>
          <a:pPr algn="l"/>
          <a:r>
            <a:rPr lang="cs-CZ" sz="900" b="1" u="none"/>
            <a:t>     </a:t>
          </a:r>
          <a:r>
            <a:rPr lang="cs-CZ" sz="800" b="1" u="none"/>
            <a:t>(micrometrs,</a:t>
          </a:r>
          <a:r>
            <a:rPr lang="cs-CZ" sz="800" b="1" u="none" baseline="0"/>
            <a:t> viz pozn. 18)</a:t>
          </a:r>
          <a:endParaRPr lang="cs-CZ" sz="800" b="1" u="none"/>
        </a:p>
      </xdr:txBody>
    </xdr:sp>
    <xdr:clientData/>
  </xdr:twoCellAnchor>
  <xdr:twoCellAnchor>
    <xdr:from>
      <xdr:col>27</xdr:col>
      <xdr:colOff>539751</xdr:colOff>
      <xdr:row>50</xdr:row>
      <xdr:rowOff>52917</xdr:rowOff>
    </xdr:from>
    <xdr:to>
      <xdr:col>29</xdr:col>
      <xdr:colOff>285750</xdr:colOff>
      <xdr:row>57</xdr:row>
      <xdr:rowOff>94194</xdr:rowOff>
    </xdr:to>
    <xdr:sp macro="" textlink="">
      <xdr:nvSpPr>
        <xdr:cNvPr id="97" name="TextovéPole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17113251" y="9577917"/>
          <a:ext cx="973666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>
    <xdr:from>
      <xdr:col>29</xdr:col>
      <xdr:colOff>126999</xdr:colOff>
      <xdr:row>49</xdr:row>
      <xdr:rowOff>179917</xdr:rowOff>
    </xdr:from>
    <xdr:to>
      <xdr:col>35</xdr:col>
      <xdr:colOff>436033</xdr:colOff>
      <xdr:row>51</xdr:row>
      <xdr:rowOff>179917</xdr:rowOff>
    </xdr:to>
    <xdr:cxnSp macro="">
      <xdr:nvCxnSpPr>
        <xdr:cNvPr id="98" name="Přímá spojnice se šipkou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CxnSpPr/>
      </xdr:nvCxnSpPr>
      <xdr:spPr>
        <a:xfrm flipH="1">
          <a:off x="17928166" y="9514417"/>
          <a:ext cx="3992034" cy="381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95250</xdr:colOff>
      <xdr:row>50</xdr:row>
      <xdr:rowOff>31749</xdr:rowOff>
    </xdr:from>
    <xdr:to>
      <xdr:col>28</xdr:col>
      <xdr:colOff>14289</xdr:colOff>
      <xdr:row>51</xdr:row>
      <xdr:rowOff>165099</xdr:rowOff>
    </xdr:to>
    <xdr:cxnSp macro="">
      <xdr:nvCxnSpPr>
        <xdr:cNvPr id="99" name="Přímá spojnice se šipkou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CxnSpPr/>
      </xdr:nvCxnSpPr>
      <xdr:spPr>
        <a:xfrm>
          <a:off x="16054917" y="9556749"/>
          <a:ext cx="1146705" cy="3238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63500</xdr:colOff>
      <xdr:row>58</xdr:row>
      <xdr:rowOff>63500</xdr:rowOff>
    </xdr:from>
    <xdr:to>
      <xdr:col>22</xdr:col>
      <xdr:colOff>63500</xdr:colOff>
      <xdr:row>60</xdr:row>
      <xdr:rowOff>0</xdr:rowOff>
    </xdr:to>
    <xdr:sp macro="" textlink="">
      <xdr:nvSpPr>
        <xdr:cNvPr id="100" name="Ovál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/>
      </xdr:nvSpPr>
      <xdr:spPr>
        <a:xfrm>
          <a:off x="12340167" y="11112500"/>
          <a:ext cx="1227666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169333</xdr:colOff>
      <xdr:row>58</xdr:row>
      <xdr:rowOff>95250</xdr:rowOff>
    </xdr:from>
    <xdr:to>
      <xdr:col>29</xdr:col>
      <xdr:colOff>285750</xdr:colOff>
      <xdr:row>70</xdr:row>
      <xdr:rowOff>10583</xdr:rowOff>
    </xdr:to>
    <xdr:sp macro="" textlink="">
      <xdr:nvSpPr>
        <xdr:cNvPr id="101" name="TextovéPole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6742833" y="11144250"/>
          <a:ext cx="1344084" cy="220133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 u faricimabu jsou ve NMA jen data za 1. rok</a:t>
          </a:r>
          <a:r>
            <a:rPr lang="cs-CZ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protože u faricimabu byla v té době dostupná zatím jen data po 1 roce studií TENAYA a LUCERNE</a:t>
          </a:r>
          <a:r>
            <a:rPr lang="cs-CZ" sz="8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</a:t>
          </a:r>
          <a:r>
            <a:rPr lang="cs-CZ" sz="8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cs-CZ" sz="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porovnání s afliberceptem (ve stejném dávk. režimu jako je v NMA ) nebyly významné rozdíly v parametru BCVA či v parametru snížení tloušťky centrálního subpole (CST)  ani po předběžně publikovaných výsledcích po 2 letech trvání  studií  </a:t>
          </a:r>
          <a:r>
            <a:rPr lang="cs-CZ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(viz níže pozn. 60)</a:t>
          </a:r>
          <a:endParaRPr lang="cs-CZ" sz="800" b="1" u="sng"/>
        </a:p>
      </xdr:txBody>
    </xdr:sp>
    <xdr:clientData/>
  </xdr:twoCellAnchor>
  <xdr:twoCellAnchor>
    <xdr:from>
      <xdr:col>21</xdr:col>
      <xdr:colOff>402166</xdr:colOff>
      <xdr:row>59</xdr:row>
      <xdr:rowOff>21166</xdr:rowOff>
    </xdr:from>
    <xdr:to>
      <xdr:col>27</xdr:col>
      <xdr:colOff>296333</xdr:colOff>
      <xdr:row>62</xdr:row>
      <xdr:rowOff>10583</xdr:rowOff>
    </xdr:to>
    <xdr:cxnSp macro="">
      <xdr:nvCxnSpPr>
        <xdr:cNvPr id="102" name="Přímá spojnice se šipkou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CxnSpPr/>
      </xdr:nvCxnSpPr>
      <xdr:spPr>
        <a:xfrm>
          <a:off x="13292666" y="11260666"/>
          <a:ext cx="3577167" cy="560917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359832</xdr:colOff>
      <xdr:row>58</xdr:row>
      <xdr:rowOff>105833</xdr:rowOff>
    </xdr:from>
    <xdr:to>
      <xdr:col>31</xdr:col>
      <xdr:colOff>158750</xdr:colOff>
      <xdr:row>60</xdr:row>
      <xdr:rowOff>42333</xdr:rowOff>
    </xdr:to>
    <xdr:sp macro="" textlink="">
      <xdr:nvSpPr>
        <xdr:cNvPr id="103" name="Ovál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18160999" y="11154833"/>
          <a:ext cx="1026584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29</xdr:col>
      <xdr:colOff>179916</xdr:colOff>
      <xdr:row>59</xdr:row>
      <xdr:rowOff>169334</xdr:rowOff>
    </xdr:from>
    <xdr:to>
      <xdr:col>30</xdr:col>
      <xdr:colOff>63500</xdr:colOff>
      <xdr:row>62</xdr:row>
      <xdr:rowOff>21167</xdr:rowOff>
    </xdr:to>
    <xdr:cxnSp macro="">
      <xdr:nvCxnSpPr>
        <xdr:cNvPr id="104" name="Přímá spojnice se šipkou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CxnSpPr/>
      </xdr:nvCxnSpPr>
      <xdr:spPr>
        <a:xfrm flipH="1">
          <a:off x="17981083" y="11408834"/>
          <a:ext cx="497417" cy="423333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36</xdr:col>
      <xdr:colOff>169332</xdr:colOff>
      <xdr:row>4</xdr:row>
      <xdr:rowOff>11906</xdr:rowOff>
    </xdr:from>
    <xdr:to>
      <xdr:col>45</xdr:col>
      <xdr:colOff>107155</xdr:colOff>
      <xdr:row>35</xdr:row>
      <xdr:rowOff>80256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7332" y="773906"/>
          <a:ext cx="5462323" cy="597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99219</xdr:colOff>
      <xdr:row>5</xdr:row>
      <xdr:rowOff>177270</xdr:rowOff>
    </xdr:from>
    <xdr:to>
      <xdr:col>43</xdr:col>
      <xdr:colOff>15874</xdr:colOff>
      <xdr:row>7</xdr:row>
      <xdr:rowOff>167745</xdr:rowOff>
    </xdr:to>
    <xdr:sp macro="" textlink="">
      <xdr:nvSpPr>
        <xdr:cNvPr id="106" name="TextovéPole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24652552" y="1129770"/>
          <a:ext cx="175815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overal discontinuation</a:t>
          </a:r>
          <a:r>
            <a:rPr lang="cs-CZ" sz="900" b="1" u="sng" baseline="0"/>
            <a:t> at 1 year</a:t>
          </a:r>
          <a:r>
            <a:rPr lang="cs-CZ" sz="900" b="1" u="sng"/>
            <a:t> </a:t>
          </a:r>
        </a:p>
        <a:p>
          <a:pPr algn="l"/>
          <a:r>
            <a:rPr lang="cs-CZ" sz="900" b="1" u="none"/>
            <a:t> </a:t>
          </a:r>
          <a:r>
            <a:rPr lang="cs-CZ" sz="800" b="1" u="none"/>
            <a:t>(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upraveno dle zdroje pod pozn. 38</a:t>
          </a:r>
          <a:r>
            <a:rPr lang="cs-CZ" sz="800" b="1" u="none" baseline="0"/>
            <a:t>)</a:t>
          </a:r>
          <a:endParaRPr lang="cs-CZ" sz="800" b="1" u="none"/>
        </a:p>
      </xdr:txBody>
    </xdr:sp>
    <xdr:clientData/>
  </xdr:twoCellAnchor>
  <xdr:twoCellAnchor>
    <xdr:from>
      <xdr:col>36</xdr:col>
      <xdr:colOff>142876</xdr:colOff>
      <xdr:row>26</xdr:row>
      <xdr:rowOff>0</xdr:rowOff>
    </xdr:from>
    <xdr:to>
      <xdr:col>38</xdr:col>
      <xdr:colOff>445293</xdr:colOff>
      <xdr:row>27</xdr:row>
      <xdr:rowOff>127000</xdr:rowOff>
    </xdr:to>
    <xdr:sp macro="" textlink="">
      <xdr:nvSpPr>
        <xdr:cNvPr id="107" name="Ovál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22240876" y="4953000"/>
          <a:ext cx="1530084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43</xdr:col>
      <xdr:colOff>384969</xdr:colOff>
      <xdr:row>24</xdr:row>
      <xdr:rowOff>168010</xdr:rowOff>
    </xdr:from>
    <xdr:to>
      <xdr:col>45</xdr:col>
      <xdr:colOff>130969</xdr:colOff>
      <xdr:row>30</xdr:row>
      <xdr:rowOff>177535</xdr:rowOff>
    </xdr:to>
    <xdr:sp macro="" textlink="">
      <xdr:nvSpPr>
        <xdr:cNvPr id="108" name="TextovéPole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26779802" y="4740010"/>
          <a:ext cx="973667" cy="1152525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(4x monthly,</a:t>
          </a:r>
          <a:r>
            <a:rPr lang="cs-CZ" sz="800" b="0" u="none" baseline="0"/>
            <a:t> then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inj. every 8 or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16 weeks on the basis of disease activity and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assessment at weeks 20 and 24</a:t>
          </a:r>
          <a:endParaRPr lang="cs-CZ" sz="800" b="1" u="sng"/>
        </a:p>
      </xdr:txBody>
    </xdr:sp>
    <xdr:clientData/>
  </xdr:twoCellAnchor>
  <xdr:twoCellAnchor>
    <xdr:from>
      <xdr:col>40</xdr:col>
      <xdr:colOff>316178</xdr:colOff>
      <xdr:row>9</xdr:row>
      <xdr:rowOff>25134</xdr:rowOff>
    </xdr:from>
    <xdr:to>
      <xdr:col>42</xdr:col>
      <xdr:colOff>55564</xdr:colOff>
      <xdr:row>16</xdr:row>
      <xdr:rowOff>66411</xdr:rowOff>
    </xdr:to>
    <xdr:sp macro="" textlink="">
      <xdr:nvSpPr>
        <xdr:cNvPr id="109" name="TextovéPole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24869511" y="1739634"/>
          <a:ext cx="967053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 editAs="oneCell">
    <xdr:from>
      <xdr:col>45</xdr:col>
      <xdr:colOff>297656</xdr:colOff>
      <xdr:row>1</xdr:row>
      <xdr:rowOff>154782</xdr:rowOff>
    </xdr:from>
    <xdr:to>
      <xdr:col>51</xdr:col>
      <xdr:colOff>564357</xdr:colOff>
      <xdr:row>35</xdr:row>
      <xdr:rowOff>142876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0" y="345282"/>
          <a:ext cx="3910013" cy="646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130968</xdr:colOff>
      <xdr:row>1</xdr:row>
      <xdr:rowOff>154781</xdr:rowOff>
    </xdr:from>
    <xdr:to>
      <xdr:col>58</xdr:col>
      <xdr:colOff>340518</xdr:colOff>
      <xdr:row>5</xdr:row>
      <xdr:rowOff>178594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6343" y="345281"/>
          <a:ext cx="3852863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142875</xdr:colOff>
      <xdr:row>5</xdr:row>
      <xdr:rowOff>178595</xdr:rowOff>
    </xdr:from>
    <xdr:to>
      <xdr:col>58</xdr:col>
      <xdr:colOff>381000</xdr:colOff>
      <xdr:row>6</xdr:row>
      <xdr:rowOff>178595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0" y="1131095"/>
          <a:ext cx="3881438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130969</xdr:colOff>
      <xdr:row>7</xdr:row>
      <xdr:rowOff>0</xdr:rowOff>
    </xdr:from>
    <xdr:to>
      <xdr:col>58</xdr:col>
      <xdr:colOff>388144</xdr:colOff>
      <xdr:row>35</xdr:row>
      <xdr:rowOff>142875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6344" y="1333500"/>
          <a:ext cx="3900488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264583</xdr:colOff>
      <xdr:row>26</xdr:row>
      <xdr:rowOff>169333</xdr:rowOff>
    </xdr:from>
    <xdr:to>
      <xdr:col>43</xdr:col>
      <xdr:colOff>384969</xdr:colOff>
      <xdr:row>27</xdr:row>
      <xdr:rowOff>172773</xdr:rowOff>
    </xdr:to>
    <xdr:cxnSp macro="">
      <xdr:nvCxnSpPr>
        <xdr:cNvPr id="114" name="Přímá spojnice se šipkou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CxnSpPr>
          <a:endCxn id="108" idx="1"/>
        </xdr:cNvCxnSpPr>
      </xdr:nvCxnSpPr>
      <xdr:spPr>
        <a:xfrm>
          <a:off x="23590250" y="5122333"/>
          <a:ext cx="3189552" cy="19394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369096</xdr:colOff>
      <xdr:row>5</xdr:row>
      <xdr:rowOff>71438</xdr:rowOff>
    </xdr:from>
    <xdr:to>
      <xdr:col>41</xdr:col>
      <xdr:colOff>226218</xdr:colOff>
      <xdr:row>9</xdr:row>
      <xdr:rowOff>83344</xdr:rowOff>
    </xdr:to>
    <xdr:cxnSp macro="">
      <xdr:nvCxnSpPr>
        <xdr:cNvPr id="115" name="Přímá spojnice se šipkou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CxnSpPr/>
      </xdr:nvCxnSpPr>
      <xdr:spPr>
        <a:xfrm>
          <a:off x="24657846" y="1023938"/>
          <a:ext cx="464341" cy="773906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47626</xdr:colOff>
      <xdr:row>3</xdr:row>
      <xdr:rowOff>119063</xdr:rowOff>
    </xdr:from>
    <xdr:to>
      <xdr:col>53</xdr:col>
      <xdr:colOff>166688</xdr:colOff>
      <xdr:row>5</xdr:row>
      <xdr:rowOff>0</xdr:rowOff>
    </xdr:to>
    <xdr:sp macro="" textlink="">
      <xdr:nvSpPr>
        <xdr:cNvPr id="116" name="TextovéPole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31015782" y="690563"/>
          <a:ext cx="1333500" cy="26193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9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 zdroje pod pozn. 38</a:t>
          </a:r>
          <a:endParaRPr lang="cs-CZ" sz="900" b="1" u="none"/>
        </a:p>
      </xdr:txBody>
    </xdr:sp>
    <xdr:clientData/>
  </xdr:twoCellAnchor>
  <xdr:twoCellAnchor editAs="oneCell">
    <xdr:from>
      <xdr:col>37</xdr:col>
      <xdr:colOff>137583</xdr:colOff>
      <xdr:row>37</xdr:row>
      <xdr:rowOff>42333</xdr:rowOff>
    </xdr:from>
    <xdr:to>
      <xdr:col>49</xdr:col>
      <xdr:colOff>461433</xdr:colOff>
      <xdr:row>40</xdr:row>
      <xdr:rowOff>32808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9416" y="7090833"/>
          <a:ext cx="76898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158750</xdr:colOff>
      <xdr:row>40</xdr:row>
      <xdr:rowOff>21166</xdr:rowOff>
    </xdr:from>
    <xdr:to>
      <xdr:col>49</xdr:col>
      <xdr:colOff>454025</xdr:colOff>
      <xdr:row>54</xdr:row>
      <xdr:rowOff>40216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0583" y="7641166"/>
          <a:ext cx="7661275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169334</xdr:colOff>
      <xdr:row>54</xdr:row>
      <xdr:rowOff>42332</xdr:rowOff>
    </xdr:from>
    <xdr:to>
      <xdr:col>49</xdr:col>
      <xdr:colOff>464609</xdr:colOff>
      <xdr:row>61</xdr:row>
      <xdr:rowOff>99482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1167" y="10329332"/>
          <a:ext cx="76612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41</xdr:col>
      <xdr:colOff>222250</xdr:colOff>
      <xdr:row>38</xdr:row>
      <xdr:rowOff>158751</xdr:rowOff>
    </xdr:from>
    <xdr:to>
      <xdr:col>43</xdr:col>
      <xdr:colOff>402168</xdr:colOff>
      <xdr:row>61</xdr:row>
      <xdr:rowOff>0</xdr:rowOff>
    </xdr:to>
    <xdr:sp macro="" textlink="">
      <xdr:nvSpPr>
        <xdr:cNvPr id="120" name="Ovál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25389417" y="7397751"/>
          <a:ext cx="1407584" cy="4222749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50</xdr:col>
      <xdr:colOff>116417</xdr:colOff>
      <xdr:row>39</xdr:row>
      <xdr:rowOff>190499</xdr:rowOff>
    </xdr:from>
    <xdr:to>
      <xdr:col>61</xdr:col>
      <xdr:colOff>26459</xdr:colOff>
      <xdr:row>48</xdr:row>
      <xdr:rowOff>28574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084" y="7619999"/>
          <a:ext cx="6662208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63500</xdr:colOff>
      <xdr:row>37</xdr:row>
      <xdr:rowOff>21165</xdr:rowOff>
    </xdr:from>
    <xdr:to>
      <xdr:col>59</xdr:col>
      <xdr:colOff>352783</xdr:colOff>
      <xdr:row>38</xdr:row>
      <xdr:rowOff>23980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167" y="7069665"/>
          <a:ext cx="5813783" cy="19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50</xdr:col>
      <xdr:colOff>105833</xdr:colOff>
      <xdr:row>43</xdr:row>
      <xdr:rowOff>179915</xdr:rowOff>
    </xdr:from>
    <xdr:to>
      <xdr:col>57</xdr:col>
      <xdr:colOff>402167</xdr:colOff>
      <xdr:row>45</xdr:row>
      <xdr:rowOff>169332</xdr:rowOff>
    </xdr:to>
    <xdr:sp macro="" textlink="">
      <xdr:nvSpPr>
        <xdr:cNvPr id="123" name="Ovál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>
        <a:xfrm>
          <a:off x="30797500" y="8371415"/>
          <a:ext cx="4593167" cy="370417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264584</xdr:colOff>
      <xdr:row>36</xdr:row>
      <xdr:rowOff>169333</xdr:rowOff>
    </xdr:from>
    <xdr:to>
      <xdr:col>61</xdr:col>
      <xdr:colOff>296334</xdr:colOff>
      <xdr:row>38</xdr:row>
      <xdr:rowOff>84665</xdr:rowOff>
    </xdr:to>
    <xdr:sp macro="" textlink="">
      <xdr:nvSpPr>
        <xdr:cNvPr id="124" name="TextovéPole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36480751" y="7027333"/>
          <a:ext cx="1259416" cy="296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/>
            <a:t>(viz dále pozn. 70)</a:t>
          </a:r>
        </a:p>
      </xdr:txBody>
    </xdr:sp>
    <xdr:clientData/>
  </xdr:twoCellAnchor>
  <xdr:twoCellAnchor>
    <xdr:from>
      <xdr:col>44</xdr:col>
      <xdr:colOff>486833</xdr:colOff>
      <xdr:row>67</xdr:row>
      <xdr:rowOff>105834</xdr:rowOff>
    </xdr:from>
    <xdr:to>
      <xdr:col>55</xdr:col>
      <xdr:colOff>201084</xdr:colOff>
      <xdr:row>78</xdr:row>
      <xdr:rowOff>0</xdr:rowOff>
    </xdr:to>
    <xdr:sp macro="" textlink="">
      <xdr:nvSpPr>
        <xdr:cNvPr id="125" name="TextovéPole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27495500" y="12869334"/>
          <a:ext cx="6466417" cy="1989666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200" b="1"/>
            <a:t>U pacientů s projevem nitroočního zánětu (tzv.</a:t>
          </a:r>
          <a:r>
            <a:rPr lang="cs-CZ" sz="1200" b="1" baseline="0"/>
            <a:t> IOI)</a:t>
          </a:r>
          <a:r>
            <a:rPr lang="cs-CZ" sz="1200" b="1"/>
            <a:t> včetně retinální vaskulitidy a/nebo retinální vaskulární okluze má být přípravek BEOVU (brolucizumab) vysazen a komplikace mají být ihned řešeny. Udržovací dávky přípravku BEOVU (po prvních třech dávkách) nemají být podávány v intervalech kratších než 8 týdnů (toto zjištění vychází z výsledků studie MERLIN). Výsledky z retrospektivní analýzy u nVPMD pacientů naznačují, že </a:t>
          </a:r>
          <a:r>
            <a:rPr lang="cs-CZ" sz="1200" b="1" u="sng"/>
            <a:t>u pacientů s anamnézou nitroočního zánětu a/nebo retinální vaskulární okluze v posledním roce před léčbou přípravkem BEOVU byla větší pravděpodobnost výskytu podobných příhod po aplikaci BEOVU ve srovnání s nVPMD pacienty, kteří nemají tyto příhody v anamnéze</a:t>
          </a:r>
          <a:r>
            <a:rPr lang="cs-CZ" sz="1200" b="1"/>
            <a:t>. Kromě toho byl ve dvou retrospektivních studiích, ale také v klinických studiích, pozorován genderový rozdíl </a:t>
          </a:r>
          <a:r>
            <a:rPr lang="cs-CZ" sz="1200" b="1" u="sng"/>
            <a:t>s vyšším rizikem IOI (včetně retinální</a:t>
          </a:r>
          <a:r>
            <a:rPr lang="cs-CZ" sz="1200" b="1" u="sng" baseline="0"/>
            <a:t> vaskulitidy</a:t>
          </a:r>
          <a:r>
            <a:rPr lang="cs-CZ" sz="1200" b="1" u="sng"/>
            <a:t>) a/nebo retinální vaskulární okluze u žen</a:t>
          </a:r>
          <a:r>
            <a:rPr lang="cs-CZ" sz="1200" b="1"/>
            <a:t>. Vyšší výskyt byl také pozorován u japonských pacientů.</a:t>
          </a:r>
          <a:endParaRPr lang="cs-CZ" sz="1200" b="1" u="none"/>
        </a:p>
      </xdr:txBody>
    </xdr:sp>
    <xdr:clientData/>
  </xdr:twoCellAnchor>
  <xdr:twoCellAnchor>
    <xdr:from>
      <xdr:col>37</xdr:col>
      <xdr:colOff>169334</xdr:colOff>
      <xdr:row>61</xdr:row>
      <xdr:rowOff>95250</xdr:rowOff>
    </xdr:from>
    <xdr:to>
      <xdr:col>49</xdr:col>
      <xdr:colOff>465667</xdr:colOff>
      <xdr:row>64</xdr:row>
      <xdr:rowOff>10584</xdr:rowOff>
    </xdr:to>
    <xdr:sp macro="" textlink="">
      <xdr:nvSpPr>
        <xdr:cNvPr id="127" name="TextovéPole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22881167" y="11715750"/>
          <a:ext cx="7662333" cy="48683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b="1" u="sng"/>
            <a:t>There were no IOI events associated with retinal vasculitis or occlusive disease in any treatment arms based through Week</a:t>
          </a:r>
          <a:r>
            <a:rPr lang="cs-CZ" b="1" u="sng" baseline="0"/>
            <a:t> 48! </a:t>
          </a:r>
          <a:r>
            <a:rPr lang="cs-CZ" b="1" u="sng"/>
            <a:t>After Week 48 to the Clinical Cut-Off Date, there were no additional retinal vascular occlusive disease AEs in the study eye</a:t>
          </a:r>
          <a:r>
            <a:rPr lang="cs-CZ" b="1"/>
            <a:t>!</a:t>
          </a:r>
          <a:endParaRPr lang="cs-CZ" sz="1100" b="1" u="none"/>
        </a:p>
      </xdr:txBody>
    </xdr:sp>
    <xdr:clientData/>
  </xdr:twoCellAnchor>
  <xdr:twoCellAnchor>
    <xdr:from>
      <xdr:col>37</xdr:col>
      <xdr:colOff>63501</xdr:colOff>
      <xdr:row>60</xdr:row>
      <xdr:rowOff>179917</xdr:rowOff>
    </xdr:from>
    <xdr:to>
      <xdr:col>50</xdr:col>
      <xdr:colOff>52917</xdr:colOff>
      <xdr:row>64</xdr:row>
      <xdr:rowOff>74082</xdr:rowOff>
    </xdr:to>
    <xdr:sp macro="" textlink="">
      <xdr:nvSpPr>
        <xdr:cNvPr id="128" name="Ovál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/>
      </xdr:nvSpPr>
      <xdr:spPr>
        <a:xfrm>
          <a:off x="22775334" y="11609917"/>
          <a:ext cx="7969250" cy="65616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84666</xdr:colOff>
      <xdr:row>37</xdr:row>
      <xdr:rowOff>190499</xdr:rowOff>
    </xdr:from>
    <xdr:to>
      <xdr:col>61</xdr:col>
      <xdr:colOff>264584</xdr:colOff>
      <xdr:row>40</xdr:row>
      <xdr:rowOff>42332</xdr:rowOff>
    </xdr:to>
    <xdr:sp macro="" textlink="">
      <xdr:nvSpPr>
        <xdr:cNvPr id="129" name="TextovéPole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30776333" y="7238999"/>
          <a:ext cx="6932084" cy="423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(generalized IOI was defined by cases of otherwise unspecified uveitis or IOI</a:t>
          </a:r>
          <a:r>
            <a:rPr lang="cs-CZ" sz="900" b="1" u="sng"/>
            <a:t>, no cases of retinal vasculitis were included in our analysis given the paucity of reporting from included RCTs!</a:t>
          </a:r>
          <a:r>
            <a:rPr lang="cs-CZ" sz="900" b="1"/>
            <a:t>!)</a:t>
          </a:r>
          <a:endParaRPr lang="cs-CZ" sz="900" b="1" u="none"/>
        </a:p>
      </xdr:txBody>
    </xdr:sp>
    <xdr:clientData/>
  </xdr:twoCellAnchor>
  <xdr:twoCellAnchor>
    <xdr:from>
      <xdr:col>50</xdr:col>
      <xdr:colOff>211667</xdr:colOff>
      <xdr:row>48</xdr:row>
      <xdr:rowOff>74084</xdr:rowOff>
    </xdr:from>
    <xdr:to>
      <xdr:col>61</xdr:col>
      <xdr:colOff>42335</xdr:colOff>
      <xdr:row>65</xdr:row>
      <xdr:rowOff>0</xdr:rowOff>
    </xdr:to>
    <xdr:sp macro="" textlink="">
      <xdr:nvSpPr>
        <xdr:cNvPr id="130" name="TextovéPole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30903334" y="9218084"/>
          <a:ext cx="6582834" cy="3164416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i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 zdroje uvedeného pod poznámkou</a:t>
          </a:r>
          <a:r>
            <a:rPr lang="cs-CZ" sz="11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č. 72:</a:t>
          </a:r>
        </a:p>
        <a:p>
          <a:pPr algn="l"/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roce 2020 zveřejnila Americká společnost specialistů na sítnici bezpečnostní aktualizace týkající se případů retinální vaskulitidy (RV) u pacientů léčených brolucizumabem, z nichž některé byly hlášeny jako okluzivní RV se související ztrátou zraku. </a:t>
          </a:r>
          <a:r>
            <a:rPr lang="cs-CZ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uvedení na trh byla míra hlášení RV a/nebo retinální vaskulární okluze (RO) přibližně 15,1 na 10 000 injekcí brolicizumabu</a:t>
          </a:r>
          <a:r>
            <a:rPr lang="cs-CZ" sz="11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 27. srpnu 2021). 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Následně společnost Novartis pověřila zadala externí Komisi pro hodnocení bezpečnosti (SRC), aby znovu posoudila případy IOI, endoftalmitidy a okluze retinální artérie u očí léčených brolucizumabem u studií HAWK a HARRIER. Z 60 hodnocených očí SRC uvedlo, že 50 očí (50/1.088; 4,6 %) mělo určité nebo pravděpodobné příhody, které byly spojeny s podaným léčivem a byly ve spektru IOI, RV a/nebo RO.  Z těchto 50 očí 36 mělo souběžnou RV (3,3 %), z toho 23 mělo souběžnou RO (2,1 %). Celková míra alespoň střední ztráty zraku (tj. ≥ 15 písmen ETDRS) do 96. týdne však byla srovnatelná mezi brolucizumabem 6 mg a afliberceptem jak ve studii HAWK (8,1 % vs. 7,4 %), tak u HARRIER (7,1 % vs. 7,5 %). Na základě těchto bezpečnostních zjištění schválilo několik lékových agentur aktualizaci informací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přípravku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V roce 2021 společnost Novartis vydala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prohlášení, že lékaři by neměli podávat brolucizumab v intervalech kratších než 2 měsíce po prvních třech dávkách (tj. intervaly by měly být 8 týdnů nebo více během udržovací fáze), a to na základě bezpečnostních zjištění z prvních interpretovatelných 1-letých výsledků fáze 3 studie MERLIN, ve které byl brolucizumab podáván každé 4 týdny. Ve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studii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MERLIN byla míra IOI pro brolucizumab a aflibercept 9,3 % oproti 4,5 %, míra RV byla 0,8 % oproti 0,0 %, míra RO byla 2,0 % oproti 0,0 % a míra ztráty zraku ≥15 písmen ze všech příčiny byly 4,8 % oproti 1,7 %.                                                       </a:t>
          </a:r>
          <a:endParaRPr lang="cs-CZ" sz="1200" b="1" i="1" u="sng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35</xdr:col>
      <xdr:colOff>485775</xdr:colOff>
      <xdr:row>58</xdr:row>
      <xdr:rowOff>47624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80975" y="76199"/>
          <a:ext cx="21640800" cy="11020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428625</xdr:colOff>
      <xdr:row>1</xdr:row>
      <xdr:rowOff>19051</xdr:rowOff>
    </xdr:from>
    <xdr:to>
      <xdr:col>18</xdr:col>
      <xdr:colOff>19050</xdr:colOff>
      <xdr:row>31</xdr:row>
      <xdr:rowOff>98264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551"/>
          <a:ext cx="10563225" cy="579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602195</xdr:colOff>
      <xdr:row>18</xdr:row>
      <xdr:rowOff>105833</xdr:rowOff>
    </xdr:from>
    <xdr:to>
      <xdr:col>17</xdr:col>
      <xdr:colOff>317500</xdr:colOff>
      <xdr:row>29</xdr:row>
      <xdr:rowOff>179917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582028" y="3534833"/>
          <a:ext cx="2170639" cy="2169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(A) Chronická hyperglykémie u diabetu vede k upregulaci drah, aktivaci enzymů a akumulaci pokročilých glykosylovaných konečných produktů (AGEs). Každá z těchto cest může vyvolat oxidační stres a spustit patogenezi diabetické retinopatie, která je charakterizována ztrátou vaskulárních endoteliálních buněk, těsných spojení a pericytů, se zesílením bazální membrány, což nakonec vede k hypoxii a neovaskularizaci. </a:t>
          </a:r>
        </a:p>
        <a:p>
          <a:pPr algn="l"/>
          <a:r>
            <a:rPr lang="cs-CZ" sz="900" b="1"/>
            <a:t>(B) To lze pozorovat na sítnici jako dot blot hemoragie, vatové skvrny a tvrdé exsudáty ve vnější plexiformní vrstvě</a:t>
          </a:r>
          <a:endParaRPr lang="cs-CZ" sz="900" b="1" u="none"/>
        </a:p>
      </xdr:txBody>
    </xdr:sp>
    <xdr:clientData/>
  </xdr:twoCellAnchor>
  <xdr:twoCellAnchor editAs="oneCell">
    <xdr:from>
      <xdr:col>1</xdr:col>
      <xdr:colOff>47625</xdr:colOff>
      <xdr:row>31</xdr:row>
      <xdr:rowOff>28575</xdr:rowOff>
    </xdr:from>
    <xdr:to>
      <xdr:col>14</xdr:col>
      <xdr:colOff>285750</xdr:colOff>
      <xdr:row>57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934075"/>
          <a:ext cx="8162925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180975</xdr:colOff>
      <xdr:row>40</xdr:row>
      <xdr:rowOff>9525</xdr:rowOff>
    </xdr:from>
    <xdr:to>
      <xdr:col>14</xdr:col>
      <xdr:colOff>552450</xdr:colOff>
      <xdr:row>54</xdr:row>
      <xdr:rowOff>95250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7496175" y="7629525"/>
          <a:ext cx="1590675" cy="2752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(A) Schematický přehled potenciálních mechanismů vedoucích k diabetickému makulárnímu edému. Metabolický stres vyvolaný hyperglykémií vede ke komplexní interakci vedoucí </a:t>
          </a:r>
          <a:r>
            <a:rPr lang="cs-CZ" sz="900" b="1" u="sng"/>
            <a:t>k poškození cév a narušení hematoretinální bariéry </a:t>
          </a:r>
          <a:r>
            <a:rPr lang="cs-CZ" sz="900" b="1"/>
            <a:t>(</a:t>
          </a:r>
          <a:r>
            <a:rPr lang="cs-CZ" sz="900" b="1" u="sng"/>
            <a:t>BRB</a:t>
          </a:r>
          <a:r>
            <a:rPr lang="cs-CZ" sz="900" b="1"/>
            <a:t> -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viz pozn. 79 </a:t>
          </a:r>
          <a:r>
            <a:rPr lang="cs-CZ" sz="900" b="1"/>
            <a:t>). </a:t>
          </a:r>
        </a:p>
        <a:p>
          <a:pPr algn="l"/>
          <a:r>
            <a:rPr lang="cs-CZ" sz="900" b="1"/>
            <a:t>(B) Dezorganizace BRB a hypoperfuze způsobuje extravazaci tekutin, neovaskularizaci a následný edém.</a:t>
          </a:r>
        </a:p>
        <a:p>
          <a:pPr algn="l"/>
          <a:r>
            <a:rPr lang="cs-CZ" sz="900" b="1"/>
            <a:t>(C) Chronický otok makuly vede k poškození neurální sítnice a ztrátě fotoreceptorů </a:t>
          </a:r>
          <a:r>
            <a:rPr lang="cs-CZ" sz="900" b="1" u="sng"/>
            <a:t>(viz pozn. 78 a  Příloha</a:t>
          </a:r>
          <a:r>
            <a:rPr lang="cs-CZ" sz="900" b="1" u="sng" baseline="0"/>
            <a:t> č. 10)</a:t>
          </a:r>
          <a:endParaRPr lang="cs-CZ" sz="900" b="1" u="sng"/>
        </a:p>
      </xdr:txBody>
    </xdr:sp>
    <xdr:clientData/>
  </xdr:twoCellAnchor>
  <xdr:twoCellAnchor editAs="oneCell">
    <xdr:from>
      <xdr:col>18</xdr:col>
      <xdr:colOff>104775</xdr:colOff>
      <xdr:row>2</xdr:row>
      <xdr:rowOff>9526</xdr:rowOff>
    </xdr:from>
    <xdr:to>
      <xdr:col>32</xdr:col>
      <xdr:colOff>190500</xdr:colOff>
      <xdr:row>34</xdr:row>
      <xdr:rowOff>9782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390526"/>
          <a:ext cx="8620125" cy="6096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152400</xdr:colOff>
      <xdr:row>1</xdr:row>
      <xdr:rowOff>190499</xdr:rowOff>
    </xdr:from>
    <xdr:to>
      <xdr:col>32</xdr:col>
      <xdr:colOff>219075</xdr:colOff>
      <xdr:row>15</xdr:row>
      <xdr:rowOff>85724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6611600" y="380999"/>
          <a:ext cx="3114675" cy="2562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900" b="1"/>
        </a:p>
        <a:p>
          <a:pPr algn="l"/>
          <a:r>
            <a:rPr lang="cs-CZ" sz="900" b="1"/>
            <a:t>Např. IDF doporučení</a:t>
          </a:r>
          <a:r>
            <a:rPr lang="cs-CZ" sz="900" b="1" baseline="30000"/>
            <a:t>26 </a:t>
          </a:r>
          <a:r>
            <a:rPr lang="cs-CZ" sz="900" b="1"/>
            <a:t>z roku 2019 používá jako kritérium</a:t>
          </a:r>
          <a:r>
            <a:rPr lang="cs-CZ" sz="900" b="1" baseline="0"/>
            <a:t> pro zahájení farmakoterapie zrakovou ostrost, konkrétně hodnotu 6/9 (resp. 20/30  - viz pozn. 11) .</a:t>
          </a:r>
          <a:endParaRPr lang="cs-CZ" sz="900" b="1"/>
        </a:p>
        <a:p>
          <a:pPr algn="l"/>
          <a:r>
            <a:rPr lang="cs-CZ" sz="900" b="1"/>
            <a:t>I když je souhlas, že zraková ostrost je standardizovanější než parametry OCT (včetně tloušťky centrální sítnice [CRT/CST] nebo tloušťky centrální fovey [CFT]), anglická  </a:t>
          </a:r>
          <a:r>
            <a:rPr lang="cs-CZ" sz="900" b="1" u="none"/>
            <a:t>NICE doporučuje farmakologickou léčbu DME u očí s CRT &gt; 400 </a:t>
          </a:r>
          <a:r>
            <a:rPr lang="el-GR" sz="900" b="1" u="none"/>
            <a:t>μ</a:t>
          </a:r>
          <a:r>
            <a:rPr lang="cs-CZ" sz="900" b="1" u="none"/>
            <a:t>m,</a:t>
          </a:r>
          <a:r>
            <a:rPr lang="cs-CZ" sz="900" b="1" u="none" baseline="0"/>
            <a:t> e</a:t>
          </a:r>
          <a:r>
            <a:rPr lang="cs-CZ" sz="900" b="1" u="none"/>
            <a:t>xistuje však určitá nejednoznačnost ohledně přesných měření významnosti. Podle odborníků by u DME  mělo být příslušné měření CRT provedeno v centrálním 1 mm (ETDRS) kruhu od fovey</a:t>
          </a:r>
          <a:r>
            <a:rPr lang="cs-CZ" sz="900" b="1" u="none" baseline="0"/>
            <a:t> (</a:t>
          </a:r>
          <a:r>
            <a:rPr lang="cs-CZ" sz="900" b="1"/>
            <a:t>NICE nedoporučuje farmakoterapii DME u očí</a:t>
          </a:r>
          <a:r>
            <a:rPr lang="cs-CZ" sz="900" b="1" baseline="0"/>
            <a:t> </a:t>
          </a:r>
          <a:r>
            <a:rPr lang="cs-CZ" sz="900" b="1"/>
            <a:t> s CRT &lt;400 </a:t>
          </a:r>
          <a:r>
            <a:rPr lang="el-GR" sz="900" b="1"/>
            <a:t>μ</a:t>
          </a:r>
          <a:r>
            <a:rPr lang="cs-CZ" sz="900" b="1"/>
            <a:t>m, protože taková léčba, i když je klinicky účinná, není považována za nákladově efektivní).  </a:t>
          </a:r>
          <a:r>
            <a:rPr lang="cs-CZ" sz="900" b="1" u="sng"/>
            <a:t>V ČR je jednou z úhradových podmínek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CRT &gt; 300 </a:t>
          </a:r>
          <a:r>
            <a:rPr lang="el-GR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μ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m, ale jednou z dalších "vstupní" zraková</a:t>
          </a:r>
          <a:r>
            <a:rPr lang="cs-CZ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ostrost (VA)  6/12-6/48,</a:t>
          </a:r>
          <a:r>
            <a:rPr lang="cs-CZ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proto bylo toto  anglické doporučení upraveno autorem FE analýzy.</a:t>
          </a:r>
          <a:endParaRPr lang="cs-CZ" sz="900" b="1" u="none"/>
        </a:p>
      </xdr:txBody>
    </xdr:sp>
    <xdr:clientData/>
  </xdr:twoCellAnchor>
  <xdr:twoCellAnchor>
    <xdr:from>
      <xdr:col>33</xdr:col>
      <xdr:colOff>419100</xdr:colOff>
      <xdr:row>6</xdr:row>
      <xdr:rowOff>28575</xdr:rowOff>
    </xdr:from>
    <xdr:to>
      <xdr:col>35</xdr:col>
      <xdr:colOff>314325</xdr:colOff>
      <xdr:row>9</xdr:row>
      <xdr:rowOff>142875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20535900" y="1171575"/>
          <a:ext cx="111442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900" b="1" u="none"/>
        </a:p>
      </xdr:txBody>
    </xdr:sp>
    <xdr:clientData/>
  </xdr:twoCellAnchor>
  <xdr:twoCellAnchor>
    <xdr:from>
      <xdr:col>24</xdr:col>
      <xdr:colOff>238125</xdr:colOff>
      <xdr:row>1</xdr:row>
      <xdr:rowOff>142876</xdr:rowOff>
    </xdr:from>
    <xdr:to>
      <xdr:col>26</xdr:col>
      <xdr:colOff>57151</xdr:colOff>
      <xdr:row>4</xdr:row>
      <xdr:rowOff>114300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4868525" y="333376"/>
          <a:ext cx="103822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800" b="1" u="none"/>
            <a:t>CI-DME s  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CRT &gt; 300 </a:t>
          </a:r>
          <a:r>
            <a:rPr lang="el-GR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μ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 a VA 6/12-6/48</a:t>
          </a:r>
          <a:endParaRPr lang="cs-CZ" sz="800" b="1" u="none"/>
        </a:p>
      </xdr:txBody>
    </xdr:sp>
    <xdr:clientData/>
  </xdr:twoCellAnchor>
  <xdr:twoCellAnchor>
    <xdr:from>
      <xdr:col>18</xdr:col>
      <xdr:colOff>361950</xdr:colOff>
      <xdr:row>10</xdr:row>
      <xdr:rowOff>76200</xdr:rowOff>
    </xdr:from>
    <xdr:to>
      <xdr:col>23</xdr:col>
      <xdr:colOff>114299</xdr:colOff>
      <xdr:row>15</xdr:row>
      <xdr:rowOff>85725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1334750" y="1981200"/>
          <a:ext cx="2800349" cy="962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50" b="1"/>
            <a:t>LP Iluvien se doporučuje pouze u pacientů, kteří nedostatečně reagují na dostupné terapie. LP Iluvien neužívat během těhotenství. Ozurdex se během těhotenství nedoporučuje, pokud potenciální přínos neospravedlňuje potenciální riziko pro plod.</a:t>
          </a:r>
        </a:p>
        <a:p>
          <a:pPr algn="l"/>
          <a:r>
            <a:rPr lang="cs-CZ" sz="850" b="1" u="sng"/>
            <a:t>V</a:t>
          </a:r>
          <a:r>
            <a:rPr lang="cs-CZ" sz="850" b="1" u="sng" baseline="0"/>
            <a:t> ČR kortik. LP Iluvien a Ozurdex nemají na DME úhradu !</a:t>
          </a:r>
          <a:endParaRPr lang="cs-CZ" sz="850" b="1" u="sng"/>
        </a:p>
      </xdr:txBody>
    </xdr:sp>
    <xdr:clientData/>
  </xdr:twoCellAnchor>
  <xdr:twoCellAnchor>
    <xdr:from>
      <xdr:col>22</xdr:col>
      <xdr:colOff>285750</xdr:colOff>
      <xdr:row>13</xdr:row>
      <xdr:rowOff>148167</xdr:rowOff>
    </xdr:from>
    <xdr:to>
      <xdr:col>25</xdr:col>
      <xdr:colOff>338667</xdr:colOff>
      <xdr:row>29</xdr:row>
      <xdr:rowOff>95250</xdr:rowOff>
    </xdr:to>
    <xdr:cxnSp macro="">
      <xdr:nvCxnSpPr>
        <xdr:cNvPr id="14" name="Přímá spojnice se šipkou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13790083" y="2624667"/>
          <a:ext cx="1894417" cy="2995083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190500</xdr:colOff>
      <xdr:row>2</xdr:row>
      <xdr:rowOff>114299</xdr:rowOff>
    </xdr:from>
    <xdr:to>
      <xdr:col>23</xdr:col>
      <xdr:colOff>76200</xdr:colOff>
      <xdr:row>10</xdr:row>
      <xdr:rowOff>19050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1163300" y="495299"/>
          <a:ext cx="2933700" cy="1428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50" b="1" u="none"/>
            <a:t>Předběžné hodnocení odpovědi může být provedeno v 5.–6.  měsíci (tj. 1 měsíc po úvodních nasyc. inj.). Oko by mělo být považováno za oko se suboptim. nebo špatnou odezvou, pokud je CST snížena o méně než 20 % na OCT (úroveň dopruč. 2, A). Při použití zrak. ostrosti jako měřítka zlepšení je třeba dbát opatrnosti, protože reprodukovatelnost může být nízká.</a:t>
          </a:r>
          <a:r>
            <a:rPr lang="cs-CZ" sz="850" b="1" u="none" baseline="0"/>
            <a:t> </a:t>
          </a:r>
          <a:r>
            <a:rPr lang="cs-CZ" sz="850" b="1" u="none"/>
            <a:t> Při změně</a:t>
          </a:r>
          <a:r>
            <a:rPr lang="cs-CZ" sz="850" b="1" u="none" baseline="0"/>
            <a:t> terapie </a:t>
          </a:r>
          <a:r>
            <a:rPr lang="cs-CZ" sz="850" b="1" u="none"/>
            <a:t>se očekávají </a:t>
          </a:r>
          <a:r>
            <a:rPr lang="cs-CZ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přírůstky zrakové ostrosti </a:t>
          </a:r>
          <a:r>
            <a:rPr lang="cs-CZ" sz="850" b="1" u="none"/>
            <a:t>kolem &lt;5 písmen a když se CST nemění nebo se nadále zvyšuje (i přes zahájení tří 4týdenních inj.), doporučuje se včasné rozhodnutí o přechodu na jinou léčbu!</a:t>
          </a:r>
        </a:p>
      </xdr:txBody>
    </xdr:sp>
    <xdr:clientData/>
  </xdr:twoCellAnchor>
  <xdr:twoCellAnchor>
    <xdr:from>
      <xdr:col>19</xdr:col>
      <xdr:colOff>133352</xdr:colOff>
      <xdr:row>9</xdr:row>
      <xdr:rowOff>123825</xdr:rowOff>
    </xdr:from>
    <xdr:to>
      <xdr:col>20</xdr:col>
      <xdr:colOff>552450</xdr:colOff>
      <xdr:row>18</xdr:row>
      <xdr:rowOff>152400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 flipV="1">
          <a:off x="11715752" y="1838325"/>
          <a:ext cx="1028698" cy="17430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238125</xdr:colOff>
      <xdr:row>8</xdr:row>
      <xdr:rowOff>104775</xdr:rowOff>
    </xdr:from>
    <xdr:to>
      <xdr:col>25</xdr:col>
      <xdr:colOff>447675</xdr:colOff>
      <xdr:row>19</xdr:row>
      <xdr:rowOff>171451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flipH="1" flipV="1">
          <a:off x="13649325" y="1628775"/>
          <a:ext cx="2038350" cy="2162176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114300</xdr:colOff>
      <xdr:row>5</xdr:row>
      <xdr:rowOff>47625</xdr:rowOff>
    </xdr:from>
    <xdr:to>
      <xdr:col>27</xdr:col>
      <xdr:colOff>219075</xdr:colOff>
      <xdr:row>15</xdr:row>
      <xdr:rowOff>142875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15354300" y="1000125"/>
          <a:ext cx="1323975" cy="200025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25</xdr:col>
      <xdr:colOff>518584</xdr:colOff>
      <xdr:row>13</xdr:row>
      <xdr:rowOff>169334</xdr:rowOff>
    </xdr:from>
    <xdr:to>
      <xdr:col>26</xdr:col>
      <xdr:colOff>603249</xdr:colOff>
      <xdr:row>14</xdr:row>
      <xdr:rowOff>116417</xdr:rowOff>
    </xdr:to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5864417" y="2645834"/>
          <a:ext cx="698499" cy="137583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25</xdr:col>
      <xdr:colOff>137584</xdr:colOff>
      <xdr:row>30</xdr:row>
      <xdr:rowOff>21167</xdr:rowOff>
    </xdr:from>
    <xdr:to>
      <xdr:col>26</xdr:col>
      <xdr:colOff>338665</xdr:colOff>
      <xdr:row>30</xdr:row>
      <xdr:rowOff>169333</xdr:rowOff>
    </xdr:to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15483417" y="5736167"/>
          <a:ext cx="814915" cy="148166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22</xdr:col>
      <xdr:colOff>275167</xdr:colOff>
      <xdr:row>13</xdr:row>
      <xdr:rowOff>179917</xdr:rowOff>
    </xdr:from>
    <xdr:to>
      <xdr:col>26</xdr:col>
      <xdr:colOff>10585</xdr:colOff>
      <xdr:row>14</xdr:row>
      <xdr:rowOff>127001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 flipH="1" flipV="1">
          <a:off x="13779500" y="2656417"/>
          <a:ext cx="2190752" cy="137584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433917</xdr:colOff>
      <xdr:row>7</xdr:row>
      <xdr:rowOff>21165</xdr:rowOff>
    </xdr:from>
    <xdr:to>
      <xdr:col>26</xdr:col>
      <xdr:colOff>508000</xdr:colOff>
      <xdr:row>8</xdr:row>
      <xdr:rowOff>10583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5779750" y="1354665"/>
          <a:ext cx="687917" cy="179918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750" b="1" u="none">
              <a:solidFill>
                <a:schemeClr val="bg1"/>
              </a:solidFill>
            </a:rPr>
            <a:t>viz pozn. 95</a:t>
          </a:r>
        </a:p>
      </xdr:txBody>
    </xdr:sp>
    <xdr:clientData/>
  </xdr:twoCellAnchor>
  <xdr:twoCellAnchor>
    <xdr:from>
      <xdr:col>23</xdr:col>
      <xdr:colOff>328083</xdr:colOff>
      <xdr:row>7</xdr:row>
      <xdr:rowOff>21166</xdr:rowOff>
    </xdr:from>
    <xdr:to>
      <xdr:col>24</xdr:col>
      <xdr:colOff>402167</xdr:colOff>
      <xdr:row>8</xdr:row>
      <xdr:rowOff>10584</xdr:rowOff>
    </xdr:to>
    <xdr:sp macro="" textlink="">
      <xdr:nvSpPr>
        <xdr:cNvPr id="33" name="TextovéPol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14446250" y="1354666"/>
          <a:ext cx="687917" cy="179918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750" b="1" u="none">
              <a:solidFill>
                <a:schemeClr val="bg1"/>
              </a:solidFill>
            </a:rPr>
            <a:t>viz pozn. 95</a:t>
          </a:r>
        </a:p>
      </xdr:txBody>
    </xdr:sp>
    <xdr:clientData/>
  </xdr:twoCellAnchor>
  <xdr:twoCellAnchor>
    <xdr:from>
      <xdr:col>26</xdr:col>
      <xdr:colOff>57151</xdr:colOff>
      <xdr:row>3</xdr:row>
      <xdr:rowOff>33338</xdr:rowOff>
    </xdr:from>
    <xdr:to>
      <xdr:col>27</xdr:col>
      <xdr:colOff>222250</xdr:colOff>
      <xdr:row>4</xdr:row>
      <xdr:rowOff>84667</xdr:rowOff>
    </xdr:to>
    <xdr:cxnSp macro="">
      <xdr:nvCxnSpPr>
        <xdr:cNvPr id="34" name="Přímá spojnice se šipkou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>
          <a:stCxn id="10" idx="3"/>
        </xdr:cNvCxnSpPr>
      </xdr:nvCxnSpPr>
      <xdr:spPr>
        <a:xfrm>
          <a:off x="15906751" y="604838"/>
          <a:ext cx="774699" cy="24182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43391</xdr:colOff>
      <xdr:row>39</xdr:row>
      <xdr:rowOff>107948</xdr:rowOff>
    </xdr:from>
    <xdr:to>
      <xdr:col>30</xdr:col>
      <xdr:colOff>550332</xdr:colOff>
      <xdr:row>46</xdr:row>
      <xdr:rowOff>50798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3891" y="7537448"/>
          <a:ext cx="6031441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74085</xdr:colOff>
      <xdr:row>37</xdr:row>
      <xdr:rowOff>1</xdr:rowOff>
    </xdr:from>
    <xdr:to>
      <xdr:col>34</xdr:col>
      <xdr:colOff>370417</xdr:colOff>
      <xdr:row>39</xdr:row>
      <xdr:rowOff>178121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3085" y="7048501"/>
          <a:ext cx="10117665" cy="55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66674</xdr:rowOff>
    </xdr:from>
    <xdr:to>
      <xdr:col>44</xdr:col>
      <xdr:colOff>202406</xdr:colOff>
      <xdr:row>53</xdr:row>
      <xdr:rowOff>23811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90525" y="66674"/>
          <a:ext cx="26529506" cy="100536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504825</xdr:colOff>
      <xdr:row>23</xdr:row>
      <xdr:rowOff>57152</xdr:rowOff>
    </xdr:from>
    <xdr:to>
      <xdr:col>10</xdr:col>
      <xdr:colOff>200025</xdr:colOff>
      <xdr:row>26</xdr:row>
      <xdr:rowOff>19050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04825" y="4438652"/>
          <a:ext cx="5791200" cy="53339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Rameno faricimabu s personalizovaným léčebným intervalem (tzv. "PTI režim") zahrnovalo nespočet různých individualizovaných léčebných schémat, přičemž rozdíly byly pozorovány nejen mezi pacienty, ale také u stejného pac. v průběhu léčby - režim PTI zahrnoval možnost prodloužit i zkrátit intervaly mezi dávkami podle potřeb léčby pac.</a:t>
          </a:r>
          <a:endParaRPr lang="cs-CZ" sz="900" b="1" u="none"/>
        </a:p>
      </xdr:txBody>
    </xdr:sp>
    <xdr:clientData/>
  </xdr:twoCellAnchor>
  <xdr:twoCellAnchor editAs="oneCell">
    <xdr:from>
      <xdr:col>0</xdr:col>
      <xdr:colOff>495302</xdr:colOff>
      <xdr:row>0</xdr:row>
      <xdr:rowOff>171451</xdr:rowOff>
    </xdr:from>
    <xdr:to>
      <xdr:col>10</xdr:col>
      <xdr:colOff>152400</xdr:colOff>
      <xdr:row>23</xdr:row>
      <xdr:rowOff>49387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2" y="171451"/>
          <a:ext cx="5753098" cy="425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247650</xdr:colOff>
      <xdr:row>0</xdr:row>
      <xdr:rowOff>171450</xdr:rowOff>
    </xdr:from>
    <xdr:to>
      <xdr:col>19</xdr:col>
      <xdr:colOff>511969</xdr:colOff>
      <xdr:row>4</xdr:row>
      <xdr:rowOff>152400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71450"/>
          <a:ext cx="5750719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238125</xdr:colOff>
      <xdr:row>4</xdr:row>
      <xdr:rowOff>142875</xdr:rowOff>
    </xdr:from>
    <xdr:to>
      <xdr:col>19</xdr:col>
      <xdr:colOff>502444</xdr:colOff>
      <xdr:row>11</xdr:row>
      <xdr:rowOff>123825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904875"/>
          <a:ext cx="57507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228600</xdr:colOff>
      <xdr:row>11</xdr:row>
      <xdr:rowOff>104776</xdr:rowOff>
    </xdr:from>
    <xdr:to>
      <xdr:col>19</xdr:col>
      <xdr:colOff>523265</xdr:colOff>
      <xdr:row>25</xdr:row>
      <xdr:rowOff>9526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200276"/>
          <a:ext cx="578106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380999</xdr:colOff>
      <xdr:row>3</xdr:row>
      <xdr:rowOff>152400</xdr:rowOff>
    </xdr:from>
    <xdr:to>
      <xdr:col>9</xdr:col>
      <xdr:colOff>133350</xdr:colOff>
      <xdr:row>9</xdr:row>
      <xdr:rowOff>123825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038599" y="723900"/>
          <a:ext cx="1581151" cy="11144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123825</xdr:colOff>
      <xdr:row>3</xdr:row>
      <xdr:rowOff>95250</xdr:rowOff>
    </xdr:from>
    <xdr:to>
      <xdr:col>18</xdr:col>
      <xdr:colOff>485776</xdr:colOff>
      <xdr:row>9</xdr:row>
      <xdr:rowOff>142875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9877425" y="666750"/>
          <a:ext cx="1581151" cy="11906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</xdr:colOff>
      <xdr:row>8</xdr:row>
      <xdr:rowOff>19051</xdr:rowOff>
    </xdr:from>
    <xdr:to>
      <xdr:col>3</xdr:col>
      <xdr:colOff>295275</xdr:colOff>
      <xdr:row>9</xdr:row>
      <xdr:rowOff>178064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219203" y="1543051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16</xdr:col>
      <xdr:colOff>161926</xdr:colOff>
      <xdr:row>17</xdr:row>
      <xdr:rowOff>47625</xdr:rowOff>
    </xdr:from>
    <xdr:to>
      <xdr:col>18</xdr:col>
      <xdr:colOff>466726</xdr:colOff>
      <xdr:row>23</xdr:row>
      <xdr:rowOff>38100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9915526" y="3286125"/>
          <a:ext cx="1524000" cy="113347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381000</xdr:colOff>
      <xdr:row>15</xdr:row>
      <xdr:rowOff>180975</xdr:rowOff>
    </xdr:from>
    <xdr:to>
      <xdr:col>9</xdr:col>
      <xdr:colOff>133350</xdr:colOff>
      <xdr:row>21</xdr:row>
      <xdr:rowOff>152400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4038600" y="3038475"/>
          <a:ext cx="1581150" cy="11144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600077</xdr:colOff>
      <xdr:row>20</xdr:row>
      <xdr:rowOff>104776</xdr:rowOff>
    </xdr:from>
    <xdr:to>
      <xdr:col>3</xdr:col>
      <xdr:colOff>285749</xdr:colOff>
      <xdr:row>22</xdr:row>
      <xdr:rowOff>73289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209677" y="3914776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11</xdr:col>
      <xdr:colOff>352425</xdr:colOff>
      <xdr:row>21</xdr:row>
      <xdr:rowOff>180976</xdr:rowOff>
    </xdr:from>
    <xdr:to>
      <xdr:col>13</xdr:col>
      <xdr:colOff>38097</xdr:colOff>
      <xdr:row>23</xdr:row>
      <xdr:rowOff>149489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7058025" y="4181476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11</xdr:col>
      <xdr:colOff>371475</xdr:colOff>
      <xdr:row>8</xdr:row>
      <xdr:rowOff>57150</xdr:rowOff>
    </xdr:from>
    <xdr:to>
      <xdr:col>13</xdr:col>
      <xdr:colOff>57147</xdr:colOff>
      <xdr:row>10</xdr:row>
      <xdr:rowOff>25663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7077075" y="1581150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21</xdr:col>
      <xdr:colOff>137583</xdr:colOff>
      <xdr:row>23</xdr:row>
      <xdr:rowOff>31750</xdr:rowOff>
    </xdr:from>
    <xdr:to>
      <xdr:col>31</xdr:col>
      <xdr:colOff>127000</xdr:colOff>
      <xdr:row>25</xdr:row>
      <xdr:rowOff>179917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3028083" y="4413250"/>
          <a:ext cx="6127750" cy="52916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/>
            <a:t>                              </a:t>
          </a:r>
          <a:r>
            <a:rPr lang="cs-CZ" sz="900" b="1" u="sng"/>
            <a:t>There were no IOI events associated with retinal vasculitis or occlusive disease in any treatment                         arms based until Week</a:t>
          </a:r>
          <a:r>
            <a:rPr lang="cs-CZ" sz="900" b="1" u="sng" baseline="0"/>
            <a:t> 56! </a:t>
          </a:r>
          <a:r>
            <a:rPr lang="cs-CZ" sz="900" b="1" u="sng"/>
            <a:t>After Week 56 to the Clinical Cut-Off Date, there were no additional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IOI events associated with</a:t>
          </a:r>
        </a:p>
        <a:p>
          <a:pPr algn="l"/>
          <a:r>
            <a:rPr lang="cs-CZ" sz="9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retinal vasculitis or occlusive disease in any treatment arms </a:t>
          </a:r>
          <a:r>
            <a:rPr lang="cs-CZ" sz="900" b="1"/>
            <a:t>!</a:t>
          </a:r>
          <a:endParaRPr lang="cs-CZ" sz="900" b="1" u="none"/>
        </a:p>
      </xdr:txBody>
    </xdr:sp>
    <xdr:clientData/>
  </xdr:twoCellAnchor>
  <xdr:twoCellAnchor editAs="oneCell">
    <xdr:from>
      <xdr:col>21</xdr:col>
      <xdr:colOff>95250</xdr:colOff>
      <xdr:row>1</xdr:row>
      <xdr:rowOff>52917</xdr:rowOff>
    </xdr:from>
    <xdr:to>
      <xdr:col>31</xdr:col>
      <xdr:colOff>142875</xdr:colOff>
      <xdr:row>3</xdr:row>
      <xdr:rowOff>148167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243417"/>
          <a:ext cx="618595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105834</xdr:colOff>
      <xdr:row>3</xdr:row>
      <xdr:rowOff>148166</xdr:rowOff>
    </xdr:from>
    <xdr:to>
      <xdr:col>31</xdr:col>
      <xdr:colOff>134409</xdr:colOff>
      <xdr:row>22</xdr:row>
      <xdr:rowOff>176741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7434" y="719666"/>
          <a:ext cx="6124575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66675</xdr:colOff>
      <xdr:row>23</xdr:row>
      <xdr:rowOff>28575</xdr:rowOff>
    </xdr:from>
    <xdr:to>
      <xdr:col>31</xdr:col>
      <xdr:colOff>295275</xdr:colOff>
      <xdr:row>26</xdr:row>
      <xdr:rowOff>57150</xdr:rowOff>
    </xdr:to>
    <xdr:sp macro="" textlink="">
      <xdr:nvSpPr>
        <xdr:cNvPr id="21" name="Ovál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12868275" y="4410075"/>
          <a:ext cx="6324600" cy="60007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228601</xdr:colOff>
      <xdr:row>7</xdr:row>
      <xdr:rowOff>47624</xdr:rowOff>
    </xdr:from>
    <xdr:to>
      <xdr:col>26</xdr:col>
      <xdr:colOff>180975</xdr:colOff>
      <xdr:row>23</xdr:row>
      <xdr:rowOff>47625</xdr:rowOff>
    </xdr:to>
    <xdr:sp macro="" textlink="">
      <xdr:nvSpPr>
        <xdr:cNvPr id="23" name="Ovál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14859001" y="1381124"/>
          <a:ext cx="1171574" cy="3048001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492918</xdr:colOff>
      <xdr:row>27</xdr:row>
      <xdr:rowOff>185209</xdr:rowOff>
    </xdr:from>
    <xdr:to>
      <xdr:col>30</xdr:col>
      <xdr:colOff>142874</xdr:colOff>
      <xdr:row>35</xdr:row>
      <xdr:rowOff>178595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7779543" y="5328709"/>
          <a:ext cx="10579894" cy="15173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nVPMD aplikovány buď: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pevných (fixních) minimálně /maximálně doporučených (dle SPC daného anti-VEGF přípravku) intervalech (dle aktivity onemocnění) nebo ● adaptivním způsobem, ten může být dvojí: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re nata přístupu (tzv. PRN, někdy nazýván také jako „reaktivní“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přichází na kontroly v pevně stanovených intervalech, ale léčba je podávána pouze v případě, že je detekována aktivita onemocnění (viz  pozn. 5).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dostane anti-VEGF přípravek při každé kontrole, ale interval další kontroly se event. zkrátí či prodlouží podle anatomických a/nebo zrakových parametrů výsledků kontroly (viz výše pozn. 5).</a:t>
          </a:r>
        </a:p>
        <a:p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Upraveno dle: https://en.wikipedia.org/w/index.php?title=Macular_degeneration&amp;oldid=1127887761 ze dne 30.12.2022</a:t>
          </a:r>
        </a:p>
        <a:p>
          <a:endParaRPr lang="cs-CZ" sz="1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DME aplikovány buď: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v pevných fixních) minimálně /maximálně doporučených (dle SPC daného anti-VEGF přípravku) intervalech (dle aktivity onemocnění) nebo ● adaptivním způsobem -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režim z DRCR.net studie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(tzv. Protocol T - pro aflibercept a ranibizumab) – viz Příloha č. 15</a:t>
          </a:r>
          <a:endParaRPr lang="cs-CZ" sz="1000" b="1" u="none"/>
        </a:p>
      </xdr:txBody>
    </xdr:sp>
    <xdr:clientData/>
  </xdr:twoCellAnchor>
  <xdr:twoCellAnchor editAs="oneCell">
    <xdr:from>
      <xdr:col>1</xdr:col>
      <xdr:colOff>59530</xdr:colOff>
      <xdr:row>29</xdr:row>
      <xdr:rowOff>95250</xdr:rowOff>
    </xdr:from>
    <xdr:to>
      <xdr:col>3</xdr:col>
      <xdr:colOff>69056</xdr:colOff>
      <xdr:row>35</xdr:row>
      <xdr:rowOff>66675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4BC3E17E-BA2B-45B0-90DA-8A5BFE00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19750"/>
          <a:ext cx="122396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35</xdr:row>
      <xdr:rowOff>59531</xdr:rowOff>
    </xdr:from>
    <xdr:to>
      <xdr:col>3</xdr:col>
      <xdr:colOff>69057</xdr:colOff>
      <xdr:row>36</xdr:row>
      <xdr:rowOff>50006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EA91FFD9-578D-40E9-8484-D09E1BCD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727031"/>
          <a:ext cx="12239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29</xdr:row>
      <xdr:rowOff>95250</xdr:rowOff>
    </xdr:from>
    <xdr:to>
      <xdr:col>7</xdr:col>
      <xdr:colOff>40481</xdr:colOff>
      <xdr:row>35</xdr:row>
      <xdr:rowOff>76200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C1EA5F43-8133-4AC5-89FB-73B0B28E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281" y="5619750"/>
          <a:ext cx="242173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35</xdr:row>
      <xdr:rowOff>59532</xdr:rowOff>
    </xdr:from>
    <xdr:to>
      <xdr:col>7</xdr:col>
      <xdr:colOff>30956</xdr:colOff>
      <xdr:row>36</xdr:row>
      <xdr:rowOff>50007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58122E2-3030-4B5D-A0DD-CBEEEF8E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727032"/>
          <a:ext cx="242173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523873</xdr:colOff>
      <xdr:row>36</xdr:row>
      <xdr:rowOff>107158</xdr:rowOff>
    </xdr:from>
    <xdr:to>
      <xdr:col>7</xdr:col>
      <xdr:colOff>309563</xdr:colOff>
      <xdr:row>41</xdr:row>
      <xdr:rowOff>59532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D80C1F5-B328-4F81-B62C-57DD22B0F6C5}"/>
            </a:ext>
          </a:extLst>
        </xdr:cNvPr>
        <xdr:cNvSpPr txBox="1"/>
      </xdr:nvSpPr>
      <xdr:spPr>
        <a:xfrm>
          <a:off x="523873" y="6965158"/>
          <a:ext cx="4036221" cy="9048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/>
            <a:t>Z</a:t>
          </a:r>
          <a:r>
            <a:rPr lang="cs-CZ" sz="1000"/>
            <a:t>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celospolečenského hlediska byly celkové náklady (zdravotní i sociální) vynaložené v ČR za 1 rok pro nevidomého seniora žijícího v domácím prostředí v roce 2006 vyčísleny</a:t>
          </a:r>
          <a:r>
            <a:rPr lang="cs-CZ" sz="10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125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 tehdejších cenách) na téměř 300.000 Kč, průměrný odhad nákladů na dopravu 1 pac. na 1 oftalmologickou kontrolu je mezi cca 350 - 1.200 Kč dle druhu dopravy</a:t>
          </a:r>
          <a:r>
            <a:rPr lang="cs-CZ" sz="10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127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cs-CZ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cs-CZ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894/Desktop/FE%20anal&#253;zy/HFrEF%20-%20VERQUVO/VERQUVO%20FE%20anal&#253;za%203.0%20bez%20bonus&#367;%20k%2011.10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"/>
      <sheetName val="CEA-ICER+dopor.ESC+úhrad.omezen"/>
      <sheetName val="CEA eff.frontier"/>
      <sheetName val="faktory prefer. přidání VERQUVA"/>
      <sheetName val="léčba HFrEF dle článku 2021"/>
      <sheetName val="Obrázky"/>
      <sheetName val="AHA guideline 2022"/>
    </sheetNames>
    <sheetDataSet>
      <sheetData sheetId="0">
        <row r="5">
          <cell r="P5">
            <v>1228532.7039999999</v>
          </cell>
        </row>
        <row r="6">
          <cell r="P6">
            <v>1125788.96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40"/>
  <sheetViews>
    <sheetView tabSelected="1" zoomScale="80" zoomScaleNormal="80" workbookViewId="0">
      <pane xSplit="2" ySplit="3" topLeftCell="G4" activePane="bottomRight" state="frozen"/>
      <selection pane="topRight" activeCell="D1" sqref="D1"/>
      <selection pane="bottomLeft" activeCell="A4" sqref="A4"/>
      <selection pane="bottomRight" activeCell="B3" sqref="B3"/>
    </sheetView>
  </sheetViews>
  <sheetFormatPr defaultRowHeight="15" x14ac:dyDescent="0.25"/>
  <cols>
    <col min="1" max="1" width="2.7109375" customWidth="1"/>
    <col min="2" max="2" width="24.5703125" customWidth="1"/>
    <col min="3" max="3" width="11.42578125" customWidth="1"/>
    <col min="4" max="4" width="10.28515625" customWidth="1"/>
    <col min="5" max="5" width="19.28515625" customWidth="1"/>
    <col min="6" max="6" width="41.85546875" customWidth="1"/>
    <col min="7" max="7" width="29.42578125" customWidth="1"/>
    <col min="8" max="8" width="14.7109375" customWidth="1"/>
    <col min="9" max="9" width="13.7109375" customWidth="1"/>
    <col min="10" max="10" width="5.140625" hidden="1" customWidth="1"/>
    <col min="11" max="11" width="6.42578125" hidden="1" customWidth="1"/>
    <col min="12" max="12" width="15.7109375" customWidth="1"/>
    <col min="13" max="13" width="14.7109375" customWidth="1"/>
    <col min="14" max="14" width="15.28515625" customWidth="1"/>
    <col min="15" max="15" width="14.28515625" customWidth="1"/>
    <col min="16" max="16" width="7.7109375" customWidth="1"/>
    <col min="17" max="17" width="22.140625" customWidth="1"/>
    <col min="18" max="18" width="0.5703125" hidden="1" customWidth="1"/>
    <col min="19" max="19" width="0.28515625" hidden="1" customWidth="1"/>
    <col min="20" max="20" width="15.28515625" customWidth="1"/>
    <col min="21" max="21" width="13" customWidth="1"/>
    <col min="22" max="22" width="7.7109375" customWidth="1"/>
    <col min="23" max="23" width="23.5703125" customWidth="1"/>
    <col min="24" max="24" width="17.28515625" customWidth="1"/>
    <col min="25" max="25" width="23" bestFit="1" customWidth="1"/>
    <col min="26" max="26" width="15.7109375" customWidth="1"/>
    <col min="27" max="27" width="23.85546875" customWidth="1"/>
    <col min="28" max="28" width="12.28515625" customWidth="1"/>
    <col min="29" max="29" width="7.28515625" customWidth="1"/>
    <col min="30" max="30" width="11.7109375" customWidth="1"/>
    <col min="31" max="31" width="10.7109375" hidden="1" customWidth="1"/>
    <col min="32" max="32" width="10.28515625" hidden="1" customWidth="1"/>
    <col min="33" max="34" width="10.28515625" customWidth="1"/>
    <col min="35" max="35" width="0.28515625" customWidth="1"/>
    <col min="36" max="36" width="10.5703125" hidden="1" customWidth="1"/>
    <col min="37" max="37" width="11.28515625" customWidth="1"/>
    <col min="38" max="38" width="10.28515625" customWidth="1"/>
    <col min="39" max="39" width="12.7109375" customWidth="1"/>
    <col min="40" max="40" width="13" customWidth="1"/>
    <col min="41" max="41" width="12.7109375" customWidth="1"/>
    <col min="42" max="42" width="12.28515625" customWidth="1"/>
    <col min="43" max="43" width="12.7109375" customWidth="1"/>
    <col min="44" max="44" width="12.42578125" customWidth="1"/>
    <col min="45" max="45" width="11.42578125" customWidth="1"/>
    <col min="46" max="46" width="11.5703125" customWidth="1"/>
    <col min="47" max="47" width="11.7109375" customWidth="1"/>
    <col min="48" max="48" width="12.5703125" customWidth="1"/>
    <col min="49" max="50" width="11.7109375" customWidth="1"/>
  </cols>
  <sheetData>
    <row r="1" spans="2:50" ht="44.25" customHeight="1" thickBot="1" x14ac:dyDescent="0.3">
      <c r="B1" s="256"/>
      <c r="C1" s="256"/>
      <c r="D1" s="256"/>
      <c r="E1" s="256"/>
      <c r="F1" s="256"/>
      <c r="G1" s="257" t="s">
        <v>153</v>
      </c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8"/>
      <c r="AE1" s="8"/>
      <c r="AF1" s="8"/>
      <c r="AG1" s="8"/>
    </row>
    <row r="2" spans="2:50" ht="0.75" hidden="1" customHeight="1" thickBot="1" x14ac:dyDescent="0.3"/>
    <row r="3" spans="2:50" ht="80.25" customHeight="1" thickTop="1" thickBot="1" x14ac:dyDescent="0.3">
      <c r="B3" s="258" t="s">
        <v>154</v>
      </c>
      <c r="C3" s="3" t="s">
        <v>0</v>
      </c>
      <c r="D3" s="69" t="s">
        <v>3</v>
      </c>
      <c r="E3" s="2" t="s">
        <v>30</v>
      </c>
      <c r="F3" s="2" t="s">
        <v>53</v>
      </c>
      <c r="G3" s="50" t="s">
        <v>16</v>
      </c>
      <c r="H3" s="5" t="s">
        <v>126</v>
      </c>
      <c r="I3" s="5" t="s">
        <v>127</v>
      </c>
      <c r="J3" s="65" t="s">
        <v>66</v>
      </c>
      <c r="K3" s="65" t="s">
        <v>64</v>
      </c>
      <c r="L3" s="66" t="s">
        <v>67</v>
      </c>
      <c r="M3" s="66" t="s">
        <v>146</v>
      </c>
      <c r="N3" s="239" t="s">
        <v>149</v>
      </c>
      <c r="O3" s="66" t="s">
        <v>64</v>
      </c>
      <c r="P3" s="128" t="s">
        <v>93</v>
      </c>
      <c r="Q3" s="128" t="s">
        <v>122</v>
      </c>
      <c r="R3" s="75" t="s">
        <v>72</v>
      </c>
      <c r="S3" s="75" t="s">
        <v>64</v>
      </c>
      <c r="T3" s="32" t="s">
        <v>73</v>
      </c>
      <c r="U3" s="32" t="s">
        <v>64</v>
      </c>
      <c r="V3" s="137" t="s">
        <v>93</v>
      </c>
      <c r="W3" s="137" t="s">
        <v>123</v>
      </c>
      <c r="X3" s="138" t="s">
        <v>95</v>
      </c>
      <c r="Y3" s="138" t="s">
        <v>148</v>
      </c>
      <c r="Z3" s="239" t="s">
        <v>150</v>
      </c>
      <c r="AA3" s="139" t="s">
        <v>124</v>
      </c>
      <c r="AB3" s="155" t="s">
        <v>108</v>
      </c>
      <c r="AC3" s="4" t="s">
        <v>1</v>
      </c>
      <c r="AE3" s="52" t="s">
        <v>58</v>
      </c>
      <c r="AF3" s="52" t="s">
        <v>65</v>
      </c>
      <c r="AG3" s="74" t="s">
        <v>68</v>
      </c>
      <c r="AH3" s="74" t="s">
        <v>69</v>
      </c>
      <c r="AI3" s="52" t="s">
        <v>84</v>
      </c>
      <c r="AJ3" s="52" t="s">
        <v>85</v>
      </c>
      <c r="AK3" s="74" t="s">
        <v>70</v>
      </c>
      <c r="AL3" s="74" t="s">
        <v>71</v>
      </c>
      <c r="AM3" s="143" t="s">
        <v>96</v>
      </c>
      <c r="AN3" s="143" t="s">
        <v>97</v>
      </c>
      <c r="AO3" s="143" t="s">
        <v>98</v>
      </c>
      <c r="AP3" s="143" t="s">
        <v>99</v>
      </c>
      <c r="AQ3" s="144" t="s">
        <v>106</v>
      </c>
      <c r="AR3" s="144" t="s">
        <v>107</v>
      </c>
      <c r="AS3" s="144" t="s">
        <v>100</v>
      </c>
      <c r="AT3" s="144" t="s">
        <v>101</v>
      </c>
      <c r="AU3" s="145" t="s">
        <v>104</v>
      </c>
      <c r="AV3" s="145" t="s">
        <v>105</v>
      </c>
      <c r="AW3" s="145" t="s">
        <v>102</v>
      </c>
      <c r="AX3" s="145" t="s">
        <v>103</v>
      </c>
    </row>
    <row r="4" spans="2:50" ht="45" customHeight="1" thickTop="1" thickBot="1" x14ac:dyDescent="0.3">
      <c r="B4" s="40" t="s">
        <v>130</v>
      </c>
      <c r="C4" s="41" t="s">
        <v>11</v>
      </c>
      <c r="D4" s="41" t="s">
        <v>132</v>
      </c>
      <c r="E4" s="18" t="s">
        <v>22</v>
      </c>
      <c r="F4" s="18" t="s">
        <v>25</v>
      </c>
      <c r="G4" s="18" t="s">
        <v>29</v>
      </c>
      <c r="H4" s="187">
        <v>3756.2</v>
      </c>
      <c r="I4" s="7">
        <f t="shared" ref="I4:I26" si="0">H4-AD4</f>
        <v>3568.39</v>
      </c>
      <c r="J4" s="51">
        <f>I4*7</f>
        <v>24978.73</v>
      </c>
      <c r="K4" s="53">
        <f>J4/AE4</f>
        <v>0.71995394135737545</v>
      </c>
      <c r="L4" s="70">
        <f>J4+((7*2213)+(5*815))</f>
        <v>44544.729999999996</v>
      </c>
      <c r="M4" s="243">
        <f>'úhrady od ZP za léčbu'!L4</f>
        <v>74298.579999999987</v>
      </c>
      <c r="N4" s="236">
        <f xml:space="preserve"> M4-L4</f>
        <v>29753.849999999991</v>
      </c>
      <c r="O4" s="67">
        <f>L4/AG4</f>
        <v>1</v>
      </c>
      <c r="P4" s="124">
        <f>J4/L4</f>
        <v>0.56075612086996607</v>
      </c>
      <c r="Q4" s="141">
        <f>125*(AM4-L4)</f>
        <v>24420.000000000073</v>
      </c>
      <c r="R4" s="80">
        <f>I4*5</f>
        <v>17841.95</v>
      </c>
      <c r="S4" s="76">
        <f>R4/AI4</f>
        <v>0.64281601906908514</v>
      </c>
      <c r="T4" s="119">
        <f>R4+((5*2213)+(7*815))</f>
        <v>34611.949999999997</v>
      </c>
      <c r="U4" s="76">
        <f>T4/AK4</f>
        <v>1.28937119557277</v>
      </c>
      <c r="V4" s="131">
        <f t="shared" ref="V4:V26" si="1">R4/T4</f>
        <v>0.51548525870400264</v>
      </c>
      <c r="W4" s="179">
        <f>125*(AQ4-T4)</f>
        <v>-970986.99999999965</v>
      </c>
      <c r="X4" s="153">
        <f>L4+(2*T4)</f>
        <v>113768.62999999999</v>
      </c>
      <c r="Y4" s="240">
        <f>'úhrady od ZP za léčbu'!V4</f>
        <v>186027.97999999998</v>
      </c>
      <c r="Z4" s="236">
        <f xml:space="preserve"> Y4-X4</f>
        <v>72259.349999999991</v>
      </c>
      <c r="AA4" s="157">
        <f>125*(AU4-X4)</f>
        <v>-1917553.9999999984</v>
      </c>
      <c r="AB4" s="181" t="s">
        <v>125</v>
      </c>
      <c r="AC4" s="62">
        <v>0.05</v>
      </c>
      <c r="AD4" s="6">
        <f t="shared" ref="AD4:AD21" si="2">AC4*H4</f>
        <v>187.81</v>
      </c>
      <c r="AE4" s="19">
        <f>J16</f>
        <v>34694.899999999994</v>
      </c>
      <c r="AF4" s="19"/>
      <c r="AG4" s="19">
        <f>L4</f>
        <v>44544.729999999996</v>
      </c>
      <c r="AI4" s="19">
        <f>R16</f>
        <v>27755.919999999998</v>
      </c>
      <c r="AK4" s="19">
        <f>T23</f>
        <v>26844.054</v>
      </c>
      <c r="AM4" s="19">
        <f>L23</f>
        <v>44740.09</v>
      </c>
      <c r="AQ4" s="19">
        <f>T23</f>
        <v>26844.054</v>
      </c>
      <c r="AU4" s="19">
        <f>X23</f>
        <v>98428.198000000004</v>
      </c>
    </row>
    <row r="5" spans="2:50" ht="42.75" customHeight="1" thickTop="1" thickBot="1" x14ac:dyDescent="0.3">
      <c r="B5" s="34" t="s">
        <v>131</v>
      </c>
      <c r="C5" s="42" t="s">
        <v>11</v>
      </c>
      <c r="D5" s="42" t="s">
        <v>132</v>
      </c>
      <c r="E5" s="13" t="s">
        <v>22</v>
      </c>
      <c r="F5" s="13" t="s">
        <v>26</v>
      </c>
      <c r="G5" s="13" t="s">
        <v>27</v>
      </c>
      <c r="H5" s="188">
        <v>3756.2</v>
      </c>
      <c r="I5" s="15">
        <f t="shared" si="0"/>
        <v>3568.39</v>
      </c>
      <c r="J5" s="17">
        <f>I5*12</f>
        <v>42820.68</v>
      </c>
      <c r="K5" s="54">
        <f>J5/AE5</f>
        <v>1.2342067566126436</v>
      </c>
      <c r="L5" s="71">
        <f>J5+(12*2213)</f>
        <v>69376.679999999993</v>
      </c>
      <c r="M5" s="71">
        <f>'úhrady od ZP za léčbu'!L5</f>
        <v>120383.28</v>
      </c>
      <c r="N5" s="237">
        <f t="shared" ref="N5:N26" si="3" xml:space="preserve"> M5-L5</f>
        <v>51006.600000000006</v>
      </c>
      <c r="O5" s="68">
        <f>L5/AG5</f>
        <v>1.5574610060494249</v>
      </c>
      <c r="P5" s="125">
        <f>J5/L5</f>
        <v>0.61722008029210973</v>
      </c>
      <c r="Q5" s="180">
        <f>125*(AN5-L5)</f>
        <v>-842569.2499999986</v>
      </c>
      <c r="R5" s="81">
        <f>I5*12</f>
        <v>42820.68</v>
      </c>
      <c r="S5" s="77">
        <f>R5/AI5</f>
        <v>1.5427584457658043</v>
      </c>
      <c r="T5" s="120">
        <f>R5+((12*2213))</f>
        <v>69376.679999999993</v>
      </c>
      <c r="U5" s="77">
        <f>T5/AK5</f>
        <v>2.5844337818721419</v>
      </c>
      <c r="V5" s="132">
        <f t="shared" si="1"/>
        <v>0.61722008029210973</v>
      </c>
      <c r="W5" s="180">
        <f>125*(AR5-T5)</f>
        <v>-1961071.4999999991</v>
      </c>
      <c r="X5" s="154">
        <f>L5+(2*T5)</f>
        <v>208130.03999999998</v>
      </c>
      <c r="Y5" s="244">
        <f>'úhrady od ZP za léčbu'!V5</f>
        <v>361149.83999999997</v>
      </c>
      <c r="Z5" s="236">
        <f t="shared" ref="Z5:Z26" si="4" xml:space="preserve"> Y5-X5</f>
        <v>153019.79999999999</v>
      </c>
      <c r="AA5" s="158">
        <f>125*(AV5-X5)</f>
        <v>-4764712.2499999972</v>
      </c>
      <c r="AB5" s="160">
        <f t="shared" ref="AB5:AB22" si="5">Q5/AA5</f>
        <v>0.17683528527876979</v>
      </c>
      <c r="AC5" s="63">
        <v>0.05</v>
      </c>
      <c r="AD5" s="6">
        <f t="shared" si="2"/>
        <v>187.81</v>
      </c>
      <c r="AE5" s="19">
        <f>AE4</f>
        <v>34694.899999999994</v>
      </c>
      <c r="AF5" s="19"/>
      <c r="AG5" s="19">
        <f>L4</f>
        <v>44544.729999999996</v>
      </c>
      <c r="AI5" s="19">
        <f>R16</f>
        <v>27755.919999999998</v>
      </c>
      <c r="AK5" s="19">
        <f>T23</f>
        <v>26844.054</v>
      </c>
      <c r="AM5" s="19"/>
      <c r="AN5" s="19">
        <f>L24</f>
        <v>62636.126000000004</v>
      </c>
      <c r="AR5" s="19">
        <f>T24</f>
        <v>53688.108</v>
      </c>
      <c r="AV5" s="19">
        <f>X24</f>
        <v>170012.342</v>
      </c>
    </row>
    <row r="6" spans="2:50" ht="44.25" customHeight="1" thickTop="1" thickBot="1" x14ac:dyDescent="0.3">
      <c r="B6" s="40" t="s">
        <v>130</v>
      </c>
      <c r="C6" s="43" t="s">
        <v>11</v>
      </c>
      <c r="D6" s="41" t="s">
        <v>132</v>
      </c>
      <c r="E6" s="11" t="s">
        <v>31</v>
      </c>
      <c r="F6" s="11" t="s">
        <v>34</v>
      </c>
      <c r="G6" s="11" t="s">
        <v>35</v>
      </c>
      <c r="H6" s="187">
        <v>3756.2</v>
      </c>
      <c r="I6" s="7">
        <f t="shared" si="0"/>
        <v>3568.39</v>
      </c>
      <c r="J6" s="16">
        <f t="shared" ref="J6:J19" si="6">I6*7</f>
        <v>24978.73</v>
      </c>
      <c r="K6" s="53">
        <f>J6/AF6</f>
        <v>0.59996161779781276</v>
      </c>
      <c r="L6" s="70">
        <f>J6+((7*2213)+(2*815))</f>
        <v>42099.729999999996</v>
      </c>
      <c r="M6" s="70">
        <f>'úhrady od ZP za léčbu'!L6</f>
        <v>71853.579999999987</v>
      </c>
      <c r="N6" s="237">
        <f t="shared" si="3"/>
        <v>29753.849999999991</v>
      </c>
      <c r="O6" s="67">
        <f>L6/AH6</f>
        <v>1</v>
      </c>
      <c r="P6" s="124">
        <f t="shared" ref="P6:P26" si="7">J6/L6</f>
        <v>0.59332280753344502</v>
      </c>
      <c r="Q6" s="141">
        <f>25*(AO6-L6)</f>
        <v>289709.45000000013</v>
      </c>
      <c r="R6" s="80">
        <f>I6*2</f>
        <v>7136.78</v>
      </c>
      <c r="S6" s="76">
        <f>R6/AJ6</f>
        <v>1</v>
      </c>
      <c r="T6" s="80">
        <f>R6+((2*2213)+(3*815))</f>
        <v>14007.779999999999</v>
      </c>
      <c r="U6" s="76">
        <f>T6/AL6</f>
        <v>1</v>
      </c>
      <c r="V6" s="131">
        <f t="shared" si="1"/>
        <v>0.50948687086747513</v>
      </c>
      <c r="W6" s="149">
        <f>25*(AS6-T6)</f>
        <v>320906.85000000003</v>
      </c>
      <c r="X6" s="153">
        <f t="shared" ref="X6:X22" si="8">L6+(2*T6)</f>
        <v>70115.289999999994</v>
      </c>
      <c r="Y6" s="240">
        <f>'úhrady od ZP za léčbu'!V6</f>
        <v>116871.33999999998</v>
      </c>
      <c r="Z6" s="236">
        <f t="shared" si="4"/>
        <v>46756.049999999988</v>
      </c>
      <c r="AA6" s="151">
        <f>25*(AW6-X6)</f>
        <v>931523.15000000014</v>
      </c>
      <c r="AB6" s="156">
        <f t="shared" si="5"/>
        <v>0.31100617306182898</v>
      </c>
      <c r="AC6" s="62">
        <v>0.05</v>
      </c>
      <c r="AD6" s="6">
        <f t="shared" si="2"/>
        <v>187.81</v>
      </c>
      <c r="AE6" s="19"/>
      <c r="AF6" s="19">
        <f>J18</f>
        <v>41633.879999999997</v>
      </c>
      <c r="AH6" s="19">
        <f>L6</f>
        <v>42099.729999999996</v>
      </c>
      <c r="AJ6" s="19">
        <f>R6</f>
        <v>7136.78</v>
      </c>
      <c r="AL6" s="19">
        <f>T6</f>
        <v>14007.779999999999</v>
      </c>
      <c r="AO6" s="19">
        <f>L25</f>
        <v>53688.108</v>
      </c>
      <c r="AS6" s="19">
        <f>T25</f>
        <v>26844.054</v>
      </c>
      <c r="AW6" s="19">
        <f>X25</f>
        <v>107376.216</v>
      </c>
    </row>
    <row r="7" spans="2:50" ht="45.75" customHeight="1" thickTop="1" thickBot="1" x14ac:dyDescent="0.3">
      <c r="B7" s="34" t="s">
        <v>131</v>
      </c>
      <c r="C7" s="44" t="s">
        <v>11</v>
      </c>
      <c r="D7" s="42" t="s">
        <v>132</v>
      </c>
      <c r="E7" s="38" t="s">
        <v>32</v>
      </c>
      <c r="F7" s="38" t="s">
        <v>33</v>
      </c>
      <c r="G7" s="38" t="s">
        <v>36</v>
      </c>
      <c r="H7" s="188">
        <v>3756.2</v>
      </c>
      <c r="I7" s="15">
        <f t="shared" si="0"/>
        <v>3568.39</v>
      </c>
      <c r="J7" s="17">
        <f>I7*12</f>
        <v>42820.68</v>
      </c>
      <c r="K7" s="54">
        <f>J7/AF7</f>
        <v>1.0285056305105362</v>
      </c>
      <c r="L7" s="71">
        <f>J7+(12*2213)</f>
        <v>69376.679999999993</v>
      </c>
      <c r="M7" s="71">
        <f>'úhrady od ZP za léčbu'!L7</f>
        <v>120383.28</v>
      </c>
      <c r="N7" s="237">
        <f t="shared" si="3"/>
        <v>51006.600000000006</v>
      </c>
      <c r="O7" s="68">
        <f>L7/AH7</f>
        <v>1.6479127063285204</v>
      </c>
      <c r="P7" s="125">
        <f t="shared" si="7"/>
        <v>0.61722008029210973</v>
      </c>
      <c r="Q7" s="142">
        <f>25*(AP7-L7)</f>
        <v>502587.5</v>
      </c>
      <c r="R7" s="81">
        <f>I7*9</f>
        <v>32115.51</v>
      </c>
      <c r="S7" s="77">
        <f>R7/AJ7</f>
        <v>4.5</v>
      </c>
      <c r="T7" s="81">
        <f>R7+((9*2213)+(1*815))</f>
        <v>52847.509999999995</v>
      </c>
      <c r="U7" s="77">
        <f>T7/AL7</f>
        <v>3.7727255853532822</v>
      </c>
      <c r="V7" s="132">
        <f t="shared" si="1"/>
        <v>0.60770147921822626</v>
      </c>
      <c r="W7" s="147">
        <f>25*(AT7-T7)</f>
        <v>21014.950000000135</v>
      </c>
      <c r="X7" s="154">
        <f t="shared" si="8"/>
        <v>175071.69999999998</v>
      </c>
      <c r="Y7" s="244">
        <f>'úhrady od ZP za léčbu'!V7</f>
        <v>302588.19999999995</v>
      </c>
      <c r="Z7" s="236">
        <f t="shared" si="4"/>
        <v>127516.49999999997</v>
      </c>
      <c r="AA7" s="152">
        <f>25*(AX7-X7)</f>
        <v>544617.40000000061</v>
      </c>
      <c r="AB7" s="159">
        <f t="shared" si="5"/>
        <v>0.92282674038692014</v>
      </c>
      <c r="AC7" s="63">
        <v>0.05</v>
      </c>
      <c r="AD7" s="6">
        <f t="shared" si="2"/>
        <v>187.81</v>
      </c>
      <c r="AE7" s="19"/>
      <c r="AF7" s="19">
        <f>J18</f>
        <v>41633.879999999997</v>
      </c>
      <c r="AH7" s="19">
        <f>L6</f>
        <v>42099.729999999996</v>
      </c>
      <c r="AJ7" s="19">
        <f>R6</f>
        <v>7136.78</v>
      </c>
      <c r="AL7" s="19">
        <f>T6</f>
        <v>14007.779999999999</v>
      </c>
      <c r="AP7" s="19">
        <f>L26</f>
        <v>89480.18</v>
      </c>
      <c r="AT7" s="19">
        <f>T26</f>
        <v>53688.108</v>
      </c>
      <c r="AX7" s="19">
        <f>X26</f>
        <v>196856.39600000001</v>
      </c>
    </row>
    <row r="8" spans="2:50" ht="42.75" customHeight="1" thickTop="1" thickBot="1" x14ac:dyDescent="0.3">
      <c r="B8" s="33" t="s">
        <v>17</v>
      </c>
      <c r="C8" s="43" t="s">
        <v>19</v>
      </c>
      <c r="D8" s="43" t="s">
        <v>18</v>
      </c>
      <c r="E8" s="11" t="s">
        <v>37</v>
      </c>
      <c r="F8" s="11" t="s">
        <v>38</v>
      </c>
      <c r="G8" s="11" t="s">
        <v>39</v>
      </c>
      <c r="H8" s="12">
        <v>7818.79</v>
      </c>
      <c r="I8" s="7">
        <f t="shared" si="0"/>
        <v>7115.0989</v>
      </c>
      <c r="J8" s="16">
        <f t="shared" si="6"/>
        <v>49805.692300000002</v>
      </c>
      <c r="K8" s="53">
        <f>J8/AE8</f>
        <v>1.4355335308647672</v>
      </c>
      <c r="L8" s="70">
        <f>J8+(7*2213)</f>
        <v>65296.692300000002</v>
      </c>
      <c r="M8" s="70">
        <f>'úhrady od ZP za léčbu'!L8</f>
        <v>70223.44</v>
      </c>
      <c r="N8" s="237">
        <f t="shared" si="3"/>
        <v>4926.7476999999999</v>
      </c>
      <c r="O8" s="67">
        <f>L8/AG8</f>
        <v>1.4658679556481768</v>
      </c>
      <c r="P8" s="124">
        <f t="shared" si="7"/>
        <v>0.76275980521604458</v>
      </c>
      <c r="Q8" s="179">
        <f>125*(AM8-L8)</f>
        <v>-2569575.2875000006</v>
      </c>
      <c r="R8" s="80">
        <f>I8*6</f>
        <v>42690.593399999998</v>
      </c>
      <c r="S8" s="76">
        <f>R8/AI8</f>
        <v>1.5380716402122503</v>
      </c>
      <c r="T8" s="80">
        <f>R8+(6*2213)</f>
        <v>55968.593399999998</v>
      </c>
      <c r="U8" s="76">
        <f>T8/AK8</f>
        <v>2.0849530924054913</v>
      </c>
      <c r="V8" s="131">
        <f t="shared" si="1"/>
        <v>0.76275980521604458</v>
      </c>
      <c r="W8" s="179">
        <f>125*(AQ8-T8)</f>
        <v>-3640567.4249999998</v>
      </c>
      <c r="X8" s="153">
        <f t="shared" si="8"/>
        <v>177233.87909999999</v>
      </c>
      <c r="Y8" s="240">
        <f>'úhrady od ZP za léčbu'!V8</f>
        <v>190606.48</v>
      </c>
      <c r="Z8" s="236">
        <f t="shared" si="4"/>
        <v>13372.600900000019</v>
      </c>
      <c r="AA8" s="157">
        <f>125*(AU8-X8)</f>
        <v>-9850710.1374999993</v>
      </c>
      <c r="AB8" s="156">
        <f t="shared" si="5"/>
        <v>0.26085178140792703</v>
      </c>
      <c r="AC8" s="62">
        <v>0.09</v>
      </c>
      <c r="AD8" s="6">
        <f t="shared" si="2"/>
        <v>703.69110000000001</v>
      </c>
      <c r="AE8" s="19">
        <f>J16</f>
        <v>34694.899999999994</v>
      </c>
      <c r="AF8" s="19"/>
      <c r="AG8" s="19">
        <f>L4</f>
        <v>44544.729999999996</v>
      </c>
      <c r="AI8" s="19">
        <f>R16</f>
        <v>27755.919999999998</v>
      </c>
      <c r="AK8" s="19">
        <f>T23</f>
        <v>26844.054</v>
      </c>
      <c r="AM8" s="19">
        <f>L23</f>
        <v>44740.09</v>
      </c>
      <c r="AQ8" s="19">
        <f>T23</f>
        <v>26844.054</v>
      </c>
      <c r="AU8" s="19">
        <f>X23</f>
        <v>98428.198000000004</v>
      </c>
    </row>
    <row r="9" spans="2:50" ht="46.5" customHeight="1" thickTop="1" thickBot="1" x14ac:dyDescent="0.3">
      <c r="B9" s="35" t="s">
        <v>17</v>
      </c>
      <c r="C9" s="44" t="s">
        <v>19</v>
      </c>
      <c r="D9" s="44" t="s">
        <v>18</v>
      </c>
      <c r="E9" s="38" t="s">
        <v>37</v>
      </c>
      <c r="F9" s="13" t="s">
        <v>42</v>
      </c>
      <c r="G9" s="13" t="s">
        <v>40</v>
      </c>
      <c r="H9" s="14">
        <v>7818.79</v>
      </c>
      <c r="I9" s="15">
        <f t="shared" si="0"/>
        <v>7115.0989</v>
      </c>
      <c r="J9" s="17">
        <f>I9*10</f>
        <v>71150.989000000001</v>
      </c>
      <c r="K9" s="54">
        <f>J9/AE9</f>
        <v>2.0507621869496675</v>
      </c>
      <c r="L9" s="71">
        <f>J9+(10*2213)</f>
        <v>93280.989000000001</v>
      </c>
      <c r="M9" s="71">
        <f>'úhrady od ZP za léčbu'!L9</f>
        <v>100319.2</v>
      </c>
      <c r="N9" s="237">
        <f t="shared" si="3"/>
        <v>7038.2109999999957</v>
      </c>
      <c r="O9" s="68">
        <f>L9/AG9</f>
        <v>2.0940970794973954</v>
      </c>
      <c r="P9" s="125">
        <f t="shared" si="7"/>
        <v>0.76275980521604458</v>
      </c>
      <c r="Q9" s="180">
        <f>125*(AN9-L9)</f>
        <v>-3830607.8749999995</v>
      </c>
      <c r="R9" s="81">
        <f>I9*8</f>
        <v>56920.7912</v>
      </c>
      <c r="S9" s="77">
        <f>R9/AI9</f>
        <v>2.0507621869496671</v>
      </c>
      <c r="T9" s="81">
        <f>R9+(8*2213)</f>
        <v>74624.791200000007</v>
      </c>
      <c r="U9" s="77">
        <f>T9/AK9</f>
        <v>2.7799374565406554</v>
      </c>
      <c r="V9" s="132">
        <f t="shared" si="1"/>
        <v>0.76275980521604458</v>
      </c>
      <c r="W9" s="180">
        <f>125*(AR9-T9)</f>
        <v>-2617085.4000000008</v>
      </c>
      <c r="X9" s="154">
        <f t="shared" si="8"/>
        <v>242530.57140000002</v>
      </c>
      <c r="Y9" s="244">
        <f>'úhrady od ZP za léčbu'!V9</f>
        <v>260829.91999999998</v>
      </c>
      <c r="Z9" s="236">
        <f t="shared" si="4"/>
        <v>18299.348599999968</v>
      </c>
      <c r="AA9" s="158">
        <f>125*(AV9-X9)</f>
        <v>-9064778.6750000007</v>
      </c>
      <c r="AB9" s="159">
        <f t="shared" si="5"/>
        <v>0.42258151162195906</v>
      </c>
      <c r="AC9" s="63">
        <v>0.09</v>
      </c>
      <c r="AD9" s="6">
        <f t="shared" si="2"/>
        <v>703.69110000000001</v>
      </c>
      <c r="AE9" s="19">
        <f>J16</f>
        <v>34694.899999999994</v>
      </c>
      <c r="AF9" s="19"/>
      <c r="AG9" s="19">
        <f>L4</f>
        <v>44544.729999999996</v>
      </c>
      <c r="AI9" s="19">
        <f>R16</f>
        <v>27755.919999999998</v>
      </c>
      <c r="AK9" s="19">
        <f>T23</f>
        <v>26844.054</v>
      </c>
      <c r="AM9" s="19"/>
      <c r="AN9" s="19">
        <f>L24</f>
        <v>62636.126000000004</v>
      </c>
      <c r="AR9" s="19">
        <f>T24</f>
        <v>53688.108</v>
      </c>
      <c r="AV9" s="19">
        <f>X24</f>
        <v>170012.342</v>
      </c>
    </row>
    <row r="10" spans="2:50" ht="46.5" customHeight="1" thickTop="1" thickBot="1" x14ac:dyDescent="0.3">
      <c r="B10" s="33" t="s">
        <v>17</v>
      </c>
      <c r="C10" s="43" t="s">
        <v>19</v>
      </c>
      <c r="D10" s="43" t="s">
        <v>18</v>
      </c>
      <c r="E10" s="18" t="s">
        <v>43</v>
      </c>
      <c r="F10" s="18" t="s">
        <v>41</v>
      </c>
      <c r="G10" s="18" t="s">
        <v>35</v>
      </c>
      <c r="H10" s="12">
        <v>7818.79</v>
      </c>
      <c r="I10" s="7">
        <f t="shared" si="0"/>
        <v>7115.0989</v>
      </c>
      <c r="J10" s="16">
        <f t="shared" si="6"/>
        <v>49805.692300000002</v>
      </c>
      <c r="K10" s="53">
        <f>J10/AF10</f>
        <v>1.1962779423873058</v>
      </c>
      <c r="L10" s="70">
        <f>J10+((7*2213)+(2*815))</f>
        <v>66926.692299999995</v>
      </c>
      <c r="M10" s="70">
        <f>'úhrady od ZP za léčbu'!L10</f>
        <v>71853.440000000002</v>
      </c>
      <c r="N10" s="237">
        <f t="shared" si="3"/>
        <v>4926.7477000000072</v>
      </c>
      <c r="O10" s="67">
        <f>L10/AH10</f>
        <v>1.5897178509220844</v>
      </c>
      <c r="P10" s="124">
        <f t="shared" si="7"/>
        <v>0.74418278549827577</v>
      </c>
      <c r="Q10" s="179">
        <f>25*(AO10-L10)</f>
        <v>-330964.60749999987</v>
      </c>
      <c r="R10" s="80">
        <f>I10*2</f>
        <v>14230.1978</v>
      </c>
      <c r="S10" s="76">
        <f>R10/AJ10</f>
        <v>1.9939241226435451</v>
      </c>
      <c r="T10" s="80">
        <f>R10+((2*2213)+(3*815))</f>
        <v>21101.197800000002</v>
      </c>
      <c r="U10" s="76">
        <f>T10/AL10</f>
        <v>1.5063912911253605</v>
      </c>
      <c r="V10" s="131">
        <f t="shared" si="1"/>
        <v>0.67437867437079801</v>
      </c>
      <c r="W10" s="149">
        <f>25*(AS10-T10)</f>
        <v>143571.40499999997</v>
      </c>
      <c r="X10" s="153">
        <f t="shared" si="8"/>
        <v>109129.0879</v>
      </c>
      <c r="Y10" s="240">
        <f>'úhrady od ZP za léčbu'!V10</f>
        <v>116871.12</v>
      </c>
      <c r="Z10" s="236">
        <f t="shared" si="4"/>
        <v>7742.0320999999967</v>
      </c>
      <c r="AA10" s="151">
        <f>25*(AW10-X10)</f>
        <v>-43821.797499999957</v>
      </c>
      <c r="AB10" s="182" t="s">
        <v>152</v>
      </c>
      <c r="AC10" s="62">
        <v>0.09</v>
      </c>
      <c r="AD10" s="6">
        <f t="shared" si="2"/>
        <v>703.69110000000001</v>
      </c>
      <c r="AE10" s="19"/>
      <c r="AF10" s="19">
        <f>J18</f>
        <v>41633.879999999997</v>
      </c>
      <c r="AH10" s="19">
        <f>L6</f>
        <v>42099.729999999996</v>
      </c>
      <c r="AJ10" s="19">
        <f>R6</f>
        <v>7136.78</v>
      </c>
      <c r="AL10" s="19">
        <f>T6</f>
        <v>14007.779999999999</v>
      </c>
      <c r="AO10" s="19">
        <f>L25</f>
        <v>53688.108</v>
      </c>
      <c r="AS10" s="19">
        <f>T25</f>
        <v>26844.054</v>
      </c>
      <c r="AW10" s="19">
        <f>X25</f>
        <v>107376.216</v>
      </c>
    </row>
    <row r="11" spans="2:50" ht="50.25" customHeight="1" thickTop="1" thickBot="1" x14ac:dyDescent="0.3">
      <c r="B11" s="35" t="s">
        <v>17</v>
      </c>
      <c r="C11" s="44" t="s">
        <v>19</v>
      </c>
      <c r="D11" s="44" t="s">
        <v>18</v>
      </c>
      <c r="E11" s="89" t="s">
        <v>43</v>
      </c>
      <c r="F11" s="13" t="s">
        <v>44</v>
      </c>
      <c r="G11" s="13" t="s">
        <v>45</v>
      </c>
      <c r="H11" s="14">
        <v>7818.79</v>
      </c>
      <c r="I11" s="15">
        <f t="shared" si="0"/>
        <v>7115.0989</v>
      </c>
      <c r="J11" s="17">
        <f>I11*11</f>
        <v>78266.087899999999</v>
      </c>
      <c r="K11" s="54">
        <f>J11/AF11</f>
        <v>1.8798653380371948</v>
      </c>
      <c r="L11" s="71">
        <f>J11+((11*2213)+(1*815))</f>
        <v>103424.0879</v>
      </c>
      <c r="M11" s="71">
        <f>'úhrady od ZP za léčbu'!L11</f>
        <v>111166.12</v>
      </c>
      <c r="N11" s="237">
        <f t="shared" si="3"/>
        <v>7742.0320999999967</v>
      </c>
      <c r="O11" s="68">
        <f>L11/AH11</f>
        <v>2.4566449214757435</v>
      </c>
      <c r="P11" s="125">
        <f t="shared" si="7"/>
        <v>0.75674912381799209</v>
      </c>
      <c r="Q11" s="180">
        <f>25*(AP11-L11)</f>
        <v>-348597.69750000013</v>
      </c>
      <c r="R11" s="81">
        <f>I11*8</f>
        <v>56920.7912</v>
      </c>
      <c r="S11" s="77">
        <f>R11/AJ11</f>
        <v>7.9756964905741805</v>
      </c>
      <c r="T11" s="81">
        <f>R11+((8*2213)+(2*815))</f>
        <v>76254.791200000007</v>
      </c>
      <c r="U11" s="77">
        <f>T11/AL11</f>
        <v>5.4437456327840676</v>
      </c>
      <c r="V11" s="132">
        <f t="shared" si="1"/>
        <v>0.74645527584894877</v>
      </c>
      <c r="W11" s="180">
        <f>25*(AT11-T11)</f>
        <v>-564167.08000000019</v>
      </c>
      <c r="X11" s="154">
        <f t="shared" si="8"/>
        <v>255933.6703</v>
      </c>
      <c r="Y11" s="244">
        <f>'úhrady od ZP za léčbu'!V11</f>
        <v>274936.83999999997</v>
      </c>
      <c r="Z11" s="236">
        <f t="shared" si="4"/>
        <v>19003.169699999969</v>
      </c>
      <c r="AA11" s="158">
        <f>25*(AX11-X11)</f>
        <v>-1476931.8574999997</v>
      </c>
      <c r="AB11" s="185">
        <f t="shared" si="5"/>
        <v>0.23602828778442828</v>
      </c>
      <c r="AC11" s="63">
        <v>0.09</v>
      </c>
      <c r="AD11" s="6">
        <f t="shared" si="2"/>
        <v>703.69110000000001</v>
      </c>
      <c r="AE11" s="19"/>
      <c r="AF11" s="19">
        <f>J18</f>
        <v>41633.879999999997</v>
      </c>
      <c r="AH11" s="19">
        <f>L6</f>
        <v>42099.729999999996</v>
      </c>
      <c r="AJ11" s="19">
        <f>R6</f>
        <v>7136.78</v>
      </c>
      <c r="AL11" s="19">
        <f>T6</f>
        <v>14007.779999999999</v>
      </c>
      <c r="AP11" s="19">
        <f>L26</f>
        <v>89480.18</v>
      </c>
      <c r="AT11" s="19">
        <f>T26</f>
        <v>53688.108</v>
      </c>
      <c r="AX11" s="19">
        <f>X26</f>
        <v>196856.39600000001</v>
      </c>
    </row>
    <row r="12" spans="2:50" ht="40.5" customHeight="1" thickTop="1" thickBot="1" x14ac:dyDescent="0.3">
      <c r="B12" s="36" t="s">
        <v>129</v>
      </c>
      <c r="C12" s="45" t="s">
        <v>19</v>
      </c>
      <c r="D12" s="45" t="s">
        <v>18</v>
      </c>
      <c r="E12" s="64" t="s">
        <v>138</v>
      </c>
      <c r="F12" s="64" t="s">
        <v>133</v>
      </c>
      <c r="G12" s="64" t="s">
        <v>134</v>
      </c>
      <c r="H12" s="245">
        <v>7818.79</v>
      </c>
      <c r="I12" s="206">
        <f t="shared" si="0"/>
        <v>7115.0989</v>
      </c>
      <c r="J12" s="17">
        <f>I12*7</f>
        <v>49805.692300000002</v>
      </c>
      <c r="K12" s="186"/>
      <c r="L12" s="72">
        <f>J12+(7*2213)</f>
        <v>65296.692300000002</v>
      </c>
      <c r="M12" s="72">
        <f>'úhrady od ZP za léčbu'!L12</f>
        <v>95421.06</v>
      </c>
      <c r="N12" s="237">
        <f t="shared" si="3"/>
        <v>30124.367699999995</v>
      </c>
      <c r="O12" s="55">
        <f>L12/AG12</f>
        <v>1.4658679556481768</v>
      </c>
      <c r="P12" s="126">
        <f t="shared" si="7"/>
        <v>0.76275980521604458</v>
      </c>
      <c r="Q12" s="179">
        <f>125*(AN12-L12)</f>
        <v>-332570.7874999998</v>
      </c>
      <c r="R12" s="82">
        <f>I12*6</f>
        <v>42690.593399999998</v>
      </c>
      <c r="S12" s="76"/>
      <c r="T12" s="84">
        <f>R12+(6*2213)</f>
        <v>55968.593399999998</v>
      </c>
      <c r="U12" s="78">
        <f>T12/AK12</f>
        <v>2.0849530924054913</v>
      </c>
      <c r="V12" s="135">
        <f t="shared" ref="V12:V13" si="9">R12/T12</f>
        <v>0.76275980521604458</v>
      </c>
      <c r="W12" s="179">
        <f>125*(AR12-T12)</f>
        <v>-285060.6749999997</v>
      </c>
      <c r="X12" s="251">
        <f t="shared" si="8"/>
        <v>177233.87909999999</v>
      </c>
      <c r="Y12" s="252">
        <f>'úhrady od ZP za léčbu'!V12</f>
        <v>259000.02</v>
      </c>
      <c r="Z12" s="236">
        <f t="shared" si="4"/>
        <v>81766.140899999999</v>
      </c>
      <c r="AA12" s="157">
        <f>125*(AV12-X12)</f>
        <v>-902692.13749999832</v>
      </c>
      <c r="AB12" s="156">
        <f t="shared" si="5"/>
        <v>0.36842105263157943</v>
      </c>
      <c r="AC12" s="241">
        <v>0.09</v>
      </c>
      <c r="AD12" s="6">
        <f t="shared" si="2"/>
        <v>703.69110000000001</v>
      </c>
      <c r="AE12" s="19"/>
      <c r="AF12" s="19"/>
      <c r="AG12" s="19">
        <f>L4</f>
        <v>44544.729999999996</v>
      </c>
      <c r="AH12" s="19"/>
      <c r="AJ12" s="19"/>
      <c r="AK12" s="19">
        <f>T23</f>
        <v>26844.054</v>
      </c>
      <c r="AL12" s="19"/>
      <c r="AN12" s="19">
        <f>L24</f>
        <v>62636.126000000004</v>
      </c>
      <c r="AP12" s="19"/>
      <c r="AR12" s="19">
        <f>T24</f>
        <v>53688.108</v>
      </c>
      <c r="AT12" s="19"/>
      <c r="AV12" s="19">
        <f>X24</f>
        <v>170012.342</v>
      </c>
      <c r="AX12" s="19"/>
    </row>
    <row r="13" spans="2:50" ht="60.75" customHeight="1" thickTop="1" thickBot="1" x14ac:dyDescent="0.3">
      <c r="B13" s="37" t="s">
        <v>129</v>
      </c>
      <c r="C13" s="207" t="s">
        <v>19</v>
      </c>
      <c r="D13" s="207" t="s">
        <v>18</v>
      </c>
      <c r="E13" s="208" t="s">
        <v>138</v>
      </c>
      <c r="F13" s="209" t="s">
        <v>135</v>
      </c>
      <c r="G13" s="212" t="s">
        <v>136</v>
      </c>
      <c r="H13" s="246">
        <v>7818.79</v>
      </c>
      <c r="I13" s="213">
        <f t="shared" si="0"/>
        <v>7115.0989</v>
      </c>
      <c r="J13" s="214">
        <f>I13*6</f>
        <v>42690.593399999998</v>
      </c>
      <c r="K13" s="186"/>
      <c r="L13" s="219">
        <f>J13+(6*2213)</f>
        <v>55968.593399999998</v>
      </c>
      <c r="M13" s="73">
        <f>'úhrady od ZP za léčbu'!L13</f>
        <v>81789.48</v>
      </c>
      <c r="N13" s="237">
        <f t="shared" si="3"/>
        <v>25820.886599999998</v>
      </c>
      <c r="O13" s="220">
        <f>L13/AG13</f>
        <v>1.2564582476984372</v>
      </c>
      <c r="P13" s="221">
        <f t="shared" ref="P13:P14" si="10">J13/L13</f>
        <v>0.76275980521604458</v>
      </c>
      <c r="Q13" s="222">
        <f>125*(AM13-L13)</f>
        <v>-1403562.9250000003</v>
      </c>
      <c r="R13" s="215">
        <f>I13*3</f>
        <v>21345.296699999999</v>
      </c>
      <c r="S13" s="98"/>
      <c r="T13" s="216">
        <f>R13+(3*2213)</f>
        <v>27984.296699999999</v>
      </c>
      <c r="U13" s="217">
        <f>T13/AK13</f>
        <v>1.0424765462027457</v>
      </c>
      <c r="V13" s="218">
        <f t="shared" si="9"/>
        <v>0.76275980521604458</v>
      </c>
      <c r="W13" s="222">
        <f>125*(AQ13-T13)</f>
        <v>-142530.33749999985</v>
      </c>
      <c r="X13" s="253">
        <f t="shared" si="8"/>
        <v>111937.1868</v>
      </c>
      <c r="Y13" s="254">
        <f>'úhrady od ZP za léčbu'!V13</f>
        <v>163578.96</v>
      </c>
      <c r="Z13" s="236">
        <f t="shared" si="4"/>
        <v>51641.773199999996</v>
      </c>
      <c r="AA13" s="224">
        <f>125*(AU13-X13)</f>
        <v>-1688623.5999999989</v>
      </c>
      <c r="AB13" s="159">
        <f t="shared" si="5"/>
        <v>0.83118755713233028</v>
      </c>
      <c r="AC13" s="241">
        <v>0.09</v>
      </c>
      <c r="AD13" s="6">
        <f t="shared" si="2"/>
        <v>703.69110000000001</v>
      </c>
      <c r="AE13" s="19"/>
      <c r="AF13" s="19"/>
      <c r="AG13" s="19">
        <f>L4</f>
        <v>44544.729999999996</v>
      </c>
      <c r="AH13" s="19"/>
      <c r="AJ13" s="19"/>
      <c r="AK13" s="19">
        <f>T23</f>
        <v>26844.054</v>
      </c>
      <c r="AL13" s="19"/>
      <c r="AM13" s="19">
        <f>L23</f>
        <v>44740.09</v>
      </c>
      <c r="AP13" s="19"/>
      <c r="AQ13" s="19">
        <f>T23</f>
        <v>26844.054</v>
      </c>
      <c r="AT13" s="19"/>
      <c r="AU13" s="19">
        <f>X23</f>
        <v>98428.198000000004</v>
      </c>
      <c r="AX13" s="19"/>
    </row>
    <row r="14" spans="2:50" ht="45.75" customHeight="1" thickTop="1" thickBot="1" x14ac:dyDescent="0.3">
      <c r="B14" s="36" t="s">
        <v>129</v>
      </c>
      <c r="C14" s="45" t="s">
        <v>19</v>
      </c>
      <c r="D14" s="45" t="s">
        <v>18</v>
      </c>
      <c r="E14" s="64" t="s">
        <v>137</v>
      </c>
      <c r="F14" s="64" t="s">
        <v>133</v>
      </c>
      <c r="G14" s="64" t="s">
        <v>134</v>
      </c>
      <c r="H14" s="245">
        <v>7818.79</v>
      </c>
      <c r="I14" s="206">
        <f t="shared" ref="I14:I15" si="11">H14-AD14</f>
        <v>7115.0989</v>
      </c>
      <c r="J14" s="16">
        <f>I14*7</f>
        <v>49805.692300000002</v>
      </c>
      <c r="K14" s="53"/>
      <c r="L14" s="72">
        <f>J14+(7*2213)</f>
        <v>65296.692300000002</v>
      </c>
      <c r="M14" s="72">
        <f>'úhrady od ZP za léčbu'!L14</f>
        <v>95421.06</v>
      </c>
      <c r="N14" s="237">
        <f t="shared" si="3"/>
        <v>30124.367699999995</v>
      </c>
      <c r="O14" s="55">
        <f>L14/AH14</f>
        <v>1.5510002629470547</v>
      </c>
      <c r="P14" s="126">
        <f t="shared" si="10"/>
        <v>0.76275980521604458</v>
      </c>
      <c r="Q14" s="140">
        <f>25*(AP14-L14)</f>
        <v>604587.19249999977</v>
      </c>
      <c r="R14" s="82">
        <f>I14*6</f>
        <v>42690.593399999998</v>
      </c>
      <c r="S14" s="76"/>
      <c r="T14" s="84">
        <f>R14+(6*2213)</f>
        <v>55968.593399999998</v>
      </c>
      <c r="U14" s="78">
        <f>T14/AL14</f>
        <v>3.9955362948304445</v>
      </c>
      <c r="V14" s="135">
        <f t="shared" ref="V14:V15" si="12">R14/T14</f>
        <v>0.76275980521604458</v>
      </c>
      <c r="W14" s="179">
        <f>25*(AT14-T14)</f>
        <v>-57012.134999999944</v>
      </c>
      <c r="X14" s="251">
        <f t="shared" ref="X14:X15" si="13">L14+(2*T14)</f>
        <v>177233.87909999999</v>
      </c>
      <c r="Y14" s="252">
        <f>'úhrady od ZP za léčbu'!V14</f>
        <v>259000.02</v>
      </c>
      <c r="Z14" s="236">
        <f t="shared" si="4"/>
        <v>81766.140899999999</v>
      </c>
      <c r="AA14" s="157">
        <f>25*(AX14-X14)</f>
        <v>490562.92250000045</v>
      </c>
      <c r="AB14" s="182" t="s">
        <v>144</v>
      </c>
      <c r="AC14" s="241">
        <v>0.09</v>
      </c>
      <c r="AD14" s="6">
        <f t="shared" ref="AD14:AD15" si="14">AC14*H14</f>
        <v>703.69110000000001</v>
      </c>
      <c r="AE14" s="19"/>
      <c r="AF14" s="19"/>
      <c r="AH14" s="19">
        <f>L6</f>
        <v>42099.729999999996</v>
      </c>
      <c r="AJ14" s="19"/>
      <c r="AL14" s="19">
        <f>T6</f>
        <v>14007.779999999999</v>
      </c>
      <c r="AP14" s="19">
        <f>L26</f>
        <v>89480.18</v>
      </c>
      <c r="AT14" s="19">
        <f>T26</f>
        <v>53688.108</v>
      </c>
      <c r="AX14" s="19">
        <f>X26</f>
        <v>196856.39600000001</v>
      </c>
    </row>
    <row r="15" spans="2:50" ht="59.25" customHeight="1" thickTop="1" thickBot="1" x14ac:dyDescent="0.3">
      <c r="B15" s="37" t="s">
        <v>129</v>
      </c>
      <c r="C15" s="207" t="s">
        <v>19</v>
      </c>
      <c r="D15" s="207" t="s">
        <v>18</v>
      </c>
      <c r="E15" s="208" t="s">
        <v>137</v>
      </c>
      <c r="F15" s="209" t="s">
        <v>135</v>
      </c>
      <c r="G15" s="209" t="s">
        <v>136</v>
      </c>
      <c r="H15" s="246">
        <v>7818.79</v>
      </c>
      <c r="I15" s="211">
        <f t="shared" si="11"/>
        <v>7115.0989</v>
      </c>
      <c r="J15" s="17">
        <f>I15*6</f>
        <v>42690.593399999998</v>
      </c>
      <c r="K15" s="54"/>
      <c r="L15" s="73">
        <f>J15+(6*2213)</f>
        <v>55968.593399999998</v>
      </c>
      <c r="M15" s="73">
        <f>'úhrady od ZP za léčbu'!L15</f>
        <v>81789.48</v>
      </c>
      <c r="N15" s="237">
        <f t="shared" si="3"/>
        <v>25820.886599999998</v>
      </c>
      <c r="O15" s="56">
        <f>L15/AH15</f>
        <v>1.3294287968117611</v>
      </c>
      <c r="P15" s="127">
        <f t="shared" ref="P15" si="15">J15/L15</f>
        <v>0.76275980521604458</v>
      </c>
      <c r="Q15" s="180">
        <f>25*(AO15-L15)</f>
        <v>-57012.134999999944</v>
      </c>
      <c r="R15" s="83">
        <f>I15*3</f>
        <v>21345.296699999999</v>
      </c>
      <c r="S15" s="77"/>
      <c r="T15" s="85">
        <f>R15+(3*2213)</f>
        <v>27984.296699999999</v>
      </c>
      <c r="U15" s="79">
        <f>T15/AL15</f>
        <v>1.9977681474152222</v>
      </c>
      <c r="V15" s="136">
        <f t="shared" si="12"/>
        <v>0.76275980521604458</v>
      </c>
      <c r="W15" s="180">
        <f>25*(AS15-T15)</f>
        <v>-28506.067499999972</v>
      </c>
      <c r="X15" s="255">
        <f t="shared" si="13"/>
        <v>111937.1868</v>
      </c>
      <c r="Y15" s="254">
        <f>'úhrady od ZP za léčbu'!V15</f>
        <v>163578.96</v>
      </c>
      <c r="Z15" s="236">
        <f t="shared" si="4"/>
        <v>51641.773199999996</v>
      </c>
      <c r="AA15" s="158">
        <f>25*(AW15-X15)</f>
        <v>-114024.26999999989</v>
      </c>
      <c r="AB15" s="185">
        <f t="shared" si="5"/>
        <v>0.5</v>
      </c>
      <c r="AC15" s="241">
        <v>0.09</v>
      </c>
      <c r="AD15" s="6">
        <f t="shared" si="14"/>
        <v>703.69110000000001</v>
      </c>
      <c r="AE15" s="19"/>
      <c r="AF15" s="19"/>
      <c r="AH15" s="19">
        <f>L6</f>
        <v>42099.729999999996</v>
      </c>
      <c r="AJ15" s="19"/>
      <c r="AL15" s="19">
        <f>T6</f>
        <v>14007.779999999999</v>
      </c>
      <c r="AO15" s="19">
        <f>L25</f>
        <v>53688.108</v>
      </c>
      <c r="AP15" s="19"/>
      <c r="AS15" s="19">
        <f>T25</f>
        <v>26844.054</v>
      </c>
      <c r="AT15" s="19"/>
      <c r="AW15" s="19">
        <f>X25</f>
        <v>107376.216</v>
      </c>
      <c r="AX15" s="19"/>
    </row>
    <row r="16" spans="2:50" ht="42.75" customHeight="1" thickTop="1" thickBot="1" x14ac:dyDescent="0.3">
      <c r="B16" s="33" t="s">
        <v>20</v>
      </c>
      <c r="C16" s="43" t="s">
        <v>21</v>
      </c>
      <c r="D16" s="43" t="s">
        <v>4</v>
      </c>
      <c r="E16" s="11" t="s">
        <v>46</v>
      </c>
      <c r="F16" s="49" t="s">
        <v>54</v>
      </c>
      <c r="G16" s="46" t="s">
        <v>47</v>
      </c>
      <c r="H16" s="187">
        <v>6938.98</v>
      </c>
      <c r="I16" s="7">
        <f t="shared" si="0"/>
        <v>6938.98</v>
      </c>
      <c r="J16" s="16">
        <f>I16*5</f>
        <v>34694.899999999994</v>
      </c>
      <c r="K16" s="53">
        <f>J16/AE16</f>
        <v>1</v>
      </c>
      <c r="L16" s="70">
        <f>J16+(5*2213)</f>
        <v>45759.899999999994</v>
      </c>
      <c r="M16" s="70">
        <f>'úhrady od ZP za léčbu'!L16</f>
        <v>50159.65</v>
      </c>
      <c r="N16" s="237">
        <f t="shared" si="3"/>
        <v>4399.7500000000073</v>
      </c>
      <c r="O16" s="67">
        <f>L16/AG16</f>
        <v>1.0272797702444263</v>
      </c>
      <c r="P16" s="124">
        <f t="shared" si="7"/>
        <v>0.75819440164860497</v>
      </c>
      <c r="Q16" s="179">
        <f>125*(AM16-L16)</f>
        <v>-127476.24999999971</v>
      </c>
      <c r="R16" s="80">
        <f>I16*4</f>
        <v>27755.919999999998</v>
      </c>
      <c r="S16" s="76">
        <f>R16/AI16</f>
        <v>1</v>
      </c>
      <c r="T16" s="80">
        <f>R16+(4*2213)</f>
        <v>36607.919999999998</v>
      </c>
      <c r="U16" s="76">
        <f>T16/AK16</f>
        <v>1.3637254641195402</v>
      </c>
      <c r="V16" s="131">
        <f t="shared" si="1"/>
        <v>0.75819440164860497</v>
      </c>
      <c r="W16" s="179">
        <f>125*(AQ16-T16)</f>
        <v>-1220483.2499999998</v>
      </c>
      <c r="X16" s="153">
        <f t="shared" si="8"/>
        <v>118975.73999999999</v>
      </c>
      <c r="Y16" s="240">
        <f>'úhrady od ZP za léčbu'!V16</f>
        <v>130415.09</v>
      </c>
      <c r="Z16" s="236">
        <f t="shared" si="4"/>
        <v>11439.350000000006</v>
      </c>
      <c r="AA16" s="157">
        <f>125*(AU16-X16)</f>
        <v>-2568442.7499999981</v>
      </c>
      <c r="AB16" s="156">
        <f t="shared" si="5"/>
        <v>4.9631727240172979E-2</v>
      </c>
      <c r="AC16" s="62">
        <v>0</v>
      </c>
      <c r="AD16" s="6">
        <f t="shared" si="2"/>
        <v>0</v>
      </c>
      <c r="AE16" s="19">
        <f>J16</f>
        <v>34694.899999999994</v>
      </c>
      <c r="AF16" s="19"/>
      <c r="AG16" s="19">
        <f>L4</f>
        <v>44544.729999999996</v>
      </c>
      <c r="AI16" s="19">
        <f>R16</f>
        <v>27755.919999999998</v>
      </c>
      <c r="AK16" s="19">
        <f>T23</f>
        <v>26844.054</v>
      </c>
      <c r="AM16" s="19">
        <f>L23</f>
        <v>44740.09</v>
      </c>
      <c r="AQ16" s="19">
        <f>T23</f>
        <v>26844.054</v>
      </c>
      <c r="AU16" s="19">
        <f>X23</f>
        <v>98428.198000000004</v>
      </c>
    </row>
    <row r="17" spans="1:50" ht="44.25" customHeight="1" thickTop="1" thickBot="1" x14ac:dyDescent="0.3">
      <c r="B17" s="35" t="s">
        <v>20</v>
      </c>
      <c r="C17" s="44" t="s">
        <v>21</v>
      </c>
      <c r="D17" s="44" t="s">
        <v>4</v>
      </c>
      <c r="E17" s="10" t="s">
        <v>46</v>
      </c>
      <c r="F17" s="48" t="s">
        <v>55</v>
      </c>
      <c r="G17" s="47" t="s">
        <v>24</v>
      </c>
      <c r="H17" s="188">
        <v>6938.98</v>
      </c>
      <c r="I17" s="15">
        <f t="shared" si="0"/>
        <v>6938.98</v>
      </c>
      <c r="J17" s="17">
        <f t="shared" si="6"/>
        <v>48572.86</v>
      </c>
      <c r="K17" s="54">
        <f>J17/AE17</f>
        <v>1.4000000000000004</v>
      </c>
      <c r="L17" s="71">
        <f>J17+(7*2213)</f>
        <v>64063.86</v>
      </c>
      <c r="M17" s="71">
        <f>'úhrady od ZP za léčbu'!L17</f>
        <v>70223.510000000009</v>
      </c>
      <c r="N17" s="237">
        <f t="shared" si="3"/>
        <v>6159.6500000000087</v>
      </c>
      <c r="O17" s="68">
        <f>L17/AG17</f>
        <v>1.4381916783421969</v>
      </c>
      <c r="P17" s="125">
        <f t="shared" si="7"/>
        <v>0.75819440164860497</v>
      </c>
      <c r="Q17" s="180">
        <f>125*(AN17-L17)</f>
        <v>-178466.74999999959</v>
      </c>
      <c r="R17" s="81">
        <f>I17*6</f>
        <v>41633.879999999997</v>
      </c>
      <c r="S17" s="77">
        <f>R17/AI17</f>
        <v>1.5</v>
      </c>
      <c r="T17" s="81">
        <f>R17+(6*2213)</f>
        <v>54911.88</v>
      </c>
      <c r="U17" s="77">
        <f>T17/AK17</f>
        <v>2.0455881961793101</v>
      </c>
      <c r="V17" s="132">
        <f t="shared" si="1"/>
        <v>0.75819440164860497</v>
      </c>
      <c r="W17" s="180">
        <f>125*(AR17-T17)</f>
        <v>-152971.49999999965</v>
      </c>
      <c r="X17" s="154">
        <f t="shared" si="8"/>
        <v>173887.62</v>
      </c>
      <c r="Y17" s="244">
        <f>'úhrady od ZP za léčbu'!V17</f>
        <v>190606.67</v>
      </c>
      <c r="Z17" s="236">
        <f t="shared" si="4"/>
        <v>16719.050000000017</v>
      </c>
      <c r="AA17" s="158">
        <f>125*(AV17-X17)</f>
        <v>-484409.74999999889</v>
      </c>
      <c r="AB17" s="159">
        <f t="shared" si="5"/>
        <v>0.36842105263157893</v>
      </c>
      <c r="AC17" s="63">
        <v>0</v>
      </c>
      <c r="AD17" s="6">
        <f t="shared" si="2"/>
        <v>0</v>
      </c>
      <c r="AE17" s="19">
        <f>J16</f>
        <v>34694.899999999994</v>
      </c>
      <c r="AF17" s="19"/>
      <c r="AG17" s="19">
        <f>L4</f>
        <v>44544.729999999996</v>
      </c>
      <c r="AI17" s="19">
        <f>R16</f>
        <v>27755.919999999998</v>
      </c>
      <c r="AK17" s="19">
        <f>T23</f>
        <v>26844.054</v>
      </c>
      <c r="AM17" s="19"/>
      <c r="AN17" s="19">
        <f>L24</f>
        <v>62636.126000000004</v>
      </c>
      <c r="AR17" s="19">
        <f>T24</f>
        <v>53688.108</v>
      </c>
      <c r="AV17" s="19">
        <f>X24</f>
        <v>170012.342</v>
      </c>
    </row>
    <row r="18" spans="1:50" ht="42" customHeight="1" thickTop="1" thickBot="1" x14ac:dyDescent="0.3">
      <c r="B18" s="40" t="s">
        <v>20</v>
      </c>
      <c r="C18" s="41" t="s">
        <v>21</v>
      </c>
      <c r="D18" s="41" t="s">
        <v>4</v>
      </c>
      <c r="E18" s="18" t="s">
        <v>48</v>
      </c>
      <c r="F18" s="49" t="s">
        <v>49</v>
      </c>
      <c r="G18" s="46" t="s">
        <v>50</v>
      </c>
      <c r="H18" s="187">
        <v>6938.98</v>
      </c>
      <c r="I18" s="7">
        <f t="shared" si="0"/>
        <v>6938.98</v>
      </c>
      <c r="J18" s="16">
        <f>I18*6</f>
        <v>41633.879999999997</v>
      </c>
      <c r="K18" s="53">
        <f>J18/AF18</f>
        <v>1</v>
      </c>
      <c r="L18" s="70">
        <f>J18+(6*2213)</f>
        <v>54911.88</v>
      </c>
      <c r="M18" s="70">
        <f>'úhrady od ZP za léčbu'!L18</f>
        <v>60191.58</v>
      </c>
      <c r="N18" s="237">
        <f t="shared" si="3"/>
        <v>5279.7000000000044</v>
      </c>
      <c r="O18" s="67">
        <f>L18/AH18</f>
        <v>1.304328555076244</v>
      </c>
      <c r="P18" s="124">
        <f t="shared" si="7"/>
        <v>0.75819440164860497</v>
      </c>
      <c r="Q18" s="179">
        <f>25*(AO18-L18)</f>
        <v>-30594.29999999993</v>
      </c>
      <c r="R18" s="80">
        <f>I18*4</f>
        <v>27755.919999999998</v>
      </c>
      <c r="S18" s="76">
        <f>R18/AJ18</f>
        <v>3.8891376783367289</v>
      </c>
      <c r="T18" s="80">
        <f>R18+(4*2213)</f>
        <v>36607.919999999998</v>
      </c>
      <c r="U18" s="76">
        <f>T18/AL18</f>
        <v>2.6133991253432023</v>
      </c>
      <c r="V18" s="131">
        <f t="shared" si="1"/>
        <v>0.75819440164860497</v>
      </c>
      <c r="W18" s="179">
        <f>25*(AS18-T18)</f>
        <v>-244096.64999999997</v>
      </c>
      <c r="X18" s="153">
        <f t="shared" si="8"/>
        <v>128127.72</v>
      </c>
      <c r="Y18" s="240">
        <f>'úhrady od ZP za léčbu'!V18</f>
        <v>140447.02000000002</v>
      </c>
      <c r="Z18" s="236">
        <f t="shared" si="4"/>
        <v>12319.300000000017</v>
      </c>
      <c r="AA18" s="157">
        <f>25*(AW18-X18)</f>
        <v>-518787.60000000003</v>
      </c>
      <c r="AB18" s="156">
        <f t="shared" si="5"/>
        <v>5.8972689401211455E-2</v>
      </c>
      <c r="AC18" s="62">
        <v>0</v>
      </c>
      <c r="AD18" s="6">
        <f t="shared" si="2"/>
        <v>0</v>
      </c>
      <c r="AE18" s="19"/>
      <c r="AF18" s="19">
        <f>J18</f>
        <v>41633.879999999997</v>
      </c>
      <c r="AH18" s="19">
        <f>L6</f>
        <v>42099.729999999996</v>
      </c>
      <c r="AJ18" s="19">
        <f>R6</f>
        <v>7136.78</v>
      </c>
      <c r="AL18" s="19">
        <f>T6</f>
        <v>14007.779999999999</v>
      </c>
      <c r="AO18" s="19">
        <f>L25</f>
        <v>53688.108</v>
      </c>
      <c r="AS18" s="19">
        <f>T25</f>
        <v>26844.054</v>
      </c>
      <c r="AW18" s="19">
        <f>X25</f>
        <v>107376.216</v>
      </c>
    </row>
    <row r="19" spans="1:50" ht="44.25" customHeight="1" thickTop="1" thickBot="1" x14ac:dyDescent="0.3">
      <c r="B19" s="87" t="s">
        <v>20</v>
      </c>
      <c r="C19" s="88" t="s">
        <v>21</v>
      </c>
      <c r="D19" s="88" t="s">
        <v>4</v>
      </c>
      <c r="E19" s="89" t="s">
        <v>48</v>
      </c>
      <c r="F19" s="48" t="s">
        <v>51</v>
      </c>
      <c r="G19" s="90" t="s">
        <v>52</v>
      </c>
      <c r="H19" s="188">
        <v>6938.98</v>
      </c>
      <c r="I19" s="92">
        <f t="shared" si="0"/>
        <v>6938.98</v>
      </c>
      <c r="J19" s="93">
        <f t="shared" si="6"/>
        <v>48572.86</v>
      </c>
      <c r="K19" s="94">
        <f>J19/AF19</f>
        <v>1.1666666666666667</v>
      </c>
      <c r="L19" s="95">
        <f>J19+(7*2213)</f>
        <v>64063.86</v>
      </c>
      <c r="M19" s="71">
        <f>'úhrady od ZP za léčbu'!L19</f>
        <v>70223.510000000009</v>
      </c>
      <c r="N19" s="237">
        <f t="shared" si="3"/>
        <v>6159.6500000000087</v>
      </c>
      <c r="O19" s="96">
        <f>L19/AH19</f>
        <v>1.5217166475889514</v>
      </c>
      <c r="P19" s="125">
        <f t="shared" si="7"/>
        <v>0.75819440164860497</v>
      </c>
      <c r="Q19" s="142">
        <f>25*(AP19-L19)</f>
        <v>635407.99999999977</v>
      </c>
      <c r="R19" s="97">
        <f>I19*6</f>
        <v>41633.879999999997</v>
      </c>
      <c r="S19" s="98">
        <f>R19/AJ19</f>
        <v>5.8337065175050933</v>
      </c>
      <c r="T19" s="97">
        <f>R19+(6*2213)</f>
        <v>54911.88</v>
      </c>
      <c r="U19" s="98">
        <f>T19/AL19</f>
        <v>3.9200986880148032</v>
      </c>
      <c r="V19" s="132">
        <f t="shared" si="1"/>
        <v>0.75819440164860497</v>
      </c>
      <c r="W19" s="180">
        <f>25*(AT19-T19)</f>
        <v>-30594.29999999993</v>
      </c>
      <c r="X19" s="154">
        <f t="shared" si="8"/>
        <v>173887.62</v>
      </c>
      <c r="Y19" s="244">
        <f>'úhrady od ZP za léčbu'!V19</f>
        <v>190606.67</v>
      </c>
      <c r="Z19" s="236">
        <f t="shared" si="4"/>
        <v>16719.050000000017</v>
      </c>
      <c r="AA19" s="152">
        <f>25*(AX19-X19)</f>
        <v>574219.40000000037</v>
      </c>
      <c r="AB19" s="182" t="s">
        <v>144</v>
      </c>
      <c r="AC19" s="99">
        <v>0</v>
      </c>
      <c r="AD19" s="6">
        <f t="shared" si="2"/>
        <v>0</v>
      </c>
      <c r="AE19" s="19"/>
      <c r="AF19" s="19">
        <f>J18</f>
        <v>41633.879999999997</v>
      </c>
      <c r="AH19" s="19">
        <f>L6</f>
        <v>42099.729999999996</v>
      </c>
      <c r="AJ19" s="19">
        <f>R6</f>
        <v>7136.78</v>
      </c>
      <c r="AL19" s="19">
        <f>T6</f>
        <v>14007.779999999999</v>
      </c>
      <c r="AP19" s="19">
        <f>L26</f>
        <v>89480.18</v>
      </c>
      <c r="AT19" s="19">
        <f>T26</f>
        <v>53688.108</v>
      </c>
      <c r="AW19" s="19"/>
      <c r="AX19" s="19">
        <f>X26</f>
        <v>196856.39600000001</v>
      </c>
    </row>
    <row r="20" spans="1:50" ht="53.25" customHeight="1" thickTop="1" thickBot="1" x14ac:dyDescent="0.3">
      <c r="B20" s="106" t="s">
        <v>76</v>
      </c>
      <c r="C20" s="107" t="s">
        <v>75</v>
      </c>
      <c r="D20" s="107" t="s">
        <v>74</v>
      </c>
      <c r="E20" s="108" t="s">
        <v>78</v>
      </c>
      <c r="F20" s="108" t="s">
        <v>82</v>
      </c>
      <c r="G20" s="108" t="s">
        <v>83</v>
      </c>
      <c r="H20" s="116">
        <v>170051.73</v>
      </c>
      <c r="I20" s="109">
        <f t="shared" si="0"/>
        <v>170051.73</v>
      </c>
      <c r="J20" s="118">
        <f>I20+I21</f>
        <v>193463.46000000002</v>
      </c>
      <c r="K20" s="111">
        <f>J20/AF20</f>
        <v>4.64677949785127</v>
      </c>
      <c r="L20" s="117">
        <f>J20+((2*2213)+(1*815)+(2*854))</f>
        <v>200412.46000000002</v>
      </c>
      <c r="M20" s="247">
        <f>'úhrady od ZP za léčbu'!L20</f>
        <v>199411.49</v>
      </c>
      <c r="N20" s="237">
        <f t="shared" si="3"/>
        <v>-1000.9700000000303</v>
      </c>
      <c r="O20" s="111">
        <f>L20/AH20</f>
        <v>4.760421503890881</v>
      </c>
      <c r="P20" s="130">
        <f t="shared" si="7"/>
        <v>0.96532650714431623</v>
      </c>
      <c r="Q20" s="180">
        <f>25*(AP20-L20)</f>
        <v>-2773307.0000000009</v>
      </c>
      <c r="R20" s="100">
        <v>0</v>
      </c>
      <c r="S20" s="101"/>
      <c r="T20" s="121">
        <f>R20+((4*854))</f>
        <v>3416</v>
      </c>
      <c r="U20" s="101">
        <f>T20/AL20</f>
        <v>0.24386448102411662</v>
      </c>
      <c r="V20" s="134">
        <f t="shared" si="1"/>
        <v>0</v>
      </c>
      <c r="W20" s="147">
        <f>25*(AT20-T20)</f>
        <v>1256802.7</v>
      </c>
      <c r="X20" s="153">
        <f t="shared" si="8"/>
        <v>207244.46000000002</v>
      </c>
      <c r="Y20" s="240">
        <f>'úhrady od ZP za léčbu'!V20</f>
        <v>206243.49</v>
      </c>
      <c r="Z20" s="236">
        <f t="shared" si="4"/>
        <v>-1000.9700000000303</v>
      </c>
      <c r="AA20" s="152">
        <f>25*(AX20-X20)</f>
        <v>-259701.60000000033</v>
      </c>
      <c r="AB20" s="182" t="s">
        <v>143</v>
      </c>
      <c r="AC20" s="102">
        <v>0</v>
      </c>
      <c r="AD20" s="6">
        <f t="shared" si="2"/>
        <v>0</v>
      </c>
      <c r="AE20" s="19"/>
      <c r="AF20" s="19">
        <f>J18</f>
        <v>41633.879999999997</v>
      </c>
      <c r="AH20" s="19">
        <f>L6</f>
        <v>42099.729999999996</v>
      </c>
      <c r="AJ20" s="19">
        <f>R6</f>
        <v>7136.78</v>
      </c>
      <c r="AL20" s="19">
        <f>T6</f>
        <v>14007.779999999999</v>
      </c>
      <c r="AP20" s="19">
        <f>L26</f>
        <v>89480.18</v>
      </c>
      <c r="AT20" s="19">
        <f>T26</f>
        <v>53688.108</v>
      </c>
      <c r="AX20" s="19">
        <f>X26</f>
        <v>196856.39600000001</v>
      </c>
    </row>
    <row r="21" spans="1:50" ht="44.25" customHeight="1" thickTop="1" thickBot="1" x14ac:dyDescent="0.3">
      <c r="B21" s="106" t="s">
        <v>86</v>
      </c>
      <c r="C21" s="107" t="s">
        <v>94</v>
      </c>
      <c r="D21" s="107" t="s">
        <v>77</v>
      </c>
      <c r="E21" s="108" t="s">
        <v>80</v>
      </c>
      <c r="F21" s="108" t="s">
        <v>81</v>
      </c>
      <c r="G21" s="108" t="s">
        <v>79</v>
      </c>
      <c r="H21" s="115">
        <v>23411.73</v>
      </c>
      <c r="I21" s="109">
        <f t="shared" si="0"/>
        <v>23411.73</v>
      </c>
      <c r="J21" s="110">
        <f>I21</f>
        <v>23411.73</v>
      </c>
      <c r="K21" s="111">
        <f>J21/AF21</f>
        <v>0.56232400151030848</v>
      </c>
      <c r="L21" s="117">
        <f>J21+((3*2213)+(2*815)+(1*854))</f>
        <v>32534.73</v>
      </c>
      <c r="M21" s="247">
        <f>'úhrady od ZP za léčbu'!L21</f>
        <v>32534.74</v>
      </c>
      <c r="N21" s="237">
        <f t="shared" si="3"/>
        <v>1.0000000002037268E-2</v>
      </c>
      <c r="O21" s="111">
        <f>L21/AH21</f>
        <v>0.77280139326309227</v>
      </c>
      <c r="P21" s="130">
        <f t="shared" si="7"/>
        <v>0.71959195604205106</v>
      </c>
      <c r="Q21" s="146">
        <f>25*(AP21-L21)</f>
        <v>1423636.25</v>
      </c>
      <c r="R21" s="100">
        <v>0</v>
      </c>
      <c r="S21" s="101"/>
      <c r="T21" s="121">
        <f>R21+((2*2213)+(2*854))</f>
        <v>6134</v>
      </c>
      <c r="U21" s="101">
        <f>T21/AL21</f>
        <v>0.43789951012937101</v>
      </c>
      <c r="V21" s="134">
        <f t="shared" si="1"/>
        <v>0</v>
      </c>
      <c r="W21" s="147">
        <f>25*(AT21-T21)</f>
        <v>1188852.7</v>
      </c>
      <c r="X21" s="153">
        <f t="shared" si="8"/>
        <v>44802.729999999996</v>
      </c>
      <c r="Y21" s="240">
        <f>'úhrady od ZP za léčbu'!V21</f>
        <v>44802.740000000005</v>
      </c>
      <c r="Z21" s="236">
        <f t="shared" si="4"/>
        <v>1.0000000009313226E-2</v>
      </c>
      <c r="AA21" s="152">
        <f>25*(AX21-X21)</f>
        <v>3801341.6500000008</v>
      </c>
      <c r="AB21" s="156">
        <f t="shared" si="5"/>
        <v>0.37450889214338301</v>
      </c>
      <c r="AC21" s="102">
        <v>0</v>
      </c>
      <c r="AD21" s="6">
        <f t="shared" si="2"/>
        <v>0</v>
      </c>
      <c r="AE21" s="19"/>
      <c r="AF21" s="19">
        <f>J18</f>
        <v>41633.879999999997</v>
      </c>
      <c r="AH21" s="19">
        <f>L6</f>
        <v>42099.729999999996</v>
      </c>
      <c r="AJ21" s="19">
        <f>R6</f>
        <v>7136.78</v>
      </c>
      <c r="AL21" s="19">
        <f>T6</f>
        <v>14007.779999999999</v>
      </c>
      <c r="AO21" s="19"/>
      <c r="AP21" s="19">
        <f>L26</f>
        <v>89480.18</v>
      </c>
      <c r="AT21" s="19">
        <f>T26</f>
        <v>53688.108</v>
      </c>
      <c r="AX21" s="19">
        <f>X26</f>
        <v>196856.39600000001</v>
      </c>
    </row>
    <row r="22" spans="1:50" ht="45.75" customHeight="1" thickTop="1" thickBot="1" x14ac:dyDescent="0.3">
      <c r="B22" s="103" t="s">
        <v>88</v>
      </c>
      <c r="C22" s="104" t="s">
        <v>89</v>
      </c>
      <c r="D22" s="104" t="s">
        <v>90</v>
      </c>
      <c r="E22" s="122" t="s">
        <v>87</v>
      </c>
      <c r="F22" s="105" t="s">
        <v>91</v>
      </c>
      <c r="G22" s="105" t="s">
        <v>92</v>
      </c>
      <c r="H22" s="123">
        <v>17367.349999999999</v>
      </c>
      <c r="I22" s="112">
        <f t="shared" si="0"/>
        <v>17367.349999999999</v>
      </c>
      <c r="J22" s="113">
        <f>I22*4</f>
        <v>69469.399999999994</v>
      </c>
      <c r="K22" s="114">
        <f>J22/AE22</f>
        <v>2.0022942853272383</v>
      </c>
      <c r="L22" s="113">
        <f>J22+(4*904)</f>
        <v>73085.399999999994</v>
      </c>
      <c r="M22" s="248">
        <f>'úhrady od ZP za léčbu'!L22</f>
        <v>48295.6</v>
      </c>
      <c r="N22" s="237">
        <f t="shared" si="3"/>
        <v>-24789.799999999996</v>
      </c>
      <c r="O22" s="114">
        <f>L22/AG22</f>
        <v>1.6407193398635485</v>
      </c>
      <c r="P22" s="129">
        <f t="shared" si="7"/>
        <v>0.9505236339952986</v>
      </c>
      <c r="Q22" s="223">
        <f>125*(AN22-L22)</f>
        <v>-1306159.2499999988</v>
      </c>
      <c r="R22" s="113">
        <f>I22*4</f>
        <v>69469.399999999994</v>
      </c>
      <c r="S22" s="114">
        <f>R22/AI22</f>
        <v>2.5028678566590479</v>
      </c>
      <c r="T22" s="249">
        <f>R22+(4*904)</f>
        <v>73085.399999999994</v>
      </c>
      <c r="U22" s="250">
        <f>T22/AK22</f>
        <v>2.7225917516035394</v>
      </c>
      <c r="V22" s="132">
        <f t="shared" si="1"/>
        <v>0.9505236339952986</v>
      </c>
      <c r="W22" s="180">
        <f>125*(AR22-T22)</f>
        <v>-2424661.4999999991</v>
      </c>
      <c r="X22" s="153">
        <f t="shared" si="8"/>
        <v>219256.19999999998</v>
      </c>
      <c r="Y22" s="240">
        <f>'úhrady od ZP za léčbu'!V22</f>
        <v>144886.79999999999</v>
      </c>
      <c r="Z22" s="236">
        <f t="shared" si="4"/>
        <v>-74369.399999999994</v>
      </c>
      <c r="AA22" s="158">
        <f>125*(AV22-X22)</f>
        <v>-6155482.2499999972</v>
      </c>
      <c r="AB22" s="156">
        <f t="shared" si="5"/>
        <v>0.21219446291149641</v>
      </c>
      <c r="AC22" s="86">
        <v>0</v>
      </c>
      <c r="AD22" s="6"/>
      <c r="AE22" s="19">
        <f>J16</f>
        <v>34694.899999999994</v>
      </c>
      <c r="AF22" s="19"/>
      <c r="AG22" s="19">
        <f>L4</f>
        <v>44544.729999999996</v>
      </c>
      <c r="AH22" s="19"/>
      <c r="AI22" s="19">
        <f>R16</f>
        <v>27755.919999999998</v>
      </c>
      <c r="AJ22" s="19"/>
      <c r="AK22" s="19">
        <f>T23</f>
        <v>26844.054</v>
      </c>
      <c r="AM22" s="19"/>
      <c r="AN22" s="19">
        <f>L24</f>
        <v>62636.126000000004</v>
      </c>
      <c r="AR22" s="19">
        <f>T24</f>
        <v>53688.108</v>
      </c>
      <c r="AV22" s="19">
        <f>X24</f>
        <v>170012.342</v>
      </c>
    </row>
    <row r="23" spans="1:50" ht="42.75" customHeight="1" thickTop="1" thickBot="1" x14ac:dyDescent="0.3">
      <c r="B23" s="33" t="s">
        <v>13</v>
      </c>
      <c r="C23" s="43" t="s">
        <v>12</v>
      </c>
      <c r="D23" s="43" t="s">
        <v>5</v>
      </c>
      <c r="E23" s="49" t="s">
        <v>15</v>
      </c>
      <c r="F23" s="46" t="s">
        <v>56</v>
      </c>
      <c r="G23" s="46" t="s">
        <v>23</v>
      </c>
      <c r="H23" s="192">
        <v>7741.4</v>
      </c>
      <c r="I23" s="193">
        <f t="shared" si="0"/>
        <v>6735.018</v>
      </c>
      <c r="J23" s="16">
        <f>I23*5</f>
        <v>33675.089999999997</v>
      </c>
      <c r="K23" s="53">
        <f>J23/AE23</f>
        <v>0.97060634271895874</v>
      </c>
      <c r="L23" s="16">
        <f>J23+(5*2213)</f>
        <v>44740.09</v>
      </c>
      <c r="M23" s="70">
        <f>'úhrady od ZP za léčbu'!L23</f>
        <v>50159.65</v>
      </c>
      <c r="N23" s="237">
        <f t="shared" si="3"/>
        <v>5419.5600000000049</v>
      </c>
      <c r="O23" s="53">
        <f>L23/AG23</f>
        <v>1.0043857039878792</v>
      </c>
      <c r="P23" s="194">
        <f t="shared" si="7"/>
        <v>0.75268266112115556</v>
      </c>
      <c r="Q23" s="183">
        <f>125*(AM23-L23)</f>
        <v>0</v>
      </c>
      <c r="R23" s="82">
        <f>I23*3</f>
        <v>20205.054</v>
      </c>
      <c r="S23" s="78">
        <f>R23/AI23</f>
        <v>0.72795475703921908</v>
      </c>
      <c r="T23" s="80">
        <f>R23+(3*2213)</f>
        <v>26844.054</v>
      </c>
      <c r="U23" s="76">
        <f>T23/AK23</f>
        <v>1</v>
      </c>
      <c r="V23" s="131">
        <f t="shared" si="1"/>
        <v>0.75268266112115556</v>
      </c>
      <c r="W23" s="149">
        <f>125*(AQ23-T23)</f>
        <v>0</v>
      </c>
      <c r="X23" s="153">
        <f t="shared" ref="X23:X26" si="16">L23+(2*T23)</f>
        <v>98428.198000000004</v>
      </c>
      <c r="Y23" s="240">
        <f>'úhrady od ZP za léčbu'!V23</f>
        <v>110351.23000000001</v>
      </c>
      <c r="Z23" s="236">
        <f t="shared" si="4"/>
        <v>11923.032000000007</v>
      </c>
      <c r="AA23" s="200">
        <f>125*(AU23-X23)</f>
        <v>0</v>
      </c>
      <c r="AB23" s="201"/>
      <c r="AC23" s="62">
        <v>0.13</v>
      </c>
      <c r="AD23" s="6">
        <f>AC23*H23</f>
        <v>1006.3819999999999</v>
      </c>
      <c r="AE23" s="19">
        <f>J16</f>
        <v>34694.899999999994</v>
      </c>
      <c r="AF23" s="19"/>
      <c r="AG23" s="19">
        <f>L4</f>
        <v>44544.729999999996</v>
      </c>
      <c r="AI23" s="19">
        <f>R16</f>
        <v>27755.919999999998</v>
      </c>
      <c r="AK23" s="19">
        <f>T23</f>
        <v>26844.054</v>
      </c>
      <c r="AM23" s="19">
        <f>L23</f>
        <v>44740.09</v>
      </c>
      <c r="AQ23" s="19">
        <f>T23</f>
        <v>26844.054</v>
      </c>
      <c r="AU23" s="19">
        <f>X23</f>
        <v>98428.198000000004</v>
      </c>
    </row>
    <row r="24" spans="1:50" ht="42" customHeight="1" thickTop="1" thickBot="1" x14ac:dyDescent="0.3">
      <c r="B24" s="34" t="s">
        <v>13</v>
      </c>
      <c r="C24" s="42" t="s">
        <v>12</v>
      </c>
      <c r="D24" s="42" t="s">
        <v>5</v>
      </c>
      <c r="E24" s="195" t="s">
        <v>15</v>
      </c>
      <c r="F24" s="195" t="s">
        <v>57</v>
      </c>
      <c r="G24" s="195" t="s">
        <v>24</v>
      </c>
      <c r="H24" s="196">
        <v>7741.4</v>
      </c>
      <c r="I24" s="197">
        <f t="shared" si="0"/>
        <v>6735.018</v>
      </c>
      <c r="J24" s="17">
        <f>I24*7</f>
        <v>47145.126000000004</v>
      </c>
      <c r="K24" s="54">
        <f>J24/AE24</f>
        <v>1.3588488798065426</v>
      </c>
      <c r="L24" s="17">
        <f>J24+(7*2213)</f>
        <v>62636.126000000004</v>
      </c>
      <c r="M24" s="71">
        <f>'úhrady od ZP za léčbu'!L24</f>
        <v>70223.510000000009</v>
      </c>
      <c r="N24" s="237">
        <f t="shared" si="3"/>
        <v>7587.3840000000055</v>
      </c>
      <c r="O24" s="54">
        <f>L24/AG24</f>
        <v>1.406139985583031</v>
      </c>
      <c r="P24" s="198">
        <f t="shared" si="7"/>
        <v>0.75268266112115556</v>
      </c>
      <c r="Q24" s="184">
        <f>125*(AN24-L24)</f>
        <v>0</v>
      </c>
      <c r="R24" s="83">
        <f>I24*6</f>
        <v>40410.108</v>
      </c>
      <c r="S24" s="79">
        <f>R24/AI24</f>
        <v>1.4559095140784382</v>
      </c>
      <c r="T24" s="81">
        <f>R24+(6*2213)</f>
        <v>53688.108</v>
      </c>
      <c r="U24" s="77">
        <f>T24/AK24</f>
        <v>2</v>
      </c>
      <c r="V24" s="132">
        <f t="shared" si="1"/>
        <v>0.75268266112115556</v>
      </c>
      <c r="W24" s="147">
        <f>125*(AR24-T24)</f>
        <v>0</v>
      </c>
      <c r="X24" s="154">
        <f t="shared" si="16"/>
        <v>170012.342</v>
      </c>
      <c r="Y24" s="244">
        <f>'úhrady od ZP za léčbu'!V24</f>
        <v>190606.67</v>
      </c>
      <c r="Z24" s="236">
        <f t="shared" si="4"/>
        <v>20594.328000000009</v>
      </c>
      <c r="AA24" s="203">
        <f>125*(AV24-X24)</f>
        <v>0</v>
      </c>
      <c r="AB24" s="204"/>
      <c r="AC24" s="63">
        <v>0.13</v>
      </c>
      <c r="AD24" s="6">
        <f>AC24*H24</f>
        <v>1006.3819999999999</v>
      </c>
      <c r="AE24" s="19">
        <f>J16</f>
        <v>34694.899999999994</v>
      </c>
      <c r="AF24" s="19"/>
      <c r="AG24" s="19">
        <f>L4</f>
        <v>44544.729999999996</v>
      </c>
      <c r="AI24" s="19">
        <f>R16</f>
        <v>27755.919999999998</v>
      </c>
      <c r="AK24" s="19">
        <f>T23</f>
        <v>26844.054</v>
      </c>
      <c r="AM24" s="19"/>
      <c r="AN24" s="19">
        <f>L24</f>
        <v>62636.126000000004</v>
      </c>
      <c r="AR24" s="19">
        <f>T24</f>
        <v>53688.108</v>
      </c>
      <c r="AV24" s="19">
        <f>X24</f>
        <v>170012.342</v>
      </c>
    </row>
    <row r="25" spans="1:50" ht="42" customHeight="1" thickTop="1" thickBot="1" x14ac:dyDescent="0.3">
      <c r="B25" s="33" t="s">
        <v>13</v>
      </c>
      <c r="C25" s="43" t="s">
        <v>12</v>
      </c>
      <c r="D25" s="43" t="s">
        <v>5</v>
      </c>
      <c r="E25" s="49" t="s">
        <v>28</v>
      </c>
      <c r="F25" s="11" t="s">
        <v>59</v>
      </c>
      <c r="G25" s="11" t="s">
        <v>60</v>
      </c>
      <c r="H25" s="192">
        <v>7741.4</v>
      </c>
      <c r="I25" s="193">
        <f t="shared" si="0"/>
        <v>6735.018</v>
      </c>
      <c r="J25" s="16">
        <f>I25*6</f>
        <v>40410.108</v>
      </c>
      <c r="K25" s="53">
        <f>J25/AF25</f>
        <v>0.97060634271895874</v>
      </c>
      <c r="L25" s="16">
        <f>J25+(6*2213)</f>
        <v>53688.108</v>
      </c>
      <c r="M25" s="70">
        <f>'úhrady od ZP za léčbu'!L25</f>
        <v>60191.58</v>
      </c>
      <c r="N25" s="237">
        <f t="shared" si="3"/>
        <v>6503.4720000000016</v>
      </c>
      <c r="O25" s="53">
        <f>L25/AH25</f>
        <v>1.2752601501244785</v>
      </c>
      <c r="P25" s="194">
        <f t="shared" si="7"/>
        <v>0.75268266112115556</v>
      </c>
      <c r="Q25" s="183">
        <f>25*(AO25-L25)</f>
        <v>0</v>
      </c>
      <c r="R25" s="82">
        <f>I25*3</f>
        <v>20205.054</v>
      </c>
      <c r="S25" s="78">
        <f>R25/AJ25</f>
        <v>2.8311162737256859</v>
      </c>
      <c r="T25" s="80">
        <f>R25+(3*2213)</f>
        <v>26844.054</v>
      </c>
      <c r="U25" s="76">
        <f>T25/AL25</f>
        <v>1.9163674757884548</v>
      </c>
      <c r="V25" s="131">
        <f t="shared" si="1"/>
        <v>0.75268266112115556</v>
      </c>
      <c r="W25" s="149">
        <f>25*(AS25-T25)</f>
        <v>0</v>
      </c>
      <c r="X25" s="153">
        <f t="shared" si="16"/>
        <v>107376.216</v>
      </c>
      <c r="Y25" s="240">
        <f>'úhrady od ZP za léčbu'!V25</f>
        <v>120383.16</v>
      </c>
      <c r="Z25" s="236">
        <f t="shared" si="4"/>
        <v>13006.944000000003</v>
      </c>
      <c r="AA25" s="200">
        <f>25*(AW25-X25)</f>
        <v>0</v>
      </c>
      <c r="AB25" s="201"/>
      <c r="AC25" s="62">
        <v>0.13</v>
      </c>
      <c r="AD25" s="6">
        <f>AC25*H25</f>
        <v>1006.3819999999999</v>
      </c>
      <c r="AE25" s="19"/>
      <c r="AF25" s="19">
        <f>J18</f>
        <v>41633.879999999997</v>
      </c>
      <c r="AH25" s="19">
        <f>L6</f>
        <v>42099.729999999996</v>
      </c>
      <c r="AJ25" s="19">
        <f>R6</f>
        <v>7136.78</v>
      </c>
      <c r="AL25" s="19">
        <f>T6</f>
        <v>14007.779999999999</v>
      </c>
      <c r="AO25" s="19">
        <f>L25</f>
        <v>53688.108</v>
      </c>
      <c r="AS25" s="19">
        <f>T25</f>
        <v>26844.054</v>
      </c>
      <c r="AW25" s="19">
        <f>X25</f>
        <v>107376.216</v>
      </c>
    </row>
    <row r="26" spans="1:50" ht="41.25" customHeight="1" thickTop="1" thickBot="1" x14ac:dyDescent="0.3">
      <c r="B26" s="34" t="s">
        <v>13</v>
      </c>
      <c r="C26" s="42" t="s">
        <v>12</v>
      </c>
      <c r="D26" s="42" t="s">
        <v>5</v>
      </c>
      <c r="E26" s="195" t="s">
        <v>61</v>
      </c>
      <c r="F26" s="195" t="s">
        <v>62</v>
      </c>
      <c r="G26" s="195" t="s">
        <v>63</v>
      </c>
      <c r="H26" s="196">
        <v>7741.4</v>
      </c>
      <c r="I26" s="197">
        <f t="shared" si="0"/>
        <v>6735.018</v>
      </c>
      <c r="J26" s="17">
        <f>I26*10</f>
        <v>67350.179999999993</v>
      </c>
      <c r="K26" s="54">
        <f>J26/AF26</f>
        <v>1.6176772378649311</v>
      </c>
      <c r="L26" s="17">
        <f>J26+(10*2213)</f>
        <v>89480.18</v>
      </c>
      <c r="M26" s="71">
        <f>'úhrady od ZP za léčbu'!L26</f>
        <v>100319.3</v>
      </c>
      <c r="N26" s="238">
        <f t="shared" si="3"/>
        <v>10839.12000000001</v>
      </c>
      <c r="O26" s="54">
        <f>L26/AH26</f>
        <v>2.1254335835407971</v>
      </c>
      <c r="P26" s="198">
        <f t="shared" si="7"/>
        <v>0.75268266112115556</v>
      </c>
      <c r="Q26" s="184">
        <f>25*(AP26-L26)</f>
        <v>0</v>
      </c>
      <c r="R26" s="83">
        <f>I26*6</f>
        <v>40410.108</v>
      </c>
      <c r="S26" s="79">
        <f>R26/AJ26</f>
        <v>5.6622325474513717</v>
      </c>
      <c r="T26" s="81">
        <f>R26+(6*2213)</f>
        <v>53688.108</v>
      </c>
      <c r="U26" s="77">
        <f>T26/AL26</f>
        <v>3.8327349515769096</v>
      </c>
      <c r="V26" s="132">
        <f t="shared" si="1"/>
        <v>0.75268266112115556</v>
      </c>
      <c r="W26" s="147">
        <f>25*(AT26-T26)</f>
        <v>0</v>
      </c>
      <c r="X26" s="154">
        <f t="shared" si="16"/>
        <v>196856.39600000001</v>
      </c>
      <c r="Y26" s="244">
        <f>'úhrady od ZP za léčbu'!V26</f>
        <v>220702.46000000002</v>
      </c>
      <c r="Z26" s="236">
        <f t="shared" si="4"/>
        <v>23846.064000000013</v>
      </c>
      <c r="AA26" s="203">
        <f>25*(AX26-X26)</f>
        <v>0</v>
      </c>
      <c r="AB26" s="204"/>
      <c r="AC26" s="63">
        <v>0.13</v>
      </c>
      <c r="AD26" s="6">
        <f>AC26*H26</f>
        <v>1006.3819999999999</v>
      </c>
      <c r="AE26" s="19"/>
      <c r="AF26" s="19">
        <f>J18</f>
        <v>41633.879999999997</v>
      </c>
      <c r="AH26" s="19">
        <f>L6</f>
        <v>42099.729999999996</v>
      </c>
      <c r="AJ26" s="19">
        <f>R6</f>
        <v>7136.78</v>
      </c>
      <c r="AL26" s="19">
        <f>T6</f>
        <v>14007.779999999999</v>
      </c>
      <c r="AP26" s="19">
        <f>L26</f>
        <v>89480.18</v>
      </c>
      <c r="AT26" s="19">
        <f>T26</f>
        <v>53688.108</v>
      </c>
      <c r="AX26" s="19">
        <f>X26</f>
        <v>196856.39600000001</v>
      </c>
    </row>
    <row r="27" spans="1:50" ht="6" customHeight="1" thickTop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50" ht="12.75" customHeight="1" x14ac:dyDescent="0.25">
      <c r="A28" s="8"/>
      <c r="B28" s="57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50" ht="14.25" customHeight="1" x14ac:dyDescent="0.25">
      <c r="A29" s="8"/>
      <c r="B29" s="5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1:50" ht="12" customHeight="1" x14ac:dyDescent="0.25">
      <c r="A30" s="8"/>
      <c r="B30" s="57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50" ht="12" customHeight="1" x14ac:dyDescent="0.25">
      <c r="A31" s="8"/>
      <c r="B31" s="57"/>
      <c r="C31" s="8"/>
      <c r="D31" s="8"/>
      <c r="E31" s="9"/>
      <c r="F31" s="9"/>
      <c r="G31" s="9"/>
      <c r="H31" s="59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spans="1:50" ht="12" customHeight="1" x14ac:dyDescent="0.25">
      <c r="A32" s="8"/>
      <c r="B32" s="57"/>
      <c r="C32" s="8"/>
      <c r="D32" s="8"/>
      <c r="E32" s="8"/>
      <c r="F32" s="8"/>
      <c r="G32" s="8"/>
      <c r="H32" s="60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spans="1:18" ht="0.75" customHeight="1" x14ac:dyDescent="0.25">
      <c r="A33" s="8"/>
      <c r="B33" s="8"/>
      <c r="C33" s="8"/>
      <c r="D33" s="8"/>
      <c r="E33" s="8"/>
      <c r="F33" s="8"/>
      <c r="G33" s="8"/>
      <c r="H33" s="61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spans="1:18" ht="14.25" customHeight="1" x14ac:dyDescent="0.25">
      <c r="A34" s="8"/>
      <c r="B34" s="58"/>
      <c r="C34" s="8"/>
      <c r="D34" s="8"/>
      <c r="E34" s="8"/>
      <c r="F34" s="8"/>
      <c r="G34" s="8"/>
      <c r="H34" s="61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spans="1:18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1:18" x14ac:dyDescent="0.25">
      <c r="A36" s="8"/>
      <c r="B36" s="57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1:18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1:18" ht="21.4" customHeight="1" x14ac:dyDescent="0.25">
      <c r="A38" s="8"/>
      <c r="B38" s="57" t="s">
        <v>151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1:18" hidden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spans="1:18" ht="21.4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</sheetData>
  <autoFilter ref="B3:AF26" xr:uid="{00000000-0009-0000-0000-000000000000}"/>
  <mergeCells count="1">
    <mergeCell ref="G1:AC1"/>
  </mergeCells>
  <pageMargins left="0.7" right="0.7" top="0.78740157499999996" bottom="0.78740157499999996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X43"/>
  <sheetViews>
    <sheetView topLeftCell="D1" zoomScaleNormal="100" workbookViewId="0">
      <selection activeCell="J11" sqref="J11"/>
    </sheetView>
  </sheetViews>
  <sheetFormatPr defaultRowHeight="15" x14ac:dyDescent="0.25"/>
  <cols>
    <col min="1" max="1" width="3.28515625" customWidth="1"/>
    <col min="2" max="3" width="2.7109375" customWidth="1"/>
    <col min="4" max="4" width="28.42578125" customWidth="1"/>
    <col min="5" max="5" width="11.7109375" hidden="1" customWidth="1"/>
    <col min="6" max="7" width="9.7109375" hidden="1" customWidth="1"/>
    <col min="8" max="8" width="10.28515625" hidden="1" customWidth="1"/>
    <col min="9" max="9" width="13" customWidth="1"/>
    <col min="10" max="10" width="11.28515625" customWidth="1"/>
    <col min="11" max="11" width="12.5703125" customWidth="1"/>
    <col min="12" max="12" width="11.7109375" hidden="1" customWidth="1"/>
    <col min="13" max="13" width="2.7109375" customWidth="1"/>
    <col min="27" max="27" width="10.42578125" style="8" customWidth="1"/>
  </cols>
  <sheetData>
    <row r="1" spans="1:50" ht="48" x14ac:dyDescent="0.25">
      <c r="D1" s="8"/>
      <c r="E1" s="20" t="s">
        <v>6</v>
      </c>
      <c r="F1" s="21" t="s">
        <v>7</v>
      </c>
      <c r="G1" s="21" t="s">
        <v>8</v>
      </c>
      <c r="H1" s="21" t="s">
        <v>9</v>
      </c>
      <c r="I1" s="22" t="s">
        <v>109</v>
      </c>
      <c r="J1" s="22" t="s">
        <v>109</v>
      </c>
      <c r="K1" s="22" t="s">
        <v>109</v>
      </c>
      <c r="L1" s="20" t="s">
        <v>10</v>
      </c>
      <c r="M1" s="2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21.75" customHeight="1" thickBot="1" x14ac:dyDescent="0.3">
      <c r="D2" s="162"/>
      <c r="E2" s="166">
        <f t="shared" ref="E2:E3" si="0">L2-M2</f>
        <v>1228532.7039999999</v>
      </c>
      <c r="F2" s="167"/>
      <c r="G2" s="167"/>
      <c r="H2" s="167"/>
      <c r="I2" s="166"/>
      <c r="J2" s="166"/>
      <c r="K2" s="166"/>
      <c r="L2" s="26">
        <f>[1]CMA!P5</f>
        <v>1228532.7039999999</v>
      </c>
      <c r="M2" s="2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36.75" customHeight="1" thickTop="1" x14ac:dyDescent="0.25">
      <c r="A3">
        <v>10</v>
      </c>
      <c r="B3">
        <v>10</v>
      </c>
      <c r="C3">
        <v>10</v>
      </c>
      <c r="D3" s="161" t="s">
        <v>139</v>
      </c>
      <c r="E3" s="170">
        <f t="shared" si="0"/>
        <v>1125788.96</v>
      </c>
      <c r="F3" s="171"/>
      <c r="G3" s="171"/>
      <c r="H3" s="171"/>
      <c r="I3" s="170">
        <f>'Ceny za léčbu '!X4</f>
        <v>113768.62999999999</v>
      </c>
      <c r="J3" s="170">
        <f>'Ceny za léčbu '!X4</f>
        <v>113768.62999999999</v>
      </c>
      <c r="K3" s="172">
        <f>'Ceny za léčbu '!X5</f>
        <v>208130.03999999998</v>
      </c>
      <c r="L3" s="165">
        <f>[1]CMA!P6</f>
        <v>1125788.96</v>
      </c>
      <c r="M3" s="2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36" customHeight="1" x14ac:dyDescent="0.25">
      <c r="A4">
        <v>9</v>
      </c>
      <c r="B4">
        <v>9</v>
      </c>
      <c r="C4">
        <v>9</v>
      </c>
      <c r="D4" s="173" t="s">
        <v>113</v>
      </c>
      <c r="E4" s="24" t="e">
        <f>#REF!-#REF!</f>
        <v>#REF!</v>
      </c>
      <c r="F4" s="25"/>
      <c r="G4" s="25"/>
      <c r="H4" s="25"/>
      <c r="I4" s="24">
        <f>'Ceny za léčbu '!X8</f>
        <v>177233.87909999999</v>
      </c>
      <c r="J4" s="24">
        <f>'Ceny za léčbu '!X8</f>
        <v>177233.87909999999</v>
      </c>
      <c r="K4" s="174">
        <f>'Ceny za léčbu '!X9</f>
        <v>242530.57140000002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36" customHeight="1" x14ac:dyDescent="0.25">
      <c r="A5">
        <v>8</v>
      </c>
      <c r="B5">
        <v>8</v>
      </c>
      <c r="C5">
        <v>8</v>
      </c>
      <c r="D5" s="173" t="s">
        <v>114</v>
      </c>
      <c r="E5" s="24"/>
      <c r="F5" s="25"/>
      <c r="G5" s="25"/>
      <c r="H5" s="25"/>
      <c r="I5" s="24">
        <f>'Ceny za léčbu '!X16</f>
        <v>118975.73999999999</v>
      </c>
      <c r="J5" s="24">
        <f>'Ceny za léčbu '!X16</f>
        <v>118975.73999999999</v>
      </c>
      <c r="K5" s="174">
        <f>'Ceny za léčbu '!X17</f>
        <v>173887.62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36" customHeight="1" x14ac:dyDescent="0.25">
      <c r="A6">
        <v>7</v>
      </c>
      <c r="B6">
        <v>7</v>
      </c>
      <c r="C6">
        <v>7</v>
      </c>
      <c r="D6" s="225" t="s">
        <v>115</v>
      </c>
      <c r="E6" s="166"/>
      <c r="F6" s="167"/>
      <c r="G6" s="167"/>
      <c r="H6" s="167"/>
      <c r="I6" s="166">
        <f>'Ceny za léčbu '!X23</f>
        <v>98428.198000000004</v>
      </c>
      <c r="J6" s="166">
        <f>'Ceny za léčbu '!X23</f>
        <v>98428.198000000004</v>
      </c>
      <c r="K6" s="226">
        <f>'Ceny za léčbu '!X24</f>
        <v>170012.342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36" customHeight="1" thickBot="1" x14ac:dyDescent="0.3">
      <c r="A7">
        <v>6</v>
      </c>
      <c r="B7">
        <v>6</v>
      </c>
      <c r="C7">
        <v>6</v>
      </c>
      <c r="D7" s="175" t="s">
        <v>142</v>
      </c>
      <c r="E7" s="176"/>
      <c r="F7" s="177"/>
      <c r="G7" s="177"/>
      <c r="H7" s="177"/>
      <c r="I7" s="176">
        <f>'Ceny za léčbu '!X13</f>
        <v>111937.1868</v>
      </c>
      <c r="J7" s="176">
        <f>'Ceny za léčbu '!X13</f>
        <v>111937.1868</v>
      </c>
      <c r="K7" s="178">
        <f>'Ceny za léčbu '!X12</f>
        <v>177233.87909999999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36" customHeight="1" thickTop="1" x14ac:dyDescent="0.25">
      <c r="A8">
        <v>5</v>
      </c>
      <c r="B8">
        <v>5</v>
      </c>
      <c r="C8">
        <v>5</v>
      </c>
      <c r="D8" s="44" t="s">
        <v>140</v>
      </c>
      <c r="E8" s="168"/>
      <c r="F8" s="169"/>
      <c r="G8" s="169"/>
      <c r="H8" s="169"/>
      <c r="I8" s="168">
        <f>'Ceny za léčbu '!L4</f>
        <v>44544.729999999996</v>
      </c>
      <c r="J8" s="168">
        <f>'Ceny za léčbu '!L4</f>
        <v>44544.729999999996</v>
      </c>
      <c r="K8" s="168">
        <f>'Ceny za léčbu '!L5</f>
        <v>69376.679999999993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36" customHeight="1" x14ac:dyDescent="0.25">
      <c r="A9">
        <v>4</v>
      </c>
      <c r="B9">
        <v>4</v>
      </c>
      <c r="C9">
        <v>4</v>
      </c>
      <c r="D9" s="163" t="s">
        <v>110</v>
      </c>
      <c r="E9" s="24"/>
      <c r="F9" s="25"/>
      <c r="G9" s="25"/>
      <c r="H9" s="25"/>
      <c r="I9" s="24">
        <f>'Ceny za léčbu '!L8</f>
        <v>65296.692300000002</v>
      </c>
      <c r="J9" s="24">
        <f>'Ceny za léčbu '!L8</f>
        <v>65296.692300000002</v>
      </c>
      <c r="K9" s="24">
        <f>'Ceny za léčbu '!L9</f>
        <v>93280.989000000001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36" customHeight="1" x14ac:dyDescent="0.25">
      <c r="A10">
        <v>3</v>
      </c>
      <c r="B10">
        <v>3</v>
      </c>
      <c r="C10">
        <v>3</v>
      </c>
      <c r="D10" s="163" t="s">
        <v>111</v>
      </c>
      <c r="E10" s="24"/>
      <c r="F10" s="25"/>
      <c r="G10" s="25"/>
      <c r="H10" s="25"/>
      <c r="I10" s="24">
        <f>'Ceny za léčbu '!L16</f>
        <v>45759.899999999994</v>
      </c>
      <c r="J10" s="24">
        <f>'Ceny za léčbu '!L16</f>
        <v>45759.899999999994</v>
      </c>
      <c r="K10" s="24">
        <f>'Ceny za léčbu '!L17</f>
        <v>64063.86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34.5" customHeight="1" x14ac:dyDescent="0.25">
      <c r="A11">
        <v>2</v>
      </c>
      <c r="B11">
        <v>2</v>
      </c>
      <c r="C11">
        <v>2</v>
      </c>
      <c r="D11" s="163" t="s">
        <v>112</v>
      </c>
      <c r="E11" s="24" t="e">
        <f>#REF!-#REF!</f>
        <v>#REF!</v>
      </c>
      <c r="F11" s="25"/>
      <c r="G11" s="25"/>
      <c r="H11" s="25"/>
      <c r="I11" s="24">
        <f>'Ceny za léčbu '!L23</f>
        <v>44740.09</v>
      </c>
      <c r="J11" s="24">
        <f>'Ceny za léčbu '!L23</f>
        <v>44740.09</v>
      </c>
      <c r="K11" s="24">
        <f>'Ceny za léčbu '!L24</f>
        <v>62636.126000000004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38.25" customHeight="1" x14ac:dyDescent="0.25">
      <c r="A12">
        <v>1</v>
      </c>
      <c r="B12">
        <v>1</v>
      </c>
      <c r="C12">
        <v>1</v>
      </c>
      <c r="D12" s="164" t="s">
        <v>141</v>
      </c>
      <c r="E12" s="24" t="e">
        <f>#REF!-#REF!</f>
        <v>#REF!</v>
      </c>
      <c r="F12" s="25"/>
      <c r="G12" s="25"/>
      <c r="H12" s="25"/>
      <c r="I12" s="24">
        <f>'Ceny za léčbu '!L13</f>
        <v>55968.593399999998</v>
      </c>
      <c r="J12" s="24">
        <f>'Ceny za léčbu '!L13</f>
        <v>55968.593399999998</v>
      </c>
      <c r="K12" s="24">
        <f>'Ceny za léčbu '!L12</f>
        <v>65296.692300000002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2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2" customHeight="1" x14ac:dyDescent="0.25">
      <c r="D13" s="9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29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x14ac:dyDescent="0.25"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x14ac:dyDescent="0.25"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x14ac:dyDescent="0.25"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4:50" x14ac:dyDescent="0.25"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4:50" x14ac:dyDescent="0.25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4:50" x14ac:dyDescent="0.25"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4:50" x14ac:dyDescent="0.25"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4:50" x14ac:dyDescent="0.25"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4:50" x14ac:dyDescent="0.25"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4:50" x14ac:dyDescent="0.25"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4:50" x14ac:dyDescent="0.25"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4:50" x14ac:dyDescent="0.25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4:50" x14ac:dyDescent="0.25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4:50" x14ac:dyDescent="0.25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4:50" x14ac:dyDescent="0.25"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4:50" x14ac:dyDescent="0.25"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4:50" ht="10.5" customHeight="1" x14ac:dyDescent="0.25">
      <c r="D30" s="2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4:50" x14ac:dyDescent="0.2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4:50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4:50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4:50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4:50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4:50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4:50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4:50" ht="4.5" customHeight="1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4:50" ht="10.5" customHeight="1" x14ac:dyDescent="0.25">
      <c r="D39" s="8"/>
      <c r="E39" s="8"/>
      <c r="F39" s="8"/>
      <c r="G39" s="8"/>
      <c r="H39" s="8"/>
      <c r="I39" s="8"/>
      <c r="J39" s="8"/>
      <c r="K39" s="8"/>
      <c r="L39" s="8"/>
      <c r="M39" s="8"/>
      <c r="N39" s="2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4:50" ht="12" customHeight="1" x14ac:dyDescent="0.25">
      <c r="N40" s="30"/>
    </row>
    <row r="41" spans="4:50" ht="12" customHeight="1" x14ac:dyDescent="0.25">
      <c r="N41" s="31"/>
    </row>
    <row r="42" spans="4:50" ht="12.75" customHeight="1" x14ac:dyDescent="0.25">
      <c r="N42" s="30"/>
    </row>
    <row r="43" spans="4:50" ht="12" customHeight="1" x14ac:dyDescent="0.25">
      <c r="N43" s="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X44"/>
  <sheetViews>
    <sheetView topLeftCell="D1" zoomScaleNormal="100" workbookViewId="0">
      <selection activeCell="AF12" sqref="AF12"/>
    </sheetView>
  </sheetViews>
  <sheetFormatPr defaultRowHeight="15" x14ac:dyDescent="0.25"/>
  <cols>
    <col min="1" max="1" width="3.28515625" customWidth="1"/>
    <col min="2" max="3" width="2.7109375" customWidth="1"/>
    <col min="4" max="4" width="28.42578125" customWidth="1"/>
    <col min="5" max="5" width="11.7109375" hidden="1" customWidth="1"/>
    <col min="6" max="7" width="9.7109375" hidden="1" customWidth="1"/>
    <col min="8" max="8" width="10.28515625" hidden="1" customWidth="1"/>
    <col min="9" max="9" width="13" customWidth="1"/>
    <col min="10" max="10" width="11.28515625" customWidth="1"/>
    <col min="11" max="11" width="12.5703125" customWidth="1"/>
    <col min="12" max="12" width="11.7109375" hidden="1" customWidth="1"/>
    <col min="13" max="13" width="9.7109375" customWidth="1"/>
    <col min="27" max="27" width="10.42578125" style="8" customWidth="1"/>
  </cols>
  <sheetData>
    <row r="1" spans="1:50" ht="24" customHeight="1" x14ac:dyDescent="0.25">
      <c r="D1" s="8"/>
      <c r="E1" s="20" t="s">
        <v>6</v>
      </c>
      <c r="F1" s="21" t="s">
        <v>7</v>
      </c>
      <c r="G1" s="21" t="s">
        <v>8</v>
      </c>
      <c r="H1" s="21" t="s">
        <v>9</v>
      </c>
      <c r="I1" s="22" t="s">
        <v>109</v>
      </c>
      <c r="J1" s="22" t="s">
        <v>109</v>
      </c>
      <c r="K1" s="22" t="s">
        <v>109</v>
      </c>
      <c r="L1" s="20" t="s">
        <v>10</v>
      </c>
      <c r="M1" s="2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16.5" customHeight="1" thickBot="1" x14ac:dyDescent="0.3">
      <c r="D2" s="162"/>
      <c r="E2" s="166">
        <f t="shared" ref="E2:E3" si="0">L2-M2</f>
        <v>1228532.7039999999</v>
      </c>
      <c r="F2" s="167"/>
      <c r="G2" s="167"/>
      <c r="H2" s="167"/>
      <c r="I2" s="166"/>
      <c r="J2" s="166"/>
      <c r="K2" s="166"/>
      <c r="L2" s="26">
        <f>[1]CMA!P5</f>
        <v>1228532.7039999999</v>
      </c>
      <c r="M2" s="2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36.75" customHeight="1" thickTop="1" x14ac:dyDescent="0.25">
      <c r="A3">
        <v>10</v>
      </c>
      <c r="B3">
        <v>10</v>
      </c>
      <c r="C3">
        <v>10</v>
      </c>
      <c r="D3" s="161" t="s">
        <v>145</v>
      </c>
      <c r="E3" s="170">
        <f t="shared" si="0"/>
        <v>1125788.96</v>
      </c>
      <c r="F3" s="171"/>
      <c r="G3" s="171"/>
      <c r="H3" s="171"/>
      <c r="I3" s="170">
        <f>'Ceny za léčbu '!X6</f>
        <v>70115.289999999994</v>
      </c>
      <c r="J3" s="170">
        <f>'Ceny za léčbu '!X6</f>
        <v>70115.289999999994</v>
      </c>
      <c r="K3" s="172">
        <f>'Ceny za léčbu '!X7</f>
        <v>175071.69999999998</v>
      </c>
      <c r="L3" s="165">
        <f>[1]CMA!P6</f>
        <v>1125788.96</v>
      </c>
      <c r="M3" s="2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36" customHeight="1" x14ac:dyDescent="0.25">
      <c r="A4">
        <v>9</v>
      </c>
      <c r="B4">
        <v>9</v>
      </c>
      <c r="C4">
        <v>9</v>
      </c>
      <c r="D4" s="173" t="s">
        <v>116</v>
      </c>
      <c r="E4" s="24" t="e">
        <f>#REF!-#REF!</f>
        <v>#REF!</v>
      </c>
      <c r="F4" s="25"/>
      <c r="G4" s="25"/>
      <c r="H4" s="25"/>
      <c r="I4" s="24">
        <f>'Ceny za léčbu '!X10</f>
        <v>109129.0879</v>
      </c>
      <c r="J4" s="24">
        <f>'Ceny za léčbu '!X10</f>
        <v>109129.0879</v>
      </c>
      <c r="K4" s="174">
        <f>'Ceny za léčbu '!X11</f>
        <v>255933.6703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36" customHeight="1" x14ac:dyDescent="0.25">
      <c r="A5">
        <v>8</v>
      </c>
      <c r="B5">
        <v>8</v>
      </c>
      <c r="C5">
        <v>8</v>
      </c>
      <c r="D5" s="173" t="s">
        <v>117</v>
      </c>
      <c r="E5" s="24"/>
      <c r="F5" s="25"/>
      <c r="G5" s="25"/>
      <c r="H5" s="25"/>
      <c r="I5" s="24">
        <f>'Ceny za léčbu '!X18</f>
        <v>128127.72</v>
      </c>
      <c r="J5" s="24">
        <f>'Ceny za léčbu '!X18</f>
        <v>128127.72</v>
      </c>
      <c r="K5" s="174">
        <f>'Ceny za léčbu '!X19</f>
        <v>173887.62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36" customHeight="1" x14ac:dyDescent="0.25">
      <c r="A6">
        <v>7</v>
      </c>
      <c r="B6">
        <v>7</v>
      </c>
      <c r="C6">
        <v>7</v>
      </c>
      <c r="D6" s="225" t="s">
        <v>118</v>
      </c>
      <c r="E6" s="166"/>
      <c r="F6" s="167"/>
      <c r="G6" s="167"/>
      <c r="H6" s="167"/>
      <c r="I6" s="166">
        <f>'Ceny za léčbu '!X25</f>
        <v>107376.216</v>
      </c>
      <c r="J6" s="166">
        <f>'Ceny za léčbu '!X25</f>
        <v>107376.216</v>
      </c>
      <c r="K6" s="226">
        <f>'Ceny za léčbu '!X26</f>
        <v>196856.39600000001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36" customHeight="1" thickBot="1" x14ac:dyDescent="0.3">
      <c r="A7">
        <v>6</v>
      </c>
      <c r="B7">
        <v>6</v>
      </c>
      <c r="C7">
        <v>6</v>
      </c>
      <c r="D7" s="175" t="s">
        <v>142</v>
      </c>
      <c r="E7" s="176"/>
      <c r="F7" s="177"/>
      <c r="G7" s="177"/>
      <c r="H7" s="177"/>
      <c r="I7" s="176">
        <f>'Ceny za léčbu '!X15</f>
        <v>111937.1868</v>
      </c>
      <c r="J7" s="176">
        <f>'Ceny za léčbu '!X15</f>
        <v>111937.1868</v>
      </c>
      <c r="K7" s="178">
        <f>'Ceny za léčbu '!X14</f>
        <v>177233.87909999999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36" customHeight="1" thickTop="1" x14ac:dyDescent="0.25">
      <c r="A8">
        <v>5</v>
      </c>
      <c r="B8">
        <v>5</v>
      </c>
      <c r="C8">
        <v>5</v>
      </c>
      <c r="D8" s="44" t="s">
        <v>140</v>
      </c>
      <c r="E8" s="168"/>
      <c r="F8" s="169"/>
      <c r="G8" s="169"/>
      <c r="H8" s="169"/>
      <c r="I8" s="168">
        <f>'Ceny za léčbu '!L6</f>
        <v>42099.729999999996</v>
      </c>
      <c r="J8" s="168">
        <f>'Ceny za léčbu '!L6</f>
        <v>42099.729999999996</v>
      </c>
      <c r="K8" s="168">
        <f>'Ceny za léčbu '!L7</f>
        <v>69376.679999999993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36" customHeight="1" x14ac:dyDescent="0.25">
      <c r="A9">
        <v>4</v>
      </c>
      <c r="B9">
        <v>4</v>
      </c>
      <c r="C9">
        <v>4</v>
      </c>
      <c r="D9" s="163" t="s">
        <v>119</v>
      </c>
      <c r="E9" s="24"/>
      <c r="F9" s="25"/>
      <c r="G9" s="25"/>
      <c r="H9" s="25"/>
      <c r="I9" s="24">
        <f>'Ceny za léčbu '!L10</f>
        <v>66926.692299999995</v>
      </c>
      <c r="J9" s="24">
        <f>'Ceny za léčbu '!L10</f>
        <v>66926.692299999995</v>
      </c>
      <c r="K9" s="24">
        <f>'Ceny za léčbu '!L11</f>
        <v>103424.0879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36" customHeight="1" x14ac:dyDescent="0.25">
      <c r="A10">
        <v>3</v>
      </c>
      <c r="B10">
        <v>3</v>
      </c>
      <c r="C10">
        <v>3</v>
      </c>
      <c r="D10" s="163" t="s">
        <v>120</v>
      </c>
      <c r="E10" s="24"/>
      <c r="F10" s="25"/>
      <c r="G10" s="25"/>
      <c r="H10" s="25"/>
      <c r="I10" s="24">
        <f>'Ceny za léčbu '!L18</f>
        <v>54911.88</v>
      </c>
      <c r="J10" s="24">
        <f>'Ceny za léčbu '!L18</f>
        <v>54911.88</v>
      </c>
      <c r="K10" s="24">
        <f>'Ceny za léčbu '!L19</f>
        <v>64063.86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34.5" customHeight="1" x14ac:dyDescent="0.25">
      <c r="A11">
        <v>2</v>
      </c>
      <c r="B11">
        <v>2</v>
      </c>
      <c r="C11">
        <v>2</v>
      </c>
      <c r="D11" s="163" t="s">
        <v>121</v>
      </c>
      <c r="E11" s="24" t="e">
        <f>#REF!-#REF!</f>
        <v>#REF!</v>
      </c>
      <c r="F11" s="25"/>
      <c r="G11" s="25"/>
      <c r="H11" s="25"/>
      <c r="I11" s="24">
        <f>'Ceny za léčbu '!L25</f>
        <v>53688.108</v>
      </c>
      <c r="J11" s="24">
        <f>'Ceny za léčbu '!L25</f>
        <v>53688.108</v>
      </c>
      <c r="K11" s="24">
        <f>'Ceny za léčbu '!L26</f>
        <v>89480.18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34.5" customHeight="1" x14ac:dyDescent="0.25">
      <c r="A12">
        <v>1</v>
      </c>
      <c r="B12">
        <v>1</v>
      </c>
      <c r="C12">
        <v>1</v>
      </c>
      <c r="D12" s="164" t="s">
        <v>141</v>
      </c>
      <c r="E12" s="24"/>
      <c r="F12" s="25"/>
      <c r="G12" s="25"/>
      <c r="H12" s="25"/>
      <c r="I12" s="24">
        <f>'Ceny za léčbu '!L15</f>
        <v>55968.593399999998</v>
      </c>
      <c r="J12" s="24">
        <f>'Ceny za léčbu '!L15</f>
        <v>55968.593399999998</v>
      </c>
      <c r="K12" s="24">
        <f>'Ceny za léčbu '!L14</f>
        <v>65296.692300000002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0.5" customHeight="1" x14ac:dyDescent="0.25">
      <c r="D13" s="2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29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2" customHeight="1" x14ac:dyDescent="0.25">
      <c r="D14" s="9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x14ac:dyDescent="0.25"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29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x14ac:dyDescent="0.25"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4:50" x14ac:dyDescent="0.25"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4:50" x14ac:dyDescent="0.25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4:50" x14ac:dyDescent="0.25"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4:50" x14ac:dyDescent="0.25"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4:50" x14ac:dyDescent="0.25"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4:50" x14ac:dyDescent="0.25"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4:50" x14ac:dyDescent="0.25"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4:50" x14ac:dyDescent="0.25"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4:50" x14ac:dyDescent="0.25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4:50" x14ac:dyDescent="0.25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4:50" x14ac:dyDescent="0.25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4:50" x14ac:dyDescent="0.25"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4:50" x14ac:dyDescent="0.25"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4:50" x14ac:dyDescent="0.2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4:50" ht="10.5" customHeight="1" x14ac:dyDescent="0.25">
      <c r="D31" s="2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4:50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4:50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4:50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4:50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4:50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4:50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4:50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4:50" ht="4.5" customHeight="1" x14ac:dyDescent="0.25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4:50" ht="10.5" customHeight="1" x14ac:dyDescent="0.25">
      <c r="D40" s="8"/>
      <c r="E40" s="8"/>
      <c r="F40" s="8"/>
      <c r="G40" s="8"/>
      <c r="H40" s="8"/>
      <c r="I40" s="8"/>
      <c r="J40" s="8"/>
      <c r="K40" s="8"/>
      <c r="L40" s="8"/>
      <c r="M40" s="8"/>
      <c r="N40" s="2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4:50" ht="12" customHeight="1" x14ac:dyDescent="0.25">
      <c r="N41" s="30"/>
    </row>
    <row r="42" spans="4:50" ht="12" customHeight="1" x14ac:dyDescent="0.25">
      <c r="N42" s="31"/>
    </row>
    <row r="43" spans="4:50" ht="12.75" customHeight="1" x14ac:dyDescent="0.25">
      <c r="N43" s="30"/>
    </row>
    <row r="44" spans="4:50" ht="12" customHeight="1" x14ac:dyDescent="0.25">
      <c r="N44" s="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40"/>
  <sheetViews>
    <sheetView zoomScale="80" zoomScaleNormal="80" workbookViewId="0">
      <pane xSplit="2" ySplit="3" topLeftCell="C4" activePane="bottomRight" state="frozen"/>
      <selection pane="topRight" activeCell="D1" sqref="D1"/>
      <selection pane="bottomLeft" activeCell="A4" sqref="A4"/>
      <selection pane="bottomRight" activeCell="AE4" sqref="AE4"/>
    </sheetView>
  </sheetViews>
  <sheetFormatPr defaultRowHeight="15" x14ac:dyDescent="0.25"/>
  <cols>
    <col min="1" max="1" width="2.7109375" customWidth="1"/>
    <col min="2" max="2" width="22.7109375" customWidth="1"/>
    <col min="3" max="3" width="11.42578125" customWidth="1"/>
    <col min="4" max="4" width="10.28515625" customWidth="1"/>
    <col min="5" max="5" width="19.42578125" customWidth="1"/>
    <col min="6" max="6" width="39" customWidth="1"/>
    <col min="7" max="7" width="29" customWidth="1"/>
    <col min="8" max="8" width="14.7109375" hidden="1" customWidth="1"/>
    <col min="9" max="9" width="12.7109375" customWidth="1"/>
    <col min="10" max="10" width="15" hidden="1" customWidth="1"/>
    <col min="11" max="11" width="7.28515625" hidden="1" customWidth="1"/>
    <col min="12" max="12" width="20.85546875" customWidth="1"/>
    <col min="13" max="13" width="12.7109375" hidden="1" customWidth="1"/>
    <col min="14" max="14" width="7.7109375" hidden="1" customWidth="1"/>
    <col min="15" max="15" width="21" hidden="1" customWidth="1"/>
    <col min="16" max="16" width="7.7109375" hidden="1" customWidth="1"/>
    <col min="17" max="17" width="10.42578125" hidden="1" customWidth="1"/>
    <col min="18" max="18" width="21.42578125" customWidth="1"/>
    <col min="19" max="19" width="0.28515625" hidden="1" customWidth="1"/>
    <col min="20" max="20" width="7.7109375" hidden="1" customWidth="1"/>
    <col min="21" max="21" width="21.28515625" hidden="1" customWidth="1"/>
    <col min="22" max="22" width="18.5703125" customWidth="1"/>
    <col min="23" max="23" width="1.28515625" hidden="1" customWidth="1"/>
    <col min="24" max="24" width="12.28515625" hidden="1" customWidth="1"/>
    <col min="25" max="25" width="0.28515625" hidden="1" customWidth="1"/>
    <col min="26" max="26" width="11.7109375" customWidth="1"/>
    <col min="27" max="27" width="10.7109375" hidden="1" customWidth="1"/>
    <col min="28" max="28" width="10.28515625" hidden="1" customWidth="1"/>
    <col min="29" max="30" width="10.28515625" customWidth="1"/>
    <col min="31" max="31" width="10.42578125" customWidth="1"/>
    <col min="32" max="32" width="10.7109375" customWidth="1"/>
    <col min="33" max="33" width="11.28515625" customWidth="1"/>
    <col min="34" max="34" width="10.28515625" customWidth="1"/>
    <col min="35" max="35" width="12.7109375" customWidth="1"/>
    <col min="36" max="36" width="13" customWidth="1"/>
    <col min="37" max="37" width="12.7109375" customWidth="1"/>
    <col min="38" max="38" width="12.28515625" customWidth="1"/>
    <col min="39" max="39" width="12.7109375" customWidth="1"/>
    <col min="40" max="40" width="12.42578125" customWidth="1"/>
    <col min="41" max="41" width="11.42578125" customWidth="1"/>
    <col min="42" max="42" width="11.5703125" customWidth="1"/>
    <col min="43" max="43" width="11.7109375" customWidth="1"/>
    <col min="44" max="44" width="12.5703125" customWidth="1"/>
    <col min="45" max="46" width="11.7109375" customWidth="1"/>
  </cols>
  <sheetData>
    <row r="1" spans="2:46" ht="21.75" customHeight="1" thickBot="1" x14ac:dyDescent="0.3">
      <c r="B1" s="242" t="s">
        <v>14</v>
      </c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</row>
    <row r="2" spans="2:46" ht="0.75" hidden="1" customHeight="1" thickBot="1" x14ac:dyDescent="0.3"/>
    <row r="3" spans="2:46" ht="66" customHeight="1" thickTop="1" thickBot="1" x14ac:dyDescent="0.3">
      <c r="B3" s="1" t="s">
        <v>2</v>
      </c>
      <c r="C3" s="3" t="s">
        <v>0</v>
      </c>
      <c r="D3" s="69" t="s">
        <v>3</v>
      </c>
      <c r="E3" s="2" t="s">
        <v>30</v>
      </c>
      <c r="F3" s="2" t="s">
        <v>53</v>
      </c>
      <c r="G3" s="50" t="s">
        <v>16</v>
      </c>
      <c r="H3" s="5" t="s">
        <v>128</v>
      </c>
      <c r="I3" s="5" t="s">
        <v>128</v>
      </c>
      <c r="J3" s="65" t="s">
        <v>66</v>
      </c>
      <c r="K3" s="65" t="s">
        <v>64</v>
      </c>
      <c r="L3" s="66" t="s">
        <v>146</v>
      </c>
      <c r="M3" s="66" t="s">
        <v>64</v>
      </c>
      <c r="N3" s="128" t="s">
        <v>93</v>
      </c>
      <c r="O3" s="128" t="s">
        <v>122</v>
      </c>
      <c r="P3" s="75" t="s">
        <v>72</v>
      </c>
      <c r="Q3" s="75" t="s">
        <v>64</v>
      </c>
      <c r="R3" s="32" t="s">
        <v>147</v>
      </c>
      <c r="S3" s="32" t="s">
        <v>64</v>
      </c>
      <c r="T3" s="137" t="s">
        <v>93</v>
      </c>
      <c r="U3" s="137" t="s">
        <v>123</v>
      </c>
      <c r="V3" s="138" t="s">
        <v>148</v>
      </c>
      <c r="W3" s="139" t="s">
        <v>124</v>
      </c>
      <c r="X3" s="155" t="s">
        <v>108</v>
      </c>
      <c r="Y3" s="4" t="s">
        <v>1</v>
      </c>
      <c r="AA3" s="52" t="s">
        <v>58</v>
      </c>
      <c r="AB3" s="52" t="s">
        <v>65</v>
      </c>
      <c r="AC3" s="74" t="s">
        <v>68</v>
      </c>
      <c r="AD3" s="74" t="s">
        <v>69</v>
      </c>
      <c r="AE3" s="52" t="s">
        <v>84</v>
      </c>
      <c r="AF3" s="52" t="s">
        <v>85</v>
      </c>
      <c r="AG3" s="74" t="s">
        <v>70</v>
      </c>
      <c r="AH3" s="74" t="s">
        <v>71</v>
      </c>
      <c r="AI3" s="143" t="s">
        <v>96</v>
      </c>
      <c r="AJ3" s="143" t="s">
        <v>97</v>
      </c>
      <c r="AK3" s="143" t="s">
        <v>98</v>
      </c>
      <c r="AL3" s="143" t="s">
        <v>99</v>
      </c>
      <c r="AM3" s="144" t="s">
        <v>106</v>
      </c>
      <c r="AN3" s="144" t="s">
        <v>107</v>
      </c>
      <c r="AO3" s="144" t="s">
        <v>100</v>
      </c>
      <c r="AP3" s="144" t="s">
        <v>101</v>
      </c>
      <c r="AQ3" s="145" t="s">
        <v>104</v>
      </c>
      <c r="AR3" s="145" t="s">
        <v>105</v>
      </c>
      <c r="AS3" s="145" t="s">
        <v>102</v>
      </c>
      <c r="AT3" s="145" t="s">
        <v>103</v>
      </c>
    </row>
    <row r="4" spans="2:46" ht="45" customHeight="1" thickTop="1" x14ac:dyDescent="0.25">
      <c r="B4" s="40" t="s">
        <v>130</v>
      </c>
      <c r="C4" s="41" t="s">
        <v>11</v>
      </c>
      <c r="D4" s="41" t="s">
        <v>132</v>
      </c>
      <c r="E4" s="18" t="s">
        <v>22</v>
      </c>
      <c r="F4" s="18" t="s">
        <v>25</v>
      </c>
      <c r="G4" s="18" t="s">
        <v>29</v>
      </c>
      <c r="H4" s="187">
        <v>7818.94</v>
      </c>
      <c r="I4" s="7">
        <f t="shared" ref="I4:I26" si="0">H4-Z4</f>
        <v>7818.94</v>
      </c>
      <c r="J4" s="51">
        <f>I4*7</f>
        <v>54732.579999999994</v>
      </c>
      <c r="K4" s="53">
        <f>J4/AA4</f>
        <v>1.4000017905263251</v>
      </c>
      <c r="L4" s="70">
        <f>J4+((7*2213)+(5*815))</f>
        <v>74298.579999999987</v>
      </c>
      <c r="M4" s="67">
        <f>L4/AC4</f>
        <v>1</v>
      </c>
      <c r="N4" s="124">
        <f>J4/L4</f>
        <v>0.73665714741789146</v>
      </c>
      <c r="O4" s="141">
        <f>125*(AI4-L4)</f>
        <v>-3017366.2499999981</v>
      </c>
      <c r="P4" s="80">
        <f>I4*5</f>
        <v>39094.699999999997</v>
      </c>
      <c r="Q4" s="76">
        <f>P4/AE4</f>
        <v>1.2500015986842188</v>
      </c>
      <c r="R4" s="119">
        <f>P4+((5*2213)+(7*815))</f>
        <v>55864.7</v>
      </c>
      <c r="S4" s="76">
        <f>R4/AG4</f>
        <v>1.856229725154249</v>
      </c>
      <c r="T4" s="131">
        <f t="shared" ref="T4:T26" si="1">P4/R4</f>
        <v>0.69981043485421024</v>
      </c>
      <c r="U4" s="179">
        <f>125*(AM4-R4)</f>
        <v>-3221113.7499999995</v>
      </c>
      <c r="V4" s="153">
        <f>L4+(2*R4)</f>
        <v>186027.97999999998</v>
      </c>
      <c r="W4" s="157">
        <f>125*(AQ4-V4)</f>
        <v>-9459593.7499999963</v>
      </c>
      <c r="X4" s="181" t="s">
        <v>125</v>
      </c>
      <c r="Y4" s="62">
        <v>0</v>
      </c>
      <c r="Z4" s="6">
        <f t="shared" ref="Z4:Z21" si="2">Y4*H4</f>
        <v>0</v>
      </c>
      <c r="AA4" s="19">
        <f>J16</f>
        <v>39094.65</v>
      </c>
      <c r="AB4" s="19"/>
      <c r="AC4" s="19">
        <f>L4</f>
        <v>74298.579999999987</v>
      </c>
      <c r="AE4" s="19">
        <f>P16</f>
        <v>31275.72</v>
      </c>
      <c r="AG4" s="19">
        <f>R23</f>
        <v>30095.79</v>
      </c>
      <c r="AI4" s="19">
        <f>L23</f>
        <v>50159.65</v>
      </c>
      <c r="AM4" s="19">
        <f>R23</f>
        <v>30095.79</v>
      </c>
      <c r="AQ4" s="19">
        <f>V23</f>
        <v>110351.23000000001</v>
      </c>
    </row>
    <row r="5" spans="2:46" ht="42.75" customHeight="1" thickBot="1" x14ac:dyDescent="0.3">
      <c r="B5" s="34" t="s">
        <v>131</v>
      </c>
      <c r="C5" s="42" t="s">
        <v>11</v>
      </c>
      <c r="D5" s="42" t="s">
        <v>132</v>
      </c>
      <c r="E5" s="13" t="s">
        <v>22</v>
      </c>
      <c r="F5" s="13" t="s">
        <v>26</v>
      </c>
      <c r="G5" s="13" t="s">
        <v>27</v>
      </c>
      <c r="H5" s="188">
        <v>7818.94</v>
      </c>
      <c r="I5" s="15">
        <f t="shared" si="0"/>
        <v>7818.94</v>
      </c>
      <c r="J5" s="17">
        <f>I5*12</f>
        <v>93827.28</v>
      </c>
      <c r="K5" s="54">
        <f>J5/AA5</f>
        <v>2.4000030694737005</v>
      </c>
      <c r="L5" s="71">
        <f>J5+(12*2213)</f>
        <v>120383.28</v>
      </c>
      <c r="M5" s="68">
        <f>L5/AC5</f>
        <v>1.6202635366651694</v>
      </c>
      <c r="N5" s="125">
        <f>J5/L5</f>
        <v>0.77940458176583993</v>
      </c>
      <c r="O5" s="180">
        <f>125*(AJ5-L5)</f>
        <v>-6269971.2499999991</v>
      </c>
      <c r="P5" s="81">
        <f>I5*12</f>
        <v>93827.28</v>
      </c>
      <c r="Q5" s="77">
        <f>P5/AE5</f>
        <v>3.0000038368421253</v>
      </c>
      <c r="R5" s="120">
        <f>P5+((12*2213))</f>
        <v>120383.28</v>
      </c>
      <c r="S5" s="77">
        <f>R5/AG5</f>
        <v>4.0000039872686513</v>
      </c>
      <c r="T5" s="132">
        <f t="shared" si="1"/>
        <v>0.77940458176583993</v>
      </c>
      <c r="U5" s="180">
        <f>125*(AN5-R5)</f>
        <v>-7523962.5</v>
      </c>
      <c r="V5" s="154">
        <f>L5+(2*R5)</f>
        <v>361149.83999999997</v>
      </c>
      <c r="W5" s="158">
        <f>125*(AR5-V5)</f>
        <v>-21317896.249999993</v>
      </c>
      <c r="X5" s="160">
        <f t="shared" ref="X5:X22" si="3">O5/W5</f>
        <v>0.29411772983931289</v>
      </c>
      <c r="Y5" s="63">
        <v>0</v>
      </c>
      <c r="Z5" s="6">
        <f t="shared" si="2"/>
        <v>0</v>
      </c>
      <c r="AA5" s="19">
        <f>AA4</f>
        <v>39094.65</v>
      </c>
      <c r="AB5" s="19"/>
      <c r="AC5" s="19">
        <f>L4</f>
        <v>74298.579999999987</v>
      </c>
      <c r="AE5" s="19">
        <f>P16</f>
        <v>31275.72</v>
      </c>
      <c r="AG5" s="19">
        <f>R23</f>
        <v>30095.79</v>
      </c>
      <c r="AI5" s="19"/>
      <c r="AJ5" s="19">
        <f>L24</f>
        <v>70223.510000000009</v>
      </c>
      <c r="AN5" s="19">
        <f>R24</f>
        <v>60191.58</v>
      </c>
      <c r="AR5" s="19">
        <f>V24</f>
        <v>190606.67</v>
      </c>
    </row>
    <row r="6" spans="2:46" ht="44.25" customHeight="1" thickTop="1" x14ac:dyDescent="0.25">
      <c r="B6" s="40" t="s">
        <v>130</v>
      </c>
      <c r="C6" s="43" t="s">
        <v>11</v>
      </c>
      <c r="D6" s="41" t="s">
        <v>132</v>
      </c>
      <c r="E6" s="11" t="s">
        <v>31</v>
      </c>
      <c r="F6" s="11" t="s">
        <v>34</v>
      </c>
      <c r="G6" s="11" t="s">
        <v>35</v>
      </c>
      <c r="H6" s="187">
        <v>7818.94</v>
      </c>
      <c r="I6" s="7">
        <f t="shared" si="0"/>
        <v>7818.94</v>
      </c>
      <c r="J6" s="16">
        <f t="shared" ref="J6:J19" si="4">I6*7</f>
        <v>54732.579999999994</v>
      </c>
      <c r="K6" s="53">
        <f>J6/AB6</f>
        <v>1.1666681587719374</v>
      </c>
      <c r="L6" s="70">
        <f>J6+((7*2213)+(2*815))</f>
        <v>71853.579999999987</v>
      </c>
      <c r="M6" s="67">
        <f>L6/AD6</f>
        <v>1</v>
      </c>
      <c r="N6" s="124">
        <f t="shared" ref="N6:N26" si="5">J6/L6</f>
        <v>0.76172377214886167</v>
      </c>
      <c r="O6" s="141">
        <f>25*(AK6-L6)</f>
        <v>-291549.99999999965</v>
      </c>
      <c r="P6" s="80">
        <f>I6*2</f>
        <v>15637.88</v>
      </c>
      <c r="Q6" s="76">
        <f>P6/AF6</f>
        <v>1</v>
      </c>
      <c r="R6" s="80">
        <f>P6+((2*2213)+(3*815))</f>
        <v>22508.879999999997</v>
      </c>
      <c r="S6" s="76">
        <f>R6/AH6</f>
        <v>1</v>
      </c>
      <c r="T6" s="131">
        <f t="shared" si="1"/>
        <v>0.69474269710443171</v>
      </c>
      <c r="U6" s="149">
        <f>25*(AO6-R6)</f>
        <v>189672.75000000009</v>
      </c>
      <c r="V6" s="153">
        <f t="shared" ref="V6:V26" si="6">L6+(2*R6)</f>
        <v>116871.33999999998</v>
      </c>
      <c r="W6" s="151">
        <f>25*(AS6-V6)</f>
        <v>87795.500000000538</v>
      </c>
      <c r="X6" s="156">
        <f t="shared" si="3"/>
        <v>-3.3207852338673152</v>
      </c>
      <c r="Y6" s="62">
        <v>0</v>
      </c>
      <c r="Z6" s="6">
        <f t="shared" si="2"/>
        <v>0</v>
      </c>
      <c r="AA6" s="19"/>
      <c r="AB6" s="19">
        <f>J18</f>
        <v>46913.58</v>
      </c>
      <c r="AD6" s="19">
        <f>L6</f>
        <v>71853.579999999987</v>
      </c>
      <c r="AF6" s="19">
        <f>P6</f>
        <v>15637.88</v>
      </c>
      <c r="AH6" s="19">
        <f>R6</f>
        <v>22508.879999999997</v>
      </c>
      <c r="AK6" s="19">
        <f>L25</f>
        <v>60191.58</v>
      </c>
      <c r="AO6" s="19">
        <f>R25</f>
        <v>30095.79</v>
      </c>
      <c r="AS6" s="19">
        <f>V25</f>
        <v>120383.16</v>
      </c>
    </row>
    <row r="7" spans="2:46" ht="45.75" customHeight="1" thickBot="1" x14ac:dyDescent="0.3">
      <c r="B7" s="34" t="s">
        <v>131</v>
      </c>
      <c r="C7" s="44" t="s">
        <v>11</v>
      </c>
      <c r="D7" s="42" t="s">
        <v>132</v>
      </c>
      <c r="E7" s="38" t="s">
        <v>32</v>
      </c>
      <c r="F7" s="38" t="s">
        <v>33</v>
      </c>
      <c r="G7" s="38" t="s">
        <v>36</v>
      </c>
      <c r="H7" s="188">
        <v>7818.94</v>
      </c>
      <c r="I7" s="15">
        <f t="shared" si="0"/>
        <v>7818.94</v>
      </c>
      <c r="J7" s="17">
        <f>I7*12</f>
        <v>93827.28</v>
      </c>
      <c r="K7" s="54">
        <f>J7/AB7</f>
        <v>2.0000025578947502</v>
      </c>
      <c r="L7" s="71">
        <f>J7+(12*2213)</f>
        <v>120383.28</v>
      </c>
      <c r="M7" s="68">
        <f>L7/AD7</f>
        <v>1.6753971061706323</v>
      </c>
      <c r="N7" s="125">
        <f t="shared" si="5"/>
        <v>0.77940458176583993</v>
      </c>
      <c r="O7" s="142">
        <f>25*(AL7-L7)</f>
        <v>-501599.49999999988</v>
      </c>
      <c r="P7" s="81">
        <f>I7*9</f>
        <v>70370.459999999992</v>
      </c>
      <c r="Q7" s="77">
        <f>P7/AF7</f>
        <v>4.5</v>
      </c>
      <c r="R7" s="81">
        <f>P7+((9*2213)+(1*815))</f>
        <v>91102.459999999992</v>
      </c>
      <c r="S7" s="77">
        <f>R7/AH7</f>
        <v>4.0474008480208701</v>
      </c>
      <c r="T7" s="132">
        <f t="shared" si="1"/>
        <v>0.77243205068227572</v>
      </c>
      <c r="U7" s="147">
        <f>25*(AP7-R7)</f>
        <v>-772771.99999999977</v>
      </c>
      <c r="V7" s="154">
        <f t="shared" si="6"/>
        <v>302588.19999999995</v>
      </c>
      <c r="W7" s="152">
        <f>25*(AT7-V7)</f>
        <v>-2047143.4999999984</v>
      </c>
      <c r="X7" s="159">
        <f t="shared" si="3"/>
        <v>0.24502410309780448</v>
      </c>
      <c r="Y7" s="63">
        <v>0</v>
      </c>
      <c r="Z7" s="6">
        <f t="shared" si="2"/>
        <v>0</v>
      </c>
      <c r="AA7" s="19"/>
      <c r="AB7" s="19">
        <f>J18</f>
        <v>46913.58</v>
      </c>
      <c r="AD7" s="19">
        <f>L6</f>
        <v>71853.579999999987</v>
      </c>
      <c r="AF7" s="19">
        <f>P6</f>
        <v>15637.88</v>
      </c>
      <c r="AH7" s="19">
        <f>R6</f>
        <v>22508.879999999997</v>
      </c>
      <c r="AL7" s="19">
        <f>L26</f>
        <v>100319.3</v>
      </c>
      <c r="AP7" s="19">
        <f>R26</f>
        <v>60191.58</v>
      </c>
      <c r="AT7" s="19">
        <f>V26</f>
        <v>220702.46000000002</v>
      </c>
    </row>
    <row r="8" spans="2:46" ht="42.75" customHeight="1" thickTop="1" x14ac:dyDescent="0.25">
      <c r="B8" s="33" t="s">
        <v>17</v>
      </c>
      <c r="C8" s="43" t="s">
        <v>19</v>
      </c>
      <c r="D8" s="43" t="s">
        <v>18</v>
      </c>
      <c r="E8" s="11" t="s">
        <v>37</v>
      </c>
      <c r="F8" s="11" t="s">
        <v>38</v>
      </c>
      <c r="G8" s="11" t="s">
        <v>39</v>
      </c>
      <c r="H8" s="12">
        <v>7818.92</v>
      </c>
      <c r="I8" s="7">
        <f t="shared" si="0"/>
        <v>7818.92</v>
      </c>
      <c r="J8" s="16">
        <f t="shared" si="4"/>
        <v>54732.44</v>
      </c>
      <c r="K8" s="53">
        <f>J8/AA8</f>
        <v>1.3999982094736747</v>
      </c>
      <c r="L8" s="70">
        <f>J8+(7*2213)</f>
        <v>70223.44</v>
      </c>
      <c r="M8" s="67">
        <f>L8/AC8</f>
        <v>0.94515184543230857</v>
      </c>
      <c r="N8" s="124">
        <f t="shared" si="5"/>
        <v>0.7794041419788037</v>
      </c>
      <c r="O8" s="179">
        <f>125*(AI8-L8)</f>
        <v>-2507973.75</v>
      </c>
      <c r="P8" s="80">
        <f>I8*6</f>
        <v>46913.520000000004</v>
      </c>
      <c r="Q8" s="76">
        <f>P8/AE8</f>
        <v>1.4999980815789373</v>
      </c>
      <c r="R8" s="80">
        <f>P8+(6*2213)</f>
        <v>60191.520000000004</v>
      </c>
      <c r="S8" s="76">
        <f>R8/AG8</f>
        <v>1.9999980063656744</v>
      </c>
      <c r="T8" s="131">
        <f t="shared" si="1"/>
        <v>0.7794041419788037</v>
      </c>
      <c r="U8" s="179">
        <f>125*(AM8-R8)</f>
        <v>-3761966.2500000005</v>
      </c>
      <c r="V8" s="153">
        <f t="shared" si="6"/>
        <v>190606.48</v>
      </c>
      <c r="W8" s="157">
        <f>125*(AQ8-V8)</f>
        <v>-10031906.25</v>
      </c>
      <c r="X8" s="156">
        <f t="shared" si="3"/>
        <v>0.24999971964450923</v>
      </c>
      <c r="Y8" s="62">
        <v>0</v>
      </c>
      <c r="Z8" s="6">
        <f t="shared" si="2"/>
        <v>0</v>
      </c>
      <c r="AA8" s="19">
        <f>J16</f>
        <v>39094.65</v>
      </c>
      <c r="AB8" s="19"/>
      <c r="AC8" s="19">
        <f>L4</f>
        <v>74298.579999999987</v>
      </c>
      <c r="AE8" s="19">
        <f>P16</f>
        <v>31275.72</v>
      </c>
      <c r="AG8" s="19">
        <f>R23</f>
        <v>30095.79</v>
      </c>
      <c r="AI8" s="19">
        <f>L23</f>
        <v>50159.65</v>
      </c>
      <c r="AM8" s="19">
        <f>R23</f>
        <v>30095.79</v>
      </c>
      <c r="AQ8" s="19">
        <f>V23</f>
        <v>110351.23000000001</v>
      </c>
    </row>
    <row r="9" spans="2:46" ht="44.25" customHeight="1" thickBot="1" x14ac:dyDescent="0.3">
      <c r="B9" s="35" t="s">
        <v>17</v>
      </c>
      <c r="C9" s="44" t="s">
        <v>19</v>
      </c>
      <c r="D9" s="44" t="s">
        <v>18</v>
      </c>
      <c r="E9" s="38" t="s">
        <v>37</v>
      </c>
      <c r="F9" s="13" t="s">
        <v>42</v>
      </c>
      <c r="G9" s="13" t="s">
        <v>40</v>
      </c>
      <c r="H9" s="14">
        <v>7818.92</v>
      </c>
      <c r="I9" s="15">
        <f t="shared" si="0"/>
        <v>7818.92</v>
      </c>
      <c r="J9" s="17">
        <f>I9*10</f>
        <v>78189.2</v>
      </c>
      <c r="K9" s="54">
        <f>J9/AA9</f>
        <v>1.9999974421052495</v>
      </c>
      <c r="L9" s="71">
        <f>J9+(10*2213)</f>
        <v>100319.2</v>
      </c>
      <c r="M9" s="68">
        <f>L9/AC9</f>
        <v>1.3502169220461551</v>
      </c>
      <c r="N9" s="125">
        <f t="shared" si="5"/>
        <v>0.7794041419788037</v>
      </c>
      <c r="O9" s="180">
        <f>125*(AJ9-L9)</f>
        <v>-3761961.2499999986</v>
      </c>
      <c r="P9" s="81">
        <f>I9*8</f>
        <v>62551.360000000001</v>
      </c>
      <c r="Q9" s="77">
        <f>P9/AE9</f>
        <v>1.9999974421052495</v>
      </c>
      <c r="R9" s="81">
        <f>P9+(8*2213)</f>
        <v>80255.360000000001</v>
      </c>
      <c r="S9" s="77">
        <f>R9/AG9</f>
        <v>2.6666640084875657</v>
      </c>
      <c r="T9" s="132">
        <f t="shared" si="1"/>
        <v>0.7794041419788037</v>
      </c>
      <c r="U9" s="180">
        <f>125*(AN9-R9)</f>
        <v>-2507972.5</v>
      </c>
      <c r="V9" s="154">
        <f t="shared" si="6"/>
        <v>260829.91999999998</v>
      </c>
      <c r="W9" s="158">
        <f>125*(AR9-V9)</f>
        <v>-8777906.2499999963</v>
      </c>
      <c r="X9" s="159">
        <f t="shared" si="3"/>
        <v>0.4285715913176904</v>
      </c>
      <c r="Y9" s="63">
        <v>0</v>
      </c>
      <c r="Z9" s="6">
        <f t="shared" si="2"/>
        <v>0</v>
      </c>
      <c r="AA9" s="19">
        <f>J16</f>
        <v>39094.65</v>
      </c>
      <c r="AB9" s="19"/>
      <c r="AC9" s="19">
        <f>L4</f>
        <v>74298.579999999987</v>
      </c>
      <c r="AE9" s="19">
        <f>P16</f>
        <v>31275.72</v>
      </c>
      <c r="AG9" s="19">
        <f>R23</f>
        <v>30095.79</v>
      </c>
      <c r="AI9" s="19"/>
      <c r="AJ9" s="19">
        <f>L24</f>
        <v>70223.510000000009</v>
      </c>
      <c r="AN9" s="19">
        <f>R24</f>
        <v>60191.58</v>
      </c>
      <c r="AR9" s="19">
        <f>V24</f>
        <v>190606.67</v>
      </c>
    </row>
    <row r="10" spans="2:46" ht="45" customHeight="1" thickTop="1" x14ac:dyDescent="0.25">
      <c r="B10" s="33" t="s">
        <v>17</v>
      </c>
      <c r="C10" s="43" t="s">
        <v>19</v>
      </c>
      <c r="D10" s="43" t="s">
        <v>18</v>
      </c>
      <c r="E10" s="18" t="s">
        <v>43</v>
      </c>
      <c r="F10" s="18" t="s">
        <v>41</v>
      </c>
      <c r="G10" s="18" t="s">
        <v>35</v>
      </c>
      <c r="H10" s="12">
        <v>7818.92</v>
      </c>
      <c r="I10" s="7">
        <f t="shared" si="0"/>
        <v>7818.92</v>
      </c>
      <c r="J10" s="16">
        <f t="shared" si="4"/>
        <v>54732.44</v>
      </c>
      <c r="K10" s="53">
        <f>J10/AB10</f>
        <v>1.1666651745613956</v>
      </c>
      <c r="L10" s="70">
        <f>J10+((7*2213)+(2*815))</f>
        <v>71853.440000000002</v>
      </c>
      <c r="M10" s="67">
        <f>L10/AD10</f>
        <v>0.99999805159325417</v>
      </c>
      <c r="N10" s="124">
        <f t="shared" si="5"/>
        <v>0.76172330788894727</v>
      </c>
      <c r="O10" s="179">
        <f>25*(AK10-L10)</f>
        <v>-291546.5</v>
      </c>
      <c r="P10" s="80">
        <f>I10*2</f>
        <v>15637.84</v>
      </c>
      <c r="Q10" s="76">
        <f>P10/AF10</f>
        <v>0.99999744210852115</v>
      </c>
      <c r="R10" s="80">
        <f>P10+((2*2213)+(3*815))</f>
        <v>22508.84</v>
      </c>
      <c r="S10" s="76">
        <f>R10/AH10</f>
        <v>0.99999822292357521</v>
      </c>
      <c r="T10" s="131">
        <f t="shared" si="1"/>
        <v>0.69474215463791111</v>
      </c>
      <c r="U10" s="149">
        <f>25*(AO10-R10)</f>
        <v>189673.75000000003</v>
      </c>
      <c r="V10" s="153">
        <f t="shared" si="6"/>
        <v>116871.12</v>
      </c>
      <c r="W10" s="151">
        <f>25*(AS10-V10)</f>
        <v>87801.000000000204</v>
      </c>
      <c r="X10" s="182" t="s">
        <v>143</v>
      </c>
      <c r="Y10" s="62">
        <v>0</v>
      </c>
      <c r="Z10" s="6">
        <f t="shared" si="2"/>
        <v>0</v>
      </c>
      <c r="AA10" s="19"/>
      <c r="AB10" s="19">
        <f>J18</f>
        <v>46913.58</v>
      </c>
      <c r="AD10" s="19">
        <f>L6</f>
        <v>71853.579999999987</v>
      </c>
      <c r="AF10" s="19">
        <f>P6</f>
        <v>15637.88</v>
      </c>
      <c r="AH10" s="19">
        <f>R6</f>
        <v>22508.879999999997</v>
      </c>
      <c r="AK10" s="19">
        <f>L25</f>
        <v>60191.58</v>
      </c>
      <c r="AO10" s="19">
        <f>R25</f>
        <v>30095.79</v>
      </c>
      <c r="AS10" s="19">
        <f>V25</f>
        <v>120383.16</v>
      </c>
    </row>
    <row r="11" spans="2:46" ht="50.25" customHeight="1" thickBot="1" x14ac:dyDescent="0.3">
      <c r="B11" s="189" t="s">
        <v>17</v>
      </c>
      <c r="C11" s="190" t="s">
        <v>19</v>
      </c>
      <c r="D11" s="190" t="s">
        <v>18</v>
      </c>
      <c r="E11" s="89" t="s">
        <v>43</v>
      </c>
      <c r="F11" s="89" t="s">
        <v>44</v>
      </c>
      <c r="G11" s="89" t="s">
        <v>45</v>
      </c>
      <c r="H11" s="91">
        <v>7818.92</v>
      </c>
      <c r="I11" s="92">
        <f t="shared" si="0"/>
        <v>7818.92</v>
      </c>
      <c r="J11" s="17">
        <f>I11*11</f>
        <v>86008.12</v>
      </c>
      <c r="K11" s="54">
        <f>J11/AB11</f>
        <v>1.8333309885964788</v>
      </c>
      <c r="L11" s="71">
        <f>J11+((11*2213)+(1*815))</f>
        <v>111166.12</v>
      </c>
      <c r="M11" s="68">
        <f>L11/AD11</f>
        <v>1.5471201295746158</v>
      </c>
      <c r="N11" s="125">
        <f t="shared" si="5"/>
        <v>0.77369004153423726</v>
      </c>
      <c r="O11" s="180">
        <f>25*(AL11-L11)</f>
        <v>-271170.49999999983</v>
      </c>
      <c r="P11" s="81">
        <f>I11*8</f>
        <v>62551.360000000001</v>
      </c>
      <c r="Q11" s="77">
        <f>P11/AF11</f>
        <v>3.9999897684340846</v>
      </c>
      <c r="R11" s="81">
        <f>P11+((8*2213)+(2*815))</f>
        <v>81885.36</v>
      </c>
      <c r="S11" s="77">
        <f>R11/AH11</f>
        <v>3.6379135701109968</v>
      </c>
      <c r="T11" s="132">
        <f t="shared" si="1"/>
        <v>0.763889418084014</v>
      </c>
      <c r="U11" s="180">
        <f>25*(AP11-R11)</f>
        <v>-542344.5</v>
      </c>
      <c r="V11" s="154">
        <f t="shared" si="6"/>
        <v>274936.83999999997</v>
      </c>
      <c r="W11" s="158">
        <f>25*(AT11-V11)</f>
        <v>-1355859.4999999986</v>
      </c>
      <c r="X11" s="185">
        <f t="shared" si="3"/>
        <v>0.19999896744463574</v>
      </c>
      <c r="Y11" s="63">
        <v>0</v>
      </c>
      <c r="Z11" s="6">
        <f t="shared" si="2"/>
        <v>0</v>
      </c>
      <c r="AA11" s="19"/>
      <c r="AB11" s="19">
        <f>J18</f>
        <v>46913.58</v>
      </c>
      <c r="AD11" s="19">
        <f>L6</f>
        <v>71853.579999999987</v>
      </c>
      <c r="AF11" s="19">
        <f>P6</f>
        <v>15637.88</v>
      </c>
      <c r="AH11" s="19">
        <f>R6</f>
        <v>22508.879999999997</v>
      </c>
      <c r="AL11" s="19">
        <f>L26</f>
        <v>100319.3</v>
      </c>
      <c r="AP11" s="19">
        <f>R26</f>
        <v>60191.58</v>
      </c>
      <c r="AT11" s="19">
        <f>V26</f>
        <v>220702.46000000002</v>
      </c>
    </row>
    <row r="12" spans="2:46" ht="50.25" customHeight="1" thickTop="1" thickBot="1" x14ac:dyDescent="0.3">
      <c r="B12" s="36" t="s">
        <v>129</v>
      </c>
      <c r="C12" s="45" t="s">
        <v>19</v>
      </c>
      <c r="D12" s="45" t="s">
        <v>18</v>
      </c>
      <c r="E12" s="64" t="s">
        <v>138</v>
      </c>
      <c r="F12" s="64" t="s">
        <v>133</v>
      </c>
      <c r="G12" s="64" t="s">
        <v>134</v>
      </c>
      <c r="H12" s="205">
        <v>11418.58</v>
      </c>
      <c r="I12" s="206">
        <f t="shared" si="0"/>
        <v>11418.58</v>
      </c>
      <c r="J12" s="17">
        <f>I12*7</f>
        <v>79930.06</v>
      </c>
      <c r="K12" s="186"/>
      <c r="L12" s="72">
        <f>J12+(7*2213)</f>
        <v>95421.06</v>
      </c>
      <c r="M12" s="55">
        <f>L12/AC12</f>
        <v>1.2842918397632903</v>
      </c>
      <c r="N12" s="126">
        <f t="shared" si="5"/>
        <v>0.83765638319255731</v>
      </c>
      <c r="O12" s="179">
        <f>125*(AJ12-L12)</f>
        <v>-3149693.7499999986</v>
      </c>
      <c r="P12" s="82">
        <f>I12*6</f>
        <v>68511.48</v>
      </c>
      <c r="Q12" s="76"/>
      <c r="R12" s="84">
        <f>P12+(6*2213)</f>
        <v>81789.48</v>
      </c>
      <c r="S12" s="78">
        <f>R12/AG12</f>
        <v>2.717638580014015</v>
      </c>
      <c r="T12" s="135">
        <f t="shared" si="1"/>
        <v>0.83765638319255731</v>
      </c>
      <c r="U12" s="179">
        <f>125*(AN12-R12)</f>
        <v>-2699737.4999999991</v>
      </c>
      <c r="V12" s="153">
        <f t="shared" si="6"/>
        <v>259000.02</v>
      </c>
      <c r="W12" s="157">
        <f>125*(AR12-V12)</f>
        <v>-8549168.7499999963</v>
      </c>
      <c r="X12" s="156">
        <f t="shared" si="3"/>
        <v>0.36842105263157893</v>
      </c>
      <c r="Y12" s="86">
        <v>0</v>
      </c>
      <c r="Z12" s="6">
        <f t="shared" si="2"/>
        <v>0</v>
      </c>
      <c r="AA12" s="19"/>
      <c r="AB12" s="19"/>
      <c r="AC12" s="19">
        <f>L4</f>
        <v>74298.579999999987</v>
      </c>
      <c r="AD12" s="19"/>
      <c r="AF12" s="19"/>
      <c r="AG12" s="19">
        <f>R23</f>
        <v>30095.79</v>
      </c>
      <c r="AH12" s="19"/>
      <c r="AJ12" s="19">
        <f>L24</f>
        <v>70223.510000000009</v>
      </c>
      <c r="AL12" s="19"/>
      <c r="AN12" s="19">
        <f>R24</f>
        <v>60191.58</v>
      </c>
      <c r="AP12" s="19"/>
      <c r="AR12" s="19">
        <f>V24</f>
        <v>190606.67</v>
      </c>
      <c r="AT12" s="19"/>
    </row>
    <row r="13" spans="2:46" ht="50.25" customHeight="1" thickTop="1" thickBot="1" x14ac:dyDescent="0.3">
      <c r="B13" s="37" t="s">
        <v>129</v>
      </c>
      <c r="C13" s="207" t="s">
        <v>19</v>
      </c>
      <c r="D13" s="207" t="s">
        <v>18</v>
      </c>
      <c r="E13" s="208" t="s">
        <v>138</v>
      </c>
      <c r="F13" s="209" t="s">
        <v>135</v>
      </c>
      <c r="G13" s="209" t="s">
        <v>136</v>
      </c>
      <c r="H13" s="210">
        <v>11418.58</v>
      </c>
      <c r="I13" s="211">
        <f t="shared" si="0"/>
        <v>11418.58</v>
      </c>
      <c r="J13" s="214">
        <f>I13*6</f>
        <v>68511.48</v>
      </c>
      <c r="K13" s="186"/>
      <c r="L13" s="219">
        <f>J13+(6*2213)</f>
        <v>81789.48</v>
      </c>
      <c r="M13" s="220">
        <f>L13/AC13</f>
        <v>1.1008215769399632</v>
      </c>
      <c r="N13" s="221">
        <f t="shared" si="5"/>
        <v>0.83765638319255731</v>
      </c>
      <c r="O13" s="222">
        <f>125*(AI13-L13)</f>
        <v>-3953728.7499999995</v>
      </c>
      <c r="P13" s="215">
        <f>I13*3</f>
        <v>34255.74</v>
      </c>
      <c r="Q13" s="98"/>
      <c r="R13" s="216">
        <f>P13+(3*2213)</f>
        <v>40894.74</v>
      </c>
      <c r="S13" s="217">
        <f>R13/AG13</f>
        <v>1.3588192900070075</v>
      </c>
      <c r="T13" s="218">
        <f t="shared" si="1"/>
        <v>0.83765638319255731</v>
      </c>
      <c r="U13" s="222">
        <f>125*(AM13-R13)</f>
        <v>-1349868.7499999995</v>
      </c>
      <c r="V13" s="191">
        <f t="shared" si="6"/>
        <v>163578.96</v>
      </c>
      <c r="W13" s="224">
        <f>125*(AQ13-V13)</f>
        <v>-6653466.2499999981</v>
      </c>
      <c r="X13" s="159">
        <f t="shared" si="3"/>
        <v>0.59423593679459941</v>
      </c>
      <c r="Y13" s="86">
        <v>0</v>
      </c>
      <c r="Z13" s="6">
        <f t="shared" si="2"/>
        <v>0</v>
      </c>
      <c r="AA13" s="19"/>
      <c r="AB13" s="19"/>
      <c r="AC13" s="19">
        <f>L4</f>
        <v>74298.579999999987</v>
      </c>
      <c r="AD13" s="19"/>
      <c r="AF13" s="19"/>
      <c r="AG13" s="19">
        <f>R23</f>
        <v>30095.79</v>
      </c>
      <c r="AH13" s="19"/>
      <c r="AI13" s="19">
        <f>L23</f>
        <v>50159.65</v>
      </c>
      <c r="AL13" s="19"/>
      <c r="AM13" s="19">
        <f>R23</f>
        <v>30095.79</v>
      </c>
      <c r="AP13" s="19"/>
      <c r="AQ13" s="19">
        <f>V23</f>
        <v>110351.23000000001</v>
      </c>
      <c r="AT13" s="19"/>
    </row>
    <row r="14" spans="2:46" ht="50.25" customHeight="1" thickTop="1" x14ac:dyDescent="0.25">
      <c r="B14" s="36" t="s">
        <v>129</v>
      </c>
      <c r="C14" s="45" t="s">
        <v>19</v>
      </c>
      <c r="D14" s="45" t="s">
        <v>18</v>
      </c>
      <c r="E14" s="64" t="s">
        <v>137</v>
      </c>
      <c r="F14" s="64" t="s">
        <v>133</v>
      </c>
      <c r="G14" s="64" t="s">
        <v>134</v>
      </c>
      <c r="H14" s="205">
        <v>11418.58</v>
      </c>
      <c r="I14" s="206">
        <f t="shared" si="0"/>
        <v>11418.58</v>
      </c>
      <c r="J14" s="16">
        <f>I14*7</f>
        <v>79930.06</v>
      </c>
      <c r="K14" s="53"/>
      <c r="L14" s="72">
        <f>J14+(7*2213)</f>
        <v>95421.06</v>
      </c>
      <c r="M14" s="55">
        <f>L14/AD14</f>
        <v>1.3279931215674989</v>
      </c>
      <c r="N14" s="126">
        <f t="shared" si="5"/>
        <v>0.83765638319255731</v>
      </c>
      <c r="O14" s="140">
        <f>25*(AL14-L14)</f>
        <v>122456.00000000013</v>
      </c>
      <c r="P14" s="82">
        <f>I14*6</f>
        <v>68511.48</v>
      </c>
      <c r="Q14" s="76"/>
      <c r="R14" s="84">
        <f>P14+(6*2213)</f>
        <v>81789.48</v>
      </c>
      <c r="S14" s="78">
        <f>R14/AH14</f>
        <v>3.6336539179203942</v>
      </c>
      <c r="T14" s="135">
        <f t="shared" si="1"/>
        <v>0.83765638319255731</v>
      </c>
      <c r="U14" s="179">
        <f>25*(AP14-R14)</f>
        <v>-539947.49999999988</v>
      </c>
      <c r="V14" s="199">
        <f t="shared" si="6"/>
        <v>259000.02</v>
      </c>
      <c r="W14" s="157">
        <f>25*(AT14-V14)</f>
        <v>-957438.99999999919</v>
      </c>
      <c r="X14" s="182" t="s">
        <v>144</v>
      </c>
      <c r="Y14" s="62">
        <v>0</v>
      </c>
      <c r="Z14" s="6">
        <f t="shared" si="2"/>
        <v>0</v>
      </c>
      <c r="AA14" s="19"/>
      <c r="AB14" s="19"/>
      <c r="AD14" s="19">
        <f>L6</f>
        <v>71853.579999999987</v>
      </c>
      <c r="AF14" s="19"/>
      <c r="AH14" s="19">
        <f>R6</f>
        <v>22508.879999999997</v>
      </c>
      <c r="AL14" s="19">
        <f>L26</f>
        <v>100319.3</v>
      </c>
      <c r="AP14" s="19">
        <f>R26</f>
        <v>60191.58</v>
      </c>
      <c r="AT14" s="19">
        <f>V26</f>
        <v>220702.46000000002</v>
      </c>
    </row>
    <row r="15" spans="2:46" ht="50.25" customHeight="1" thickBot="1" x14ac:dyDescent="0.3">
      <c r="B15" s="37" t="s">
        <v>129</v>
      </c>
      <c r="C15" s="207" t="s">
        <v>19</v>
      </c>
      <c r="D15" s="207" t="s">
        <v>18</v>
      </c>
      <c r="E15" s="208" t="s">
        <v>137</v>
      </c>
      <c r="F15" s="209" t="s">
        <v>135</v>
      </c>
      <c r="G15" s="209" t="s">
        <v>136</v>
      </c>
      <c r="H15" s="210">
        <v>11418.58</v>
      </c>
      <c r="I15" s="211">
        <f t="shared" si="0"/>
        <v>11418.58</v>
      </c>
      <c r="J15" s="17">
        <f>I15*6</f>
        <v>68511.48</v>
      </c>
      <c r="K15" s="54"/>
      <c r="L15" s="73">
        <f>J15+(6*2213)</f>
        <v>81789.48</v>
      </c>
      <c r="M15" s="56">
        <f>L15/AD15</f>
        <v>1.1382798184864278</v>
      </c>
      <c r="N15" s="127">
        <f t="shared" si="5"/>
        <v>0.83765638319255731</v>
      </c>
      <c r="O15" s="180">
        <f>25*(AK15-L15)</f>
        <v>-539947.49999999988</v>
      </c>
      <c r="P15" s="83">
        <f>I15*3</f>
        <v>34255.74</v>
      </c>
      <c r="Q15" s="77"/>
      <c r="R15" s="85">
        <f>P15+(3*2213)</f>
        <v>40894.74</v>
      </c>
      <c r="S15" s="79">
        <f>R15/AH15</f>
        <v>1.8168269589601971</v>
      </c>
      <c r="T15" s="136">
        <f t="shared" si="1"/>
        <v>0.83765638319255731</v>
      </c>
      <c r="U15" s="180">
        <f>25*(AO15-R15)</f>
        <v>-269973.74999999994</v>
      </c>
      <c r="V15" s="202">
        <f t="shared" si="6"/>
        <v>163578.96</v>
      </c>
      <c r="W15" s="158">
        <f>25*(AS15-V15)</f>
        <v>-1079894.9999999998</v>
      </c>
      <c r="X15" s="185">
        <f t="shared" si="3"/>
        <v>0.5</v>
      </c>
      <c r="Y15" s="63">
        <v>0</v>
      </c>
      <c r="Z15" s="6">
        <f t="shared" si="2"/>
        <v>0</v>
      </c>
      <c r="AA15" s="19"/>
      <c r="AB15" s="19"/>
      <c r="AD15" s="19">
        <f>L6</f>
        <v>71853.579999999987</v>
      </c>
      <c r="AF15" s="19"/>
      <c r="AH15" s="19">
        <f>R6</f>
        <v>22508.879999999997</v>
      </c>
      <c r="AK15" s="19">
        <f>L25</f>
        <v>60191.58</v>
      </c>
      <c r="AL15" s="19"/>
      <c r="AO15" s="19">
        <f>R25</f>
        <v>30095.79</v>
      </c>
      <c r="AP15" s="19"/>
      <c r="AS15" s="19">
        <f>V25</f>
        <v>120383.16</v>
      </c>
      <c r="AT15" s="19"/>
    </row>
    <row r="16" spans="2:46" ht="42.75" customHeight="1" thickTop="1" x14ac:dyDescent="0.25">
      <c r="B16" s="33" t="s">
        <v>20</v>
      </c>
      <c r="C16" s="43" t="s">
        <v>21</v>
      </c>
      <c r="D16" s="43" t="s">
        <v>4</v>
      </c>
      <c r="E16" s="11" t="s">
        <v>46</v>
      </c>
      <c r="F16" s="49" t="s">
        <v>54</v>
      </c>
      <c r="G16" s="46" t="s">
        <v>47</v>
      </c>
      <c r="H16" s="187">
        <v>7818.93</v>
      </c>
      <c r="I16" s="7">
        <f t="shared" si="0"/>
        <v>7818.93</v>
      </c>
      <c r="J16" s="16">
        <f>I16*5</f>
        <v>39094.65</v>
      </c>
      <c r="K16" s="53">
        <f>J16/AA16</f>
        <v>1</v>
      </c>
      <c r="L16" s="70">
        <f>J16+(5*2213)</f>
        <v>50159.65</v>
      </c>
      <c r="M16" s="67">
        <f>L16/AC16</f>
        <v>0.67510913398344907</v>
      </c>
      <c r="N16" s="124">
        <f t="shared" si="5"/>
        <v>0.77940436187254103</v>
      </c>
      <c r="O16" s="179">
        <f>125*(AI16-L16)</f>
        <v>0</v>
      </c>
      <c r="P16" s="80">
        <f>I16*4</f>
        <v>31275.72</v>
      </c>
      <c r="Q16" s="76">
        <f>P16/AE16</f>
        <v>1</v>
      </c>
      <c r="R16" s="80">
        <f>P16+(4*2213)</f>
        <v>40127.72</v>
      </c>
      <c r="S16" s="76">
        <f>R16/AG16</f>
        <v>1.3333333333333333</v>
      </c>
      <c r="T16" s="131">
        <f t="shared" si="1"/>
        <v>0.77940436187254103</v>
      </c>
      <c r="U16" s="179">
        <f>125*(AM16-R16)</f>
        <v>-1253991.25</v>
      </c>
      <c r="V16" s="153">
        <f t="shared" si="6"/>
        <v>130415.09</v>
      </c>
      <c r="W16" s="157">
        <f>125*(AQ16-V16)</f>
        <v>-2507982.4999999981</v>
      </c>
      <c r="X16" s="156">
        <f t="shared" si="3"/>
        <v>0</v>
      </c>
      <c r="Y16" s="62">
        <v>0</v>
      </c>
      <c r="Z16" s="6">
        <f t="shared" si="2"/>
        <v>0</v>
      </c>
      <c r="AA16" s="19">
        <f>J16</f>
        <v>39094.65</v>
      </c>
      <c r="AB16" s="19"/>
      <c r="AC16" s="19">
        <f>L4</f>
        <v>74298.579999999987</v>
      </c>
      <c r="AE16" s="19">
        <f>P16</f>
        <v>31275.72</v>
      </c>
      <c r="AG16" s="19">
        <f>R23</f>
        <v>30095.79</v>
      </c>
      <c r="AI16" s="19">
        <f>L23</f>
        <v>50159.65</v>
      </c>
      <c r="AM16" s="19">
        <f>R23</f>
        <v>30095.79</v>
      </c>
      <c r="AQ16" s="19">
        <f>V23</f>
        <v>110351.23000000001</v>
      </c>
    </row>
    <row r="17" spans="1:46" ht="44.25" customHeight="1" thickBot="1" x14ac:dyDescent="0.3">
      <c r="B17" s="35" t="s">
        <v>20</v>
      </c>
      <c r="C17" s="44" t="s">
        <v>21</v>
      </c>
      <c r="D17" s="44" t="s">
        <v>4</v>
      </c>
      <c r="E17" s="10" t="s">
        <v>46</v>
      </c>
      <c r="F17" s="48" t="s">
        <v>55</v>
      </c>
      <c r="G17" s="47" t="s">
        <v>24</v>
      </c>
      <c r="H17" s="188">
        <v>7818.93</v>
      </c>
      <c r="I17" s="15">
        <f t="shared" si="0"/>
        <v>7818.93</v>
      </c>
      <c r="J17" s="17">
        <f t="shared" si="4"/>
        <v>54732.51</v>
      </c>
      <c r="K17" s="54">
        <f>J17/AA17</f>
        <v>1.4</v>
      </c>
      <c r="L17" s="71">
        <f>J17+(7*2213)</f>
        <v>70223.510000000009</v>
      </c>
      <c r="M17" s="68">
        <f>L17/AC17</f>
        <v>0.94515278757682886</v>
      </c>
      <c r="N17" s="125">
        <f t="shared" si="5"/>
        <v>0.77940436187254092</v>
      </c>
      <c r="O17" s="180">
        <f>125*(AJ17-L17)</f>
        <v>0</v>
      </c>
      <c r="P17" s="81">
        <f>I17*6</f>
        <v>46913.58</v>
      </c>
      <c r="Q17" s="77">
        <f>P17/AE17</f>
        <v>1.5</v>
      </c>
      <c r="R17" s="81">
        <f>P17+(6*2213)</f>
        <v>60191.58</v>
      </c>
      <c r="S17" s="77">
        <f>R17/AG17</f>
        <v>2</v>
      </c>
      <c r="T17" s="132">
        <f t="shared" si="1"/>
        <v>0.77940436187254103</v>
      </c>
      <c r="U17" s="180">
        <f>125*(AN17-R17)</f>
        <v>0</v>
      </c>
      <c r="V17" s="154">
        <f t="shared" si="6"/>
        <v>190606.67</v>
      </c>
      <c r="W17" s="158">
        <f>125*(AR17-V17)</f>
        <v>0</v>
      </c>
      <c r="X17" s="159" t="e">
        <f t="shared" si="3"/>
        <v>#DIV/0!</v>
      </c>
      <c r="Y17" s="63">
        <v>0</v>
      </c>
      <c r="Z17" s="6">
        <f t="shared" si="2"/>
        <v>0</v>
      </c>
      <c r="AA17" s="19">
        <f>J16</f>
        <v>39094.65</v>
      </c>
      <c r="AB17" s="19"/>
      <c r="AC17" s="19">
        <f>L4</f>
        <v>74298.579999999987</v>
      </c>
      <c r="AE17" s="19">
        <f>P16</f>
        <v>31275.72</v>
      </c>
      <c r="AG17" s="19">
        <f>R23</f>
        <v>30095.79</v>
      </c>
      <c r="AI17" s="19"/>
      <c r="AJ17" s="19">
        <f>L24</f>
        <v>70223.510000000009</v>
      </c>
      <c r="AN17" s="19">
        <f>R24</f>
        <v>60191.58</v>
      </c>
      <c r="AR17" s="19">
        <f>V24</f>
        <v>190606.67</v>
      </c>
    </row>
    <row r="18" spans="1:46" ht="42" customHeight="1" thickTop="1" thickBot="1" x14ac:dyDescent="0.3">
      <c r="B18" s="40" t="s">
        <v>20</v>
      </c>
      <c r="C18" s="41" t="s">
        <v>21</v>
      </c>
      <c r="D18" s="41" t="s">
        <v>4</v>
      </c>
      <c r="E18" s="18" t="s">
        <v>48</v>
      </c>
      <c r="F18" s="49" t="s">
        <v>49</v>
      </c>
      <c r="G18" s="46" t="s">
        <v>50</v>
      </c>
      <c r="H18" s="187">
        <v>7818.93</v>
      </c>
      <c r="I18" s="7">
        <f t="shared" si="0"/>
        <v>7818.93</v>
      </c>
      <c r="J18" s="16">
        <f>I18*6</f>
        <v>46913.58</v>
      </c>
      <c r="K18" s="53">
        <f>J18/AB18</f>
        <v>1</v>
      </c>
      <c r="L18" s="70">
        <f>J18+(6*2213)</f>
        <v>60191.58</v>
      </c>
      <c r="M18" s="67">
        <f>L18/AD18</f>
        <v>0.83769771805385362</v>
      </c>
      <c r="N18" s="124">
        <f t="shared" si="5"/>
        <v>0.77940436187254103</v>
      </c>
      <c r="O18" s="179">
        <f>25*(AK18-L18)</f>
        <v>0</v>
      </c>
      <c r="P18" s="80">
        <f>I18*4</f>
        <v>31275.72</v>
      </c>
      <c r="Q18" s="76">
        <f>P18/AF18</f>
        <v>1.9999974421085214</v>
      </c>
      <c r="R18" s="80">
        <f>P18+(4*2213)</f>
        <v>40127.72</v>
      </c>
      <c r="S18" s="76">
        <f>R18/AH18</f>
        <v>1.7827506299735929</v>
      </c>
      <c r="T18" s="131">
        <f t="shared" si="1"/>
        <v>0.77940436187254103</v>
      </c>
      <c r="U18" s="179">
        <f>25*(AO18-R18)</f>
        <v>-250798.25</v>
      </c>
      <c r="V18" s="153">
        <f t="shared" si="6"/>
        <v>140447.02000000002</v>
      </c>
      <c r="W18" s="157">
        <f>25*(AS18-V18)</f>
        <v>-501596.50000000035</v>
      </c>
      <c r="X18" s="156">
        <f t="shared" si="3"/>
        <v>0</v>
      </c>
      <c r="Y18" s="62">
        <v>0</v>
      </c>
      <c r="Z18" s="6">
        <f t="shared" si="2"/>
        <v>0</v>
      </c>
      <c r="AA18" s="19"/>
      <c r="AB18" s="19">
        <f>J18</f>
        <v>46913.58</v>
      </c>
      <c r="AD18" s="19">
        <f>L6</f>
        <v>71853.579999999987</v>
      </c>
      <c r="AF18" s="19">
        <f>P6</f>
        <v>15637.88</v>
      </c>
      <c r="AH18" s="19">
        <f>R6</f>
        <v>22508.879999999997</v>
      </c>
      <c r="AK18" s="19">
        <f>L25</f>
        <v>60191.58</v>
      </c>
      <c r="AO18" s="19">
        <f>R25</f>
        <v>30095.79</v>
      </c>
      <c r="AS18" s="19">
        <f>V25</f>
        <v>120383.16</v>
      </c>
    </row>
    <row r="19" spans="1:46" ht="44.25" customHeight="1" thickTop="1" thickBot="1" x14ac:dyDescent="0.3">
      <c r="B19" s="87" t="s">
        <v>20</v>
      </c>
      <c r="C19" s="88" t="s">
        <v>21</v>
      </c>
      <c r="D19" s="88" t="s">
        <v>4</v>
      </c>
      <c r="E19" s="89" t="s">
        <v>48</v>
      </c>
      <c r="F19" s="48" t="s">
        <v>51</v>
      </c>
      <c r="G19" s="90" t="s">
        <v>52</v>
      </c>
      <c r="H19" s="188">
        <v>7818.93</v>
      </c>
      <c r="I19" s="92">
        <f t="shared" si="0"/>
        <v>7818.93</v>
      </c>
      <c r="J19" s="93">
        <f t="shared" si="4"/>
        <v>54732.51</v>
      </c>
      <c r="K19" s="94">
        <f>J19/AB19</f>
        <v>1.1666666666666667</v>
      </c>
      <c r="L19" s="95">
        <f>J19+(7*2213)</f>
        <v>70223.510000000009</v>
      </c>
      <c r="M19" s="96">
        <f>L19/AD19</f>
        <v>0.97731400439616256</v>
      </c>
      <c r="N19" s="125">
        <f t="shared" si="5"/>
        <v>0.77940436187254092</v>
      </c>
      <c r="O19" s="142">
        <f>25*(AL19-L19)</f>
        <v>752394.74999999988</v>
      </c>
      <c r="P19" s="97">
        <f>I19*6</f>
        <v>46913.58</v>
      </c>
      <c r="Q19" s="98">
        <f>P19/AF19</f>
        <v>2.9999961631627818</v>
      </c>
      <c r="R19" s="97">
        <f>P19+(6*2213)</f>
        <v>60191.58</v>
      </c>
      <c r="S19" s="98">
        <f>R19/AH19</f>
        <v>2.6741259449603891</v>
      </c>
      <c r="T19" s="132">
        <f t="shared" si="1"/>
        <v>0.77940436187254103</v>
      </c>
      <c r="U19" s="180">
        <f>25*(AP19-R19)</f>
        <v>0</v>
      </c>
      <c r="V19" s="154">
        <f t="shared" si="6"/>
        <v>190606.67</v>
      </c>
      <c r="W19" s="152">
        <f>25*(AT19-V19)</f>
        <v>752394.75000000023</v>
      </c>
      <c r="X19" s="182" t="s">
        <v>144</v>
      </c>
      <c r="Y19" s="99">
        <v>0</v>
      </c>
      <c r="Z19" s="6">
        <f t="shared" si="2"/>
        <v>0</v>
      </c>
      <c r="AA19" s="19"/>
      <c r="AB19" s="19">
        <f>J18</f>
        <v>46913.58</v>
      </c>
      <c r="AD19" s="19">
        <f>L6</f>
        <v>71853.579999999987</v>
      </c>
      <c r="AF19" s="19">
        <f>P6</f>
        <v>15637.88</v>
      </c>
      <c r="AH19" s="19">
        <f>R6</f>
        <v>22508.879999999997</v>
      </c>
      <c r="AL19" s="19">
        <f>L26</f>
        <v>100319.3</v>
      </c>
      <c r="AP19" s="19">
        <f>R26</f>
        <v>60191.58</v>
      </c>
      <c r="AS19" s="19"/>
      <c r="AT19" s="19">
        <f>V26</f>
        <v>220702.46000000002</v>
      </c>
    </row>
    <row r="20" spans="1:46" ht="53.25" customHeight="1" thickTop="1" thickBot="1" x14ac:dyDescent="0.3">
      <c r="B20" s="106" t="s">
        <v>76</v>
      </c>
      <c r="C20" s="107" t="s">
        <v>75</v>
      </c>
      <c r="D20" s="107" t="s">
        <v>74</v>
      </c>
      <c r="E20" s="108" t="s">
        <v>78</v>
      </c>
      <c r="F20" s="108" t="s">
        <v>82</v>
      </c>
      <c r="G20" s="108" t="s">
        <v>83</v>
      </c>
      <c r="H20" s="115">
        <v>169050.75</v>
      </c>
      <c r="I20" s="109">
        <f t="shared" si="0"/>
        <v>169050.75</v>
      </c>
      <c r="J20" s="118">
        <f>I20+I21</f>
        <v>192462.49</v>
      </c>
      <c r="K20" s="111">
        <f>J20/AB20</f>
        <v>4.102489940013105</v>
      </c>
      <c r="L20" s="235">
        <f>J20+((2*2213)+(1*815)+(2*854))</f>
        <v>199411.49</v>
      </c>
      <c r="M20" s="111">
        <f>L20/AD20</f>
        <v>2.7752478025451204</v>
      </c>
      <c r="N20" s="130">
        <f t="shared" si="5"/>
        <v>0.96515245936931715</v>
      </c>
      <c r="O20" s="180">
        <f>25*(AL20-L20)</f>
        <v>-2477304.7499999995</v>
      </c>
      <c r="P20" s="100">
        <v>0</v>
      </c>
      <c r="Q20" s="101"/>
      <c r="R20" s="121">
        <f>P20+((4*854))</f>
        <v>3416</v>
      </c>
      <c r="S20" s="101">
        <f>R20/AH20</f>
        <v>0.15176232669062167</v>
      </c>
      <c r="T20" s="134">
        <f t="shared" si="1"/>
        <v>0</v>
      </c>
      <c r="U20" s="147">
        <f>25*(AP20-R20)</f>
        <v>1419389.5</v>
      </c>
      <c r="V20" s="153">
        <f t="shared" si="6"/>
        <v>206243.49</v>
      </c>
      <c r="W20" s="152">
        <f>25*(AT20-V20)</f>
        <v>361474.25000000076</v>
      </c>
      <c r="X20" s="182" t="s">
        <v>143</v>
      </c>
      <c r="Y20" s="102">
        <v>0</v>
      </c>
      <c r="Z20" s="6">
        <f t="shared" si="2"/>
        <v>0</v>
      </c>
      <c r="AA20" s="19"/>
      <c r="AB20" s="19">
        <f>J18</f>
        <v>46913.58</v>
      </c>
      <c r="AD20" s="19">
        <f>L6</f>
        <v>71853.579999999987</v>
      </c>
      <c r="AF20" s="19">
        <f>P6</f>
        <v>15637.88</v>
      </c>
      <c r="AH20" s="19">
        <f>R6</f>
        <v>22508.879999999997</v>
      </c>
      <c r="AL20" s="19">
        <f>L26</f>
        <v>100319.3</v>
      </c>
      <c r="AP20" s="19">
        <f>R26</f>
        <v>60191.58</v>
      </c>
      <c r="AT20" s="19">
        <f>V26</f>
        <v>220702.46000000002</v>
      </c>
    </row>
    <row r="21" spans="1:46" ht="44.25" customHeight="1" thickTop="1" thickBot="1" x14ac:dyDescent="0.3">
      <c r="B21" s="106" t="s">
        <v>86</v>
      </c>
      <c r="C21" s="107" t="s">
        <v>94</v>
      </c>
      <c r="D21" s="107" t="s">
        <v>77</v>
      </c>
      <c r="E21" s="108" t="s">
        <v>80</v>
      </c>
      <c r="F21" s="108" t="s">
        <v>81</v>
      </c>
      <c r="G21" s="108" t="s">
        <v>79</v>
      </c>
      <c r="H21" s="115">
        <v>23411.74</v>
      </c>
      <c r="I21" s="109">
        <f t="shared" si="0"/>
        <v>23411.74</v>
      </c>
      <c r="J21" s="110">
        <f>I21</f>
        <v>23411.74</v>
      </c>
      <c r="K21" s="111">
        <f>J21/AB21</f>
        <v>0.49903972367915644</v>
      </c>
      <c r="L21" s="235">
        <f>J21+((3*2213)+(2*815)+(1*854))</f>
        <v>32534.74</v>
      </c>
      <c r="M21" s="111">
        <f>L21/AD21</f>
        <v>0.45279219212181226</v>
      </c>
      <c r="N21" s="130">
        <f t="shared" si="5"/>
        <v>0.7195920422293216</v>
      </c>
      <c r="O21" s="146">
        <f>25*(AL21-L21)</f>
        <v>1694614</v>
      </c>
      <c r="P21" s="100">
        <v>0</v>
      </c>
      <c r="Q21" s="101"/>
      <c r="R21" s="121">
        <f>P21+((2*2213)+(2*854))</f>
        <v>6134</v>
      </c>
      <c r="S21" s="101">
        <f>R21/AH21</f>
        <v>0.27251466976588801</v>
      </c>
      <c r="T21" s="134">
        <f t="shared" si="1"/>
        <v>0</v>
      </c>
      <c r="U21" s="147">
        <f>25*(AP21-R21)</f>
        <v>1351439.5</v>
      </c>
      <c r="V21" s="153">
        <f t="shared" si="6"/>
        <v>44802.740000000005</v>
      </c>
      <c r="W21" s="152">
        <f>25*(AT21-V21)</f>
        <v>4397493.0000000009</v>
      </c>
      <c r="X21" s="156">
        <f t="shared" si="3"/>
        <v>0.3853591125670921</v>
      </c>
      <c r="Y21" s="102">
        <v>0</v>
      </c>
      <c r="Z21" s="6">
        <f t="shared" si="2"/>
        <v>0</v>
      </c>
      <c r="AA21" s="19"/>
      <c r="AB21" s="19">
        <f>J18</f>
        <v>46913.58</v>
      </c>
      <c r="AD21" s="19">
        <f>L6</f>
        <v>71853.579999999987</v>
      </c>
      <c r="AF21" s="19">
        <f>P6</f>
        <v>15637.88</v>
      </c>
      <c r="AH21" s="19">
        <f>R6</f>
        <v>22508.879999999997</v>
      </c>
      <c r="AK21" s="19"/>
      <c r="AL21" s="19">
        <f>L26</f>
        <v>100319.3</v>
      </c>
      <c r="AP21" s="19">
        <f>R26</f>
        <v>60191.58</v>
      </c>
      <c r="AT21" s="19">
        <f>V26</f>
        <v>220702.46000000002</v>
      </c>
    </row>
    <row r="22" spans="1:46" ht="45.75" customHeight="1" thickTop="1" thickBot="1" x14ac:dyDescent="0.3">
      <c r="B22" s="103" t="s">
        <v>88</v>
      </c>
      <c r="C22" s="104" t="s">
        <v>89</v>
      </c>
      <c r="D22" s="104" t="s">
        <v>90</v>
      </c>
      <c r="E22" s="122" t="s">
        <v>87</v>
      </c>
      <c r="F22" s="105" t="s">
        <v>91</v>
      </c>
      <c r="G22" s="105" t="s">
        <v>92</v>
      </c>
      <c r="H22" s="123">
        <v>11169.9</v>
      </c>
      <c r="I22" s="112">
        <f t="shared" si="0"/>
        <v>11169.9</v>
      </c>
      <c r="J22" s="113">
        <f>I22*4</f>
        <v>44679.6</v>
      </c>
      <c r="K22" s="114">
        <f>J22/AA22</f>
        <v>1.1428571428571428</v>
      </c>
      <c r="L22" s="113">
        <f>J22+(4*904)</f>
        <v>48295.6</v>
      </c>
      <c r="M22" s="114">
        <f>L22/AC22</f>
        <v>0.65002049837291653</v>
      </c>
      <c r="N22" s="129">
        <f t="shared" si="5"/>
        <v>0.92512775490934995</v>
      </c>
      <c r="O22" s="223">
        <f>125*(AJ22-L22)</f>
        <v>2740988.7500000014</v>
      </c>
      <c r="P22" s="113">
        <f>I22*4</f>
        <v>44679.6</v>
      </c>
      <c r="Q22" s="114">
        <f>P22/AE22</f>
        <v>1.4285714285714284</v>
      </c>
      <c r="R22" s="113">
        <f>P22+(4*904)</f>
        <v>48295.6</v>
      </c>
      <c r="S22" s="114">
        <f>R22/AG22</f>
        <v>1.6047294322561394</v>
      </c>
      <c r="T22" s="133">
        <f t="shared" si="1"/>
        <v>0.92512775490934995</v>
      </c>
      <c r="U22" s="180">
        <f>125*(AN22-R22)</f>
        <v>1486997.5000000005</v>
      </c>
      <c r="V22" s="153">
        <f t="shared" si="6"/>
        <v>144886.79999999999</v>
      </c>
      <c r="W22" s="158">
        <f>125*(AR22-V22)</f>
        <v>5714983.7500000028</v>
      </c>
      <c r="X22" s="156">
        <f t="shared" si="3"/>
        <v>0.47961444334815478</v>
      </c>
      <c r="Y22" s="86">
        <v>0</v>
      </c>
      <c r="Z22" s="6"/>
      <c r="AA22" s="19">
        <f>J16</f>
        <v>39094.65</v>
      </c>
      <c r="AB22" s="19"/>
      <c r="AC22" s="19">
        <f>L4</f>
        <v>74298.579999999987</v>
      </c>
      <c r="AD22" s="19"/>
      <c r="AE22" s="19">
        <f>P16</f>
        <v>31275.72</v>
      </c>
      <c r="AF22" s="19"/>
      <c r="AG22" s="19">
        <f>R23</f>
        <v>30095.79</v>
      </c>
      <c r="AI22" s="19"/>
      <c r="AJ22" s="19">
        <f>L24</f>
        <v>70223.510000000009</v>
      </c>
      <c r="AN22" s="19">
        <f>R24</f>
        <v>60191.58</v>
      </c>
      <c r="AR22" s="19">
        <f>V24</f>
        <v>190606.67</v>
      </c>
    </row>
    <row r="23" spans="1:46" ht="42.75" customHeight="1" thickTop="1" x14ac:dyDescent="0.25">
      <c r="B23" s="33" t="s">
        <v>13</v>
      </c>
      <c r="C23" s="43" t="s">
        <v>12</v>
      </c>
      <c r="D23" s="43" t="s">
        <v>5</v>
      </c>
      <c r="E23" s="49" t="s">
        <v>15</v>
      </c>
      <c r="F23" s="46" t="s">
        <v>56</v>
      </c>
      <c r="G23" s="46" t="s">
        <v>23</v>
      </c>
      <c r="H23" s="192">
        <v>7818.93</v>
      </c>
      <c r="I23" s="193">
        <f t="shared" si="0"/>
        <v>7818.93</v>
      </c>
      <c r="J23" s="16">
        <f>I23*5</f>
        <v>39094.65</v>
      </c>
      <c r="K23" s="53">
        <f>J23/AA23</f>
        <v>1</v>
      </c>
      <c r="L23" s="16">
        <f>J23+(5*2213)</f>
        <v>50159.65</v>
      </c>
      <c r="M23" s="53">
        <f>L23/AC23</f>
        <v>0.67510913398344907</v>
      </c>
      <c r="N23" s="194">
        <f t="shared" si="5"/>
        <v>0.77940436187254103</v>
      </c>
      <c r="O23" s="183">
        <f>125*(AI23-L23)</f>
        <v>0</v>
      </c>
      <c r="P23" s="82">
        <f>I23*3</f>
        <v>23456.79</v>
      </c>
      <c r="Q23" s="78">
        <f>P23/AE23</f>
        <v>0.75</v>
      </c>
      <c r="R23" s="84">
        <f>P23+(3*2213)</f>
        <v>30095.79</v>
      </c>
      <c r="S23" s="78">
        <f>R23/AG23</f>
        <v>1</v>
      </c>
      <c r="T23" s="135">
        <f t="shared" si="1"/>
        <v>0.77940436187254103</v>
      </c>
      <c r="U23" s="150">
        <f>125*(AM23-R23)</f>
        <v>0</v>
      </c>
      <c r="V23" s="153">
        <f t="shared" si="6"/>
        <v>110351.23000000001</v>
      </c>
      <c r="W23" s="200">
        <f>125*(AQ23-V23)</f>
        <v>0</v>
      </c>
      <c r="X23" s="201"/>
      <c r="Y23" s="62">
        <v>0</v>
      </c>
      <c r="Z23" s="6">
        <f>Y23*H23</f>
        <v>0</v>
      </c>
      <c r="AA23" s="19">
        <f>J16</f>
        <v>39094.65</v>
      </c>
      <c r="AB23" s="19"/>
      <c r="AC23" s="19">
        <f>L4</f>
        <v>74298.579999999987</v>
      </c>
      <c r="AE23" s="19">
        <f>P16</f>
        <v>31275.72</v>
      </c>
      <c r="AG23" s="19">
        <f>R23</f>
        <v>30095.79</v>
      </c>
      <c r="AI23" s="19">
        <f>L23</f>
        <v>50159.65</v>
      </c>
      <c r="AM23" s="19">
        <f>R23</f>
        <v>30095.79</v>
      </c>
      <c r="AQ23" s="19">
        <f>V23</f>
        <v>110351.23000000001</v>
      </c>
    </row>
    <row r="24" spans="1:46" ht="42" customHeight="1" thickBot="1" x14ac:dyDescent="0.3">
      <c r="B24" s="34" t="s">
        <v>13</v>
      </c>
      <c r="C24" s="42" t="s">
        <v>12</v>
      </c>
      <c r="D24" s="42" t="s">
        <v>5</v>
      </c>
      <c r="E24" s="195" t="s">
        <v>15</v>
      </c>
      <c r="F24" s="195" t="s">
        <v>57</v>
      </c>
      <c r="G24" s="195" t="s">
        <v>24</v>
      </c>
      <c r="H24" s="196">
        <v>7818.93</v>
      </c>
      <c r="I24" s="197">
        <f t="shared" si="0"/>
        <v>7818.93</v>
      </c>
      <c r="J24" s="17">
        <f>I24*7</f>
        <v>54732.51</v>
      </c>
      <c r="K24" s="54">
        <f>J24/AA24</f>
        <v>1.4</v>
      </c>
      <c r="L24" s="17">
        <f>J24+(7*2213)</f>
        <v>70223.510000000009</v>
      </c>
      <c r="M24" s="54">
        <f>L24/AC24</f>
        <v>0.94515278757682886</v>
      </c>
      <c r="N24" s="198">
        <f t="shared" si="5"/>
        <v>0.77940436187254092</v>
      </c>
      <c r="O24" s="184">
        <f>125*(AJ24-L24)</f>
        <v>0</v>
      </c>
      <c r="P24" s="83">
        <f>I24*6</f>
        <v>46913.58</v>
      </c>
      <c r="Q24" s="79">
        <f>P24/AE24</f>
        <v>1.5</v>
      </c>
      <c r="R24" s="85">
        <f>P24+(6*2213)</f>
        <v>60191.58</v>
      </c>
      <c r="S24" s="79">
        <f>R24/AG24</f>
        <v>2</v>
      </c>
      <c r="T24" s="136">
        <f t="shared" si="1"/>
        <v>0.77940436187254103</v>
      </c>
      <c r="U24" s="148">
        <f>125*(AN24-R24)</f>
        <v>0</v>
      </c>
      <c r="V24" s="154">
        <f t="shared" si="6"/>
        <v>190606.67</v>
      </c>
      <c r="W24" s="203">
        <f>125*(AR24-V24)</f>
        <v>0</v>
      </c>
      <c r="X24" s="204"/>
      <c r="Y24" s="63">
        <v>0</v>
      </c>
      <c r="Z24" s="6">
        <f>Y24*H24</f>
        <v>0</v>
      </c>
      <c r="AA24" s="19">
        <f>J16</f>
        <v>39094.65</v>
      </c>
      <c r="AB24" s="19"/>
      <c r="AC24" s="19">
        <f>L4</f>
        <v>74298.579999999987</v>
      </c>
      <c r="AE24" s="19">
        <f>P16</f>
        <v>31275.72</v>
      </c>
      <c r="AG24" s="19">
        <f>R23</f>
        <v>30095.79</v>
      </c>
      <c r="AI24" s="19"/>
      <c r="AJ24" s="19">
        <f>L24</f>
        <v>70223.510000000009</v>
      </c>
      <c r="AN24" s="19">
        <f>R24</f>
        <v>60191.58</v>
      </c>
      <c r="AR24" s="19">
        <f>V24</f>
        <v>190606.67</v>
      </c>
    </row>
    <row r="25" spans="1:46" ht="42" customHeight="1" thickTop="1" x14ac:dyDescent="0.25">
      <c r="B25" s="33" t="s">
        <v>13</v>
      </c>
      <c r="C25" s="43" t="s">
        <v>12</v>
      </c>
      <c r="D25" s="43" t="s">
        <v>5</v>
      </c>
      <c r="E25" s="49" t="s">
        <v>28</v>
      </c>
      <c r="F25" s="11" t="s">
        <v>59</v>
      </c>
      <c r="G25" s="11" t="s">
        <v>60</v>
      </c>
      <c r="H25" s="192">
        <v>7818.93</v>
      </c>
      <c r="I25" s="193">
        <f t="shared" si="0"/>
        <v>7818.93</v>
      </c>
      <c r="J25" s="16">
        <f>I25*6</f>
        <v>46913.58</v>
      </c>
      <c r="K25" s="53">
        <f>J25/AB25</f>
        <v>1</v>
      </c>
      <c r="L25" s="16">
        <f>J25+(6*2213)</f>
        <v>60191.58</v>
      </c>
      <c r="M25" s="53">
        <f>L25/AD25</f>
        <v>0.83769771805385362</v>
      </c>
      <c r="N25" s="194">
        <f t="shared" si="5"/>
        <v>0.77940436187254103</v>
      </c>
      <c r="O25" s="183">
        <f>25*(AK25-L25)</f>
        <v>0</v>
      </c>
      <c r="P25" s="82">
        <f>I25*3</f>
        <v>23456.79</v>
      </c>
      <c r="Q25" s="78">
        <f>P25/AF25</f>
        <v>1.4999980815813909</v>
      </c>
      <c r="R25" s="84">
        <f>P25+(3*2213)</f>
        <v>30095.79</v>
      </c>
      <c r="S25" s="78">
        <f>R25/AH25</f>
        <v>1.3370629724801946</v>
      </c>
      <c r="T25" s="135">
        <f t="shared" si="1"/>
        <v>0.77940436187254103</v>
      </c>
      <c r="U25" s="150">
        <f>25*(AO25-R25)</f>
        <v>0</v>
      </c>
      <c r="V25" s="153">
        <f t="shared" si="6"/>
        <v>120383.16</v>
      </c>
      <c r="W25" s="200">
        <f>25*(AS25-V25)</f>
        <v>0</v>
      </c>
      <c r="X25" s="201"/>
      <c r="Y25" s="62">
        <v>0</v>
      </c>
      <c r="Z25" s="6">
        <f>Y25*H25</f>
        <v>0</v>
      </c>
      <c r="AA25" s="19"/>
      <c r="AB25" s="19">
        <f>J18</f>
        <v>46913.58</v>
      </c>
      <c r="AD25" s="19">
        <f>L6</f>
        <v>71853.579999999987</v>
      </c>
      <c r="AF25" s="19">
        <f>P6</f>
        <v>15637.88</v>
      </c>
      <c r="AH25" s="19">
        <f>R6</f>
        <v>22508.879999999997</v>
      </c>
      <c r="AK25" s="19">
        <f>L25</f>
        <v>60191.58</v>
      </c>
      <c r="AO25" s="19">
        <f>R25</f>
        <v>30095.79</v>
      </c>
      <c r="AS25" s="19">
        <f>V25</f>
        <v>120383.16</v>
      </c>
    </row>
    <row r="26" spans="1:46" ht="41.25" customHeight="1" thickBot="1" x14ac:dyDescent="0.3">
      <c r="B26" s="34" t="s">
        <v>13</v>
      </c>
      <c r="C26" s="42" t="s">
        <v>12</v>
      </c>
      <c r="D26" s="42" t="s">
        <v>5</v>
      </c>
      <c r="E26" s="195" t="s">
        <v>61</v>
      </c>
      <c r="F26" s="195" t="s">
        <v>62</v>
      </c>
      <c r="G26" s="195" t="s">
        <v>63</v>
      </c>
      <c r="H26" s="196">
        <v>7818.93</v>
      </c>
      <c r="I26" s="197">
        <f t="shared" si="0"/>
        <v>7818.93</v>
      </c>
      <c r="J26" s="17">
        <f>I26*10</f>
        <v>78189.3</v>
      </c>
      <c r="K26" s="54">
        <f>J26/AB26</f>
        <v>1.6666666666666667</v>
      </c>
      <c r="L26" s="17">
        <f>J26+(10*2213)</f>
        <v>100319.3</v>
      </c>
      <c r="M26" s="54">
        <f>L26/AD26</f>
        <v>1.3961628634230894</v>
      </c>
      <c r="N26" s="198">
        <f t="shared" si="5"/>
        <v>0.77940436187254103</v>
      </c>
      <c r="O26" s="184">
        <f>25*(AL26-L26)</f>
        <v>0</v>
      </c>
      <c r="P26" s="83">
        <f>I26*6</f>
        <v>46913.58</v>
      </c>
      <c r="Q26" s="79">
        <f>P26/AF26</f>
        <v>2.9999961631627818</v>
      </c>
      <c r="R26" s="85">
        <f>P26+(6*2213)</f>
        <v>60191.58</v>
      </c>
      <c r="S26" s="79">
        <f>R26/AH26</f>
        <v>2.6741259449603891</v>
      </c>
      <c r="T26" s="136">
        <f t="shared" si="1"/>
        <v>0.77940436187254103</v>
      </c>
      <c r="U26" s="148">
        <f>25*(AP26-R26)</f>
        <v>0</v>
      </c>
      <c r="V26" s="154">
        <f t="shared" si="6"/>
        <v>220702.46000000002</v>
      </c>
      <c r="W26" s="203">
        <f>25*(AT26-V26)</f>
        <v>0</v>
      </c>
      <c r="X26" s="204"/>
      <c r="Y26" s="63">
        <v>0</v>
      </c>
      <c r="Z26" s="6">
        <f>Y26*H26</f>
        <v>0</v>
      </c>
      <c r="AA26" s="19"/>
      <c r="AB26" s="19">
        <f>J18</f>
        <v>46913.58</v>
      </c>
      <c r="AD26" s="19">
        <f>L6</f>
        <v>71853.579999999987</v>
      </c>
      <c r="AF26" s="19">
        <f>P6</f>
        <v>15637.88</v>
      </c>
      <c r="AH26" s="19">
        <f>R6</f>
        <v>22508.879999999997</v>
      </c>
      <c r="AL26" s="19">
        <f>L26</f>
        <v>100319.3</v>
      </c>
      <c r="AP26" s="19">
        <f>R26</f>
        <v>60191.58</v>
      </c>
      <c r="AT26" s="19">
        <f>V26</f>
        <v>220702.46000000002</v>
      </c>
    </row>
    <row r="27" spans="1:46" ht="24.75" customHeight="1" thickTop="1" thickBot="1" x14ac:dyDescent="0.3">
      <c r="A27" s="8"/>
      <c r="B27" s="8"/>
      <c r="C27" s="8"/>
      <c r="D27" s="8"/>
      <c r="E27" s="8"/>
      <c r="F27" s="8"/>
      <c r="G27" s="8"/>
      <c r="H27" s="8"/>
      <c r="I27" s="8"/>
      <c r="J27" s="230"/>
      <c r="K27" s="231"/>
      <c r="L27" s="230"/>
      <c r="M27" s="231"/>
      <c r="N27" s="232"/>
      <c r="O27" s="233"/>
      <c r="P27" s="230"/>
      <c r="Q27" s="231"/>
      <c r="R27" s="230"/>
      <c r="S27" s="231"/>
      <c r="T27" s="232"/>
      <c r="U27" s="233"/>
      <c r="V27" s="234"/>
      <c r="W27" s="227"/>
      <c r="X27" s="156"/>
      <c r="Y27" s="86"/>
      <c r="Z27" s="6"/>
      <c r="AA27" s="19"/>
      <c r="AB27" s="19"/>
      <c r="AC27" s="19"/>
      <c r="AD27" s="19"/>
      <c r="AE27" s="19"/>
      <c r="AF27" s="19"/>
      <c r="AG27" s="19"/>
      <c r="AI27" s="19"/>
      <c r="AJ27" s="19"/>
      <c r="AN27" s="19"/>
      <c r="AR27" s="19"/>
    </row>
    <row r="28" spans="1:46" ht="12.75" customHeight="1" thickTop="1" x14ac:dyDescent="0.25">
      <c r="A28" s="8"/>
      <c r="B28" s="57"/>
      <c r="C28" s="8"/>
      <c r="D28" s="8"/>
      <c r="E28" s="8"/>
      <c r="F28" s="8"/>
      <c r="G28" s="8"/>
      <c r="H28" s="8"/>
      <c r="I28" s="8"/>
      <c r="J28" s="230"/>
      <c r="K28" s="231"/>
      <c r="L28" s="230"/>
      <c r="M28" s="231"/>
      <c r="N28" s="232"/>
      <c r="O28" s="233"/>
      <c r="P28" s="230"/>
      <c r="Q28" s="231"/>
      <c r="R28" s="230"/>
      <c r="S28" s="231"/>
      <c r="T28" s="232"/>
      <c r="U28" s="233"/>
      <c r="V28" s="234"/>
      <c r="W28" s="228"/>
      <c r="X28" s="201"/>
      <c r="Y28" s="62"/>
      <c r="Z28" s="6"/>
      <c r="AA28" s="19"/>
      <c r="AB28" s="19"/>
      <c r="AC28" s="19"/>
      <c r="AE28" s="19"/>
      <c r="AG28" s="19"/>
      <c r="AI28" s="19"/>
      <c r="AM28" s="19"/>
      <c r="AQ28" s="19"/>
    </row>
    <row r="29" spans="1:46" ht="14.25" customHeight="1" thickBot="1" x14ac:dyDescent="0.3">
      <c r="A29" s="8"/>
      <c r="B29" s="58"/>
      <c r="C29" s="8"/>
      <c r="D29" s="8"/>
      <c r="E29" s="8"/>
      <c r="F29" s="8"/>
      <c r="G29" s="8"/>
      <c r="H29" s="8"/>
      <c r="I29" s="8"/>
      <c r="J29" s="230"/>
      <c r="K29" s="231"/>
      <c r="L29" s="230"/>
      <c r="M29" s="231"/>
      <c r="N29" s="232"/>
      <c r="O29" s="233"/>
      <c r="P29" s="230"/>
      <c r="Q29" s="231"/>
      <c r="R29" s="230"/>
      <c r="S29" s="231"/>
      <c r="T29" s="232"/>
      <c r="U29" s="233"/>
      <c r="V29" s="234"/>
      <c r="W29" s="229"/>
      <c r="X29" s="204"/>
      <c r="Y29" s="63"/>
      <c r="Z29" s="6"/>
      <c r="AA29" s="19"/>
      <c r="AB29" s="19"/>
      <c r="AC29" s="19"/>
      <c r="AE29" s="19"/>
      <c r="AG29" s="19"/>
      <c r="AI29" s="19"/>
      <c r="AJ29" s="19"/>
      <c r="AN29" s="19"/>
      <c r="AR29" s="19"/>
    </row>
    <row r="30" spans="1:46" ht="12" customHeight="1" thickTop="1" x14ac:dyDescent="0.25">
      <c r="A30" s="8"/>
      <c r="B30" s="57"/>
      <c r="C30" s="8"/>
      <c r="D30" s="8"/>
      <c r="E30" s="8"/>
      <c r="F30" s="8"/>
      <c r="G30" s="8"/>
      <c r="H30" s="8"/>
      <c r="I30" s="8"/>
      <c r="J30" s="230"/>
      <c r="K30" s="231"/>
      <c r="L30" s="230"/>
      <c r="M30" s="231"/>
      <c r="N30" s="232"/>
      <c r="O30" s="233"/>
      <c r="P30" s="230"/>
      <c r="Q30" s="231"/>
      <c r="R30" s="230"/>
      <c r="S30" s="231"/>
      <c r="T30" s="232"/>
      <c r="U30" s="233"/>
      <c r="V30" s="234"/>
      <c r="W30" s="228"/>
      <c r="X30" s="201"/>
      <c r="Y30" s="62"/>
      <c r="Z30" s="6"/>
      <c r="AA30" s="19"/>
      <c r="AB30" s="19"/>
      <c r="AD30" s="19"/>
      <c r="AF30" s="19"/>
      <c r="AH30" s="19"/>
      <c r="AK30" s="19"/>
      <c r="AO30" s="19"/>
      <c r="AS30" s="19"/>
    </row>
    <row r="31" spans="1:46" ht="12" customHeight="1" thickBot="1" x14ac:dyDescent="0.3">
      <c r="A31" s="8"/>
      <c r="B31" s="57"/>
      <c r="C31" s="8"/>
      <c r="D31" s="8"/>
      <c r="E31" s="9"/>
      <c r="F31" s="9"/>
      <c r="G31" s="9"/>
      <c r="H31" s="59"/>
      <c r="I31" s="8"/>
      <c r="J31" s="230"/>
      <c r="K31" s="231"/>
      <c r="L31" s="230"/>
      <c r="M31" s="231"/>
      <c r="N31" s="232"/>
      <c r="O31" s="233"/>
      <c r="P31" s="230"/>
      <c r="Q31" s="231"/>
      <c r="R31" s="230"/>
      <c r="S31" s="231"/>
      <c r="T31" s="232"/>
      <c r="U31" s="233"/>
      <c r="V31" s="234"/>
      <c r="W31" s="229"/>
      <c r="X31" s="204"/>
      <c r="Y31" s="63"/>
      <c r="Z31" s="6"/>
      <c r="AA31" s="19"/>
      <c r="AB31" s="19"/>
      <c r="AD31" s="19"/>
      <c r="AF31" s="19"/>
      <c r="AH31" s="19"/>
      <c r="AL31" s="19"/>
      <c r="AP31" s="19"/>
      <c r="AT31" s="19"/>
    </row>
    <row r="32" spans="1:46" ht="12" customHeight="1" thickTop="1" x14ac:dyDescent="0.25">
      <c r="A32" s="8"/>
      <c r="B32" s="57"/>
      <c r="C32" s="8"/>
      <c r="D32" s="8"/>
      <c r="E32" s="8"/>
      <c r="F32" s="8"/>
      <c r="G32" s="8"/>
      <c r="H32" s="60"/>
      <c r="I32" s="8"/>
      <c r="J32" s="8"/>
      <c r="K32" s="8"/>
      <c r="L32" s="8"/>
      <c r="M32" s="8"/>
      <c r="N32" s="8"/>
      <c r="O32" s="8"/>
      <c r="P32" s="8"/>
    </row>
    <row r="33" spans="1:16" ht="0.75" customHeight="1" x14ac:dyDescent="0.25">
      <c r="A33" s="8"/>
      <c r="B33" s="8"/>
      <c r="C33" s="8"/>
      <c r="D33" s="8"/>
      <c r="E33" s="8"/>
      <c r="F33" s="8"/>
      <c r="G33" s="8"/>
      <c r="H33" s="61"/>
      <c r="I33" s="8"/>
      <c r="J33" s="8"/>
      <c r="K33" s="8"/>
      <c r="L33" s="8"/>
      <c r="M33" s="8"/>
      <c r="N33" s="8"/>
      <c r="O33" s="8"/>
      <c r="P33" s="8"/>
    </row>
    <row r="34" spans="1:16" ht="14.25" customHeight="1" x14ac:dyDescent="0.25">
      <c r="A34" s="8"/>
      <c r="B34" s="58"/>
      <c r="C34" s="8"/>
      <c r="D34" s="8"/>
      <c r="E34" s="8"/>
      <c r="F34" s="8"/>
      <c r="G34" s="8"/>
      <c r="H34" s="61"/>
      <c r="I34" s="8"/>
      <c r="J34" s="8"/>
      <c r="K34" s="8"/>
      <c r="L34" s="8"/>
      <c r="M34" s="8"/>
      <c r="N34" s="8"/>
      <c r="O34" s="8"/>
      <c r="P34" s="8"/>
    </row>
    <row r="35" spans="1:16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6" x14ac:dyDescent="0.25">
      <c r="A36" s="8"/>
      <c r="B36" s="57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1:16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1:16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1:16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1:16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</sheetData>
  <autoFilter ref="B3:AB26" xr:uid="{00000000-0009-0000-0000-000001000000}"/>
  <mergeCells count="1">
    <mergeCell ref="B1:Y1"/>
  </mergeCells>
  <pageMargins left="0.7" right="0.7" top="0.78740157499999996" bottom="0.78740157499999996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4" zoomScale="80" zoomScaleNormal="80" workbookViewId="0">
      <selection activeCell="BK73" sqref="BK7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F7" zoomScale="90" zoomScaleNormal="90" workbookViewId="0">
      <selection activeCell="AL24" sqref="AL2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J43"/>
  <sheetViews>
    <sheetView zoomScale="90" zoomScaleNormal="90" workbookViewId="0">
      <selection activeCell="A47" sqref="A47"/>
    </sheetView>
  </sheetViews>
  <sheetFormatPr defaultRowHeight="15" x14ac:dyDescent="0.25"/>
  <sheetData>
    <row r="43" spans="10:10" x14ac:dyDescent="0.25">
      <c r="J43" s="39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="90" zoomScaleNormal="90" workbookViewId="0">
      <selection activeCell="A9" sqref="A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Ceny za léčbu </vt:lpstr>
      <vt:lpstr>BIA (nVPMD)</vt:lpstr>
      <vt:lpstr>BIA (DME)</vt:lpstr>
      <vt:lpstr>úhrady od ZP za léčbu</vt:lpstr>
      <vt:lpstr>Obrázky1</vt:lpstr>
      <vt:lpstr>Obrázky2</vt:lpstr>
      <vt:lpstr>Obrázky3</vt:lpstr>
      <vt:lpstr>Tabulky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Duda Jaroslav, Mgr.</cp:lastModifiedBy>
  <cp:lastPrinted>2023-01-30T10:35:55Z</cp:lastPrinted>
  <dcterms:created xsi:type="dcterms:W3CDTF">2022-06-13T12:17:50Z</dcterms:created>
  <dcterms:modified xsi:type="dcterms:W3CDTF">2024-11-18T15:20:09Z</dcterms:modified>
</cp:coreProperties>
</file>