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894\Desktop\FE analýzy\migréna - CGRP antagonist\"/>
    </mc:Choice>
  </mc:AlternateContent>
  <xr:revisionPtr revIDLastSave="0" documentId="13_ncr:1_{47B835B7-6402-474F-867E-D58CE19ABCF9}" xr6:coauthVersionLast="36" xr6:coauthVersionMax="36" xr10:uidLastSave="{00000000-0000-0000-0000-000000000000}"/>
  <bookViews>
    <workbookView xWindow="0" yWindow="0" windowWidth="28800" windowHeight="11685" tabRatio="500" xr2:uid="{00000000-000D-0000-FFFF-FFFF00000000}"/>
  </bookViews>
  <sheets>
    <sheet name="Ceny za léčbu" sheetId="1" r:id="rId1"/>
    <sheet name="Seznam přípravků" sheetId="7" r:id="rId2"/>
    <sheet name="obrázky1" sheetId="2" r:id="rId3"/>
    <sheet name="obrázky2" sheetId="14" r:id="rId4"/>
    <sheet name="obrázky3" sheetId="15" r:id="rId5"/>
    <sheet name="obrázky4" sheetId="16" r:id="rId6"/>
    <sheet name="obrázky5" sheetId="17" r:id="rId7"/>
    <sheet name="obrázky6" sheetId="18" r:id="rId8"/>
    <sheet name="obrázky7" sheetId="19" r:id="rId9"/>
    <sheet name="obrázky8" sheetId="20" r:id="rId10"/>
    <sheet name="obrázky9" sheetId="21" r:id="rId11"/>
    <sheet name="obrázky10" sheetId="22" r:id="rId12"/>
    <sheet name="obrázky11" sheetId="23" r:id="rId13"/>
    <sheet name="obrázky12" sheetId="24" r:id="rId14"/>
  </sheets>
  <definedNames>
    <definedName name="_xlnm._FilterDatabase" localSheetId="0" hidden="1">'Ceny za léčbu'!$B$3:$O$10</definedName>
    <definedName name="_xlnm._FilterDatabase" localSheetId="1" hidden="1">'Seznam přípravků'!$A$2:$G$2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8" i="1" l="1"/>
  <c r="O9" i="1" l="1"/>
  <c r="O7" i="1"/>
  <c r="H9" i="1" l="1"/>
  <c r="H7" i="1"/>
  <c r="K9" i="1" l="1"/>
  <c r="L9" i="1" s="1"/>
  <c r="I9" i="1"/>
  <c r="K7" i="1"/>
  <c r="L7" i="1" s="1"/>
  <c r="I7" i="1"/>
  <c r="O6" i="1"/>
  <c r="H6" i="1" s="1"/>
  <c r="R7" i="1" l="1"/>
  <c r="J7" i="1" s="1"/>
  <c r="R10" i="1"/>
  <c r="R6" i="1"/>
  <c r="R9" i="1"/>
  <c r="J9" i="1" s="1"/>
  <c r="R5" i="1"/>
  <c r="R8" i="1"/>
  <c r="R4" i="1"/>
  <c r="K6" i="1"/>
  <c r="L6" i="1" s="1"/>
  <c r="I6" i="1"/>
  <c r="O10" i="1"/>
  <c r="O5" i="1"/>
  <c r="J6" i="1" l="1"/>
  <c r="J9" i="7"/>
  <c r="J3" i="7"/>
  <c r="H10" i="1" l="1"/>
  <c r="H5" i="1"/>
  <c r="O4" i="1"/>
  <c r="H4" i="1" s="1"/>
  <c r="I10" i="1" l="1"/>
  <c r="J10" i="1" s="1"/>
  <c r="K10" i="1"/>
  <c r="L10" i="1" s="1"/>
  <c r="I5" i="1"/>
  <c r="J5" i="1" s="1"/>
  <c r="K5" i="1"/>
  <c r="L5" i="1" s="1"/>
  <c r="K4" i="1"/>
  <c r="L4" i="1" s="1"/>
  <c r="I4" i="1"/>
  <c r="J4" i="1" s="1"/>
  <c r="Q7" i="1" l="1"/>
  <c r="M7" i="1" s="1"/>
  <c r="Q8" i="1"/>
  <c r="Q4" i="1"/>
  <c r="M4" i="1" s="1"/>
  <c r="Q5" i="1"/>
  <c r="M5" i="1" s="1"/>
  <c r="Q6" i="1"/>
  <c r="M6" i="1" s="1"/>
  <c r="Q9" i="1"/>
  <c r="M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0" authorId="0" shapeId="0" xr:uid="{00000000-0006-0000-0000-000001000000}">
      <text>
        <r>
          <rPr>
            <sz val="11"/>
            <color rgb="FF000000"/>
            <rFont val="Calibri"/>
            <family val="2"/>
            <charset val="238"/>
          </rPr>
          <t>Dle informací z databáze distribuční firmy PHOENIX k 19.9.23</t>
        </r>
      </text>
    </comment>
  </commentList>
</comments>
</file>

<file path=xl/sharedStrings.xml><?xml version="1.0" encoding="utf-8"?>
<sst xmlns="http://schemas.openxmlformats.org/spreadsheetml/2006/main" count="126" uniqueCount="92">
  <si>
    <r>
      <t xml:space="preserve">název LP                          </t>
    </r>
    <r>
      <rPr>
        <sz val="8"/>
        <rFont val="Arial"/>
        <family val="2"/>
        <charset val="238"/>
      </rPr>
      <t>(hodnocený LP je zvýrazněn modře)</t>
    </r>
  </si>
  <si>
    <t>účinná látka (výrobce)</t>
  </si>
  <si>
    <t>násobek vůči ceně nejlevnějšího za 1. 4 měsíce - CMA</t>
  </si>
  <si>
    <r>
      <t>dávkování dle SPC</t>
    </r>
    <r>
      <rPr>
        <b/>
        <vertAlign val="superscript"/>
        <sz val="11"/>
        <color rgb="FF000000"/>
        <rFont val="Calibri"/>
        <family val="2"/>
        <charset val="238"/>
      </rPr>
      <t>2</t>
    </r>
    <r>
      <rPr>
        <b/>
        <sz val="11"/>
        <color rgb="FF000000"/>
        <rFont val="Calibri"/>
        <family val="2"/>
        <charset val="238"/>
      </rPr>
      <t xml:space="preserve">                                         </t>
    </r>
    <r>
      <rPr>
        <sz val="11"/>
        <color rgb="FF000000"/>
        <rFont val="Calibri"/>
        <family val="2"/>
        <charset val="238"/>
      </rPr>
      <t xml:space="preserve">    </t>
    </r>
  </si>
  <si>
    <t xml:space="preserve">VYEPTI 100mg inf. 1x1ml            </t>
  </si>
  <si>
    <t>AIMOVIG 140mg inj sol 1x1ml</t>
  </si>
  <si>
    <t>EMGALITY 120mg inj sol 1x1ml</t>
  </si>
  <si>
    <t>AJOVY 225mg              inj sol 1x1,5ml</t>
  </si>
  <si>
    <t>AJOVY 225mg  inj sol 1x1,5ml</t>
  </si>
  <si>
    <t xml:space="preserve"> </t>
  </si>
  <si>
    <r>
      <t>monoklon. protilátka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10,13</t>
    </r>
  </si>
  <si>
    <r>
      <t>monoklon. protilátka            proti CGRP peptidu</t>
    </r>
    <r>
      <rPr>
        <vertAlign val="superscript"/>
        <sz val="9.5"/>
        <color theme="1"/>
        <rFont val="Calibri"/>
        <family val="2"/>
        <charset val="238"/>
        <scheme val="minor"/>
      </rPr>
      <t>9,10</t>
    </r>
  </si>
  <si>
    <t>erenumab -            viz Přílohu č. 22 (Novartis)</t>
  </si>
  <si>
    <t>galkanezumab - viz Přílohu č. 22 (Eli Lilly)</t>
  </si>
  <si>
    <t>fremanezumab - viz Přílohu č. 22   (TEVA)</t>
  </si>
  <si>
    <t>eptinezumab - viz Přílohu č. 22 (Lundbeck)</t>
  </si>
  <si>
    <r>
      <t>"malá" molekula ("gepant")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</si>
  <si>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r>
      <t>farmakologická skupina (</t>
    </r>
    <r>
      <rPr>
        <i/>
        <sz val="9"/>
        <rFont val="Arial"/>
        <family val="2"/>
        <charset val="238"/>
      </rPr>
      <t>stejná barva = stejná skupina</t>
    </r>
    <r>
      <rPr>
        <sz val="9"/>
        <rFont val="Arial"/>
        <family val="2"/>
        <charset val="238"/>
      </rPr>
      <t>)</t>
    </r>
  </si>
  <si>
    <r>
      <t>úhrada v ČR dle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>k datu 22.9.2023                  (týkající se migrény)</t>
    </r>
  </si>
  <si>
    <r>
      <t>velmi komlexní mechanismus účinku</t>
    </r>
    <r>
      <rPr>
        <vertAlign val="superscript"/>
        <sz val="9.5"/>
        <color theme="1"/>
        <rFont val="Calibri"/>
        <family val="2"/>
        <charset val="238"/>
        <scheme val="minor"/>
      </rPr>
      <t>58</t>
    </r>
  </si>
  <si>
    <t>k profylaxi migrény u dospělých, kteří trpí migrénou nejméně 4 dny v měsíci.</t>
  </si>
  <si>
    <t>úhradové podmínky jsou stejné pro všechny protilátky proti CGRP - viz výše odstavec "Stav LP…"</t>
  </si>
  <si>
    <r>
      <t>způsob podání  (</t>
    </r>
    <r>
      <rPr>
        <i/>
        <sz val="9"/>
        <rFont val="Arial"/>
        <family val="2"/>
        <charset val="238"/>
      </rPr>
      <t>stejná barva = stejný způsob</t>
    </r>
    <r>
      <rPr>
        <sz val="9"/>
        <rFont val="Arial"/>
        <family val="2"/>
        <charset val="238"/>
      </rPr>
      <t>)</t>
    </r>
  </si>
  <si>
    <t>BEZ ÚHRADY</t>
  </si>
  <si>
    <t>140 mg každé 4 týdny</t>
  </si>
  <si>
    <t>s.c. injekce (samoaplikace)</t>
  </si>
  <si>
    <t>120 mg jednou za měsíc, s první úvodní dávkou 240 mg</t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</si>
  <si>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 a polysorbát 80)</t>
    </r>
  </si>
  <si>
    <r>
      <t xml:space="preserve">KI </t>
    </r>
    <r>
      <rPr>
        <sz val="9"/>
        <rFont val="Arial"/>
        <family val="2"/>
        <charset val="238"/>
      </rPr>
      <t>(kromě hypersenz. na účinné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</si>
  <si>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                      polysorbát 80)</t>
    </r>
  </si>
  <si>
    <r>
      <t>další informace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</t>
    </r>
    <r>
      <rPr>
        <sz val="9"/>
        <rFont val="Arial"/>
        <family val="2"/>
        <charset val="238"/>
      </rPr>
      <t xml:space="preserve">  (</t>
    </r>
    <r>
      <rPr>
        <i/>
        <sz val="9"/>
        <rFont val="Arial"/>
        <family val="2"/>
        <charset val="238"/>
      </rPr>
      <t>podtržením jsou zvýrazněny rozdíly mezi LP!, viz také Přílohy č. 12 a 14</t>
    </r>
    <r>
      <rPr>
        <sz val="9"/>
        <rFont val="Arial"/>
        <family val="2"/>
        <charset val="238"/>
      </rPr>
      <t xml:space="preserve">)     </t>
    </r>
  </si>
  <si>
    <r>
      <rPr>
        <u/>
        <sz val="10"/>
        <color theme="1"/>
        <rFont val="Calibri"/>
        <family val="2"/>
        <charset val="238"/>
        <scheme val="minor"/>
      </rPr>
      <t>možné 2 varianty</t>
    </r>
    <r>
      <rPr>
        <sz val="10"/>
        <color theme="1"/>
        <rFont val="Calibri"/>
        <family val="2"/>
        <charset val="238"/>
        <scheme val="minor"/>
      </rPr>
      <t>:                     225 mg jednou měsíčně, nebo                                                     675 mg každé 3 měsíce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</si>
  <si>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EDTA a polysorbát 80)</t>
    </r>
  </si>
  <si>
    <t>VYDURA 75mg p.o. lyofilizát 2x1</t>
  </si>
  <si>
    <r>
      <t>indikace dle SPC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 xml:space="preserve">k datu 22.9.2023                   (týkající se profylaxe migrény)           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</si>
  <si>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</t>
    </r>
    <r>
      <rPr>
        <sz val="9"/>
        <rFont val="Arial"/>
        <family val="2"/>
        <charset val="238"/>
      </rPr>
      <t xml:space="preserve">(týkající se profylaxe migrény)  </t>
    </r>
  </si>
  <si>
    <t>75 mg každý druhý den</t>
  </si>
  <si>
    <t>p.o. - na jazyk nebo pod jazyk</t>
  </si>
  <si>
    <t xml:space="preserve">rimegepant -              viz Přílohu č. 17        (Pfizer) </t>
  </si>
  <si>
    <t>AQUIPTA 60mg               28 či 98 tbl</t>
  </si>
  <si>
    <t>p.o. - polykat vcelku</t>
  </si>
  <si>
    <t>* těžká jater.dysfce</t>
  </si>
  <si>
    <t>atogepant -              viz Přílohu č. 17         (AbbVie)</t>
  </si>
  <si>
    <t>* uchovávat do 30 °C                                                                                         * obsahuje želatinu,                                                           * nedoporučuje se v těhotenství</t>
  </si>
  <si>
    <t>BOTOX 100SU                   inj 1x</t>
  </si>
  <si>
    <t>155–195 SU aplik.  v inj. po 0,1 ml (5 U) do 31 až 39 injekčních bodů - každých 12 týdnů</t>
  </si>
  <si>
    <t>i.m. injekce do 31-39 injekčních bodů (lékařem!)</t>
  </si>
  <si>
    <t>* přítomnost infekce v místech aplikace</t>
  </si>
  <si>
    <t>onabotulinum- toxin A -                           viz pozn. 58        (AbbVie)</t>
  </si>
  <si>
    <t>i.v. infuze                     (po dobu cca 30 min)</t>
  </si>
  <si>
    <r>
      <rPr>
        <u/>
        <sz val="10"/>
        <color theme="1"/>
        <rFont val="Calibri"/>
        <family val="2"/>
        <charset val="238"/>
        <scheme val="minor"/>
      </rPr>
      <t>100 mg každých 12 týdnů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sz val="9.5"/>
        <color theme="1"/>
        <rFont val="Calibri"/>
        <family val="2"/>
        <charset val="238"/>
        <scheme val="minor"/>
      </rPr>
      <t>pro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>některé pac. je vhodných 300 mg každých 12 týdnů (CAVE! není hrazeno!)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</si>
  <si>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sorbitol a polysorbát 80)</t>
    </r>
  </si>
  <si>
    <t>CAVE! indikace a úhradové podmínky jsou stejné pro všechny protilátky proti CGRP - viz výše odstavec "Stav LP…"!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</si>
  <si>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po naředění do 25 °C (podat do 8 hod!),                                                                                    * viz níže pozn.**</t>
    </r>
  </si>
  <si>
    <t>* uchovávat při (2 °C – 8 °C) - možno až 7 dní do 30 °C,                                                                                    * viz níže pozn.**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</si>
  <si>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možno až 7 dní do 30 °C,                                                                                    * viz níže pozn.**</t>
    </r>
  </si>
  <si>
    <r>
      <t xml:space="preserve">* </t>
    </r>
    <r>
      <rPr>
        <u/>
        <sz val="9.5"/>
        <color theme="1"/>
        <rFont val="Calibri"/>
        <family val="2"/>
        <charset val="238"/>
      </rPr>
      <t xml:space="preserve">zácpa </t>
    </r>
    <r>
      <rPr>
        <sz val="9.5"/>
        <color theme="1"/>
        <rFont val="Calibri"/>
        <family val="2"/>
        <charset val="238"/>
      </rPr>
      <t>- obvykle je lehká nebo středně těžká (při těžké zácpě zvážit přerušení),          *  uchovávat při (2 °C – 8 °C) - možno až 7 dní do 25 °C,                                                                                          * viz níže pozn.**</t>
    </r>
  </si>
  <si>
    <r>
      <t xml:space="preserve">* </t>
    </r>
    <r>
      <rPr>
        <u/>
        <sz val="10"/>
        <color theme="1"/>
        <rFont val="Calibri"/>
        <family val="2"/>
        <charset val="238"/>
      </rPr>
      <t>CLcr &lt; 15 ml/min</t>
    </r>
    <r>
      <rPr>
        <sz val="10"/>
        <color theme="1"/>
        <rFont val="Calibri"/>
        <family val="2"/>
        <charset val="238"/>
      </rPr>
      <t xml:space="preserve">,     </t>
    </r>
    <r>
      <rPr>
        <u/>
        <sz val="10"/>
        <color theme="1"/>
        <rFont val="Calibri"/>
        <family val="2"/>
        <charset val="238"/>
      </rPr>
      <t xml:space="preserve">        * těžká jater.dysfce</t>
    </r>
    <r>
      <rPr>
        <sz val="10"/>
        <color theme="1"/>
        <rFont val="Calibri"/>
        <family val="2"/>
        <charset val="238"/>
      </rPr>
      <t xml:space="preserve">,       </t>
    </r>
    <r>
      <rPr>
        <u/>
        <sz val="10"/>
        <color theme="1"/>
        <rFont val="Calibri"/>
        <family val="2"/>
        <charset val="238"/>
      </rPr>
      <t xml:space="preserve">     *  spolu se silnými inh. či induk. CYP3A4</t>
    </r>
  </si>
  <si>
    <t>k profylaxi migrény u dospělých, kteří trpí migrénou nejméně 4 dny v měsíci</t>
  </si>
  <si>
    <r>
      <t xml:space="preserve">60 mg 1x denně                            </t>
    </r>
    <r>
      <rPr>
        <sz val="9"/>
        <color theme="1"/>
        <rFont val="Calibri"/>
        <family val="2"/>
        <charset val="238"/>
        <scheme val="minor"/>
      </rPr>
      <t>(při spol. kombinaci se silnými inhib. CYP3A4 či OATP, při  CLcr &lt; 30 ml/min jen 10mg 1x denně!)</t>
    </r>
  </si>
  <si>
    <r>
      <t xml:space="preserve">k profylaxi </t>
    </r>
    <r>
      <rPr>
        <u/>
        <sz val="9.5"/>
        <color theme="1"/>
        <rFont val="Calibri"/>
        <family val="2"/>
        <charset val="238"/>
        <scheme val="minor"/>
      </rPr>
      <t>epizodické</t>
    </r>
    <r>
      <rPr>
        <sz val="9.5"/>
        <color theme="1"/>
        <rFont val="Calibri"/>
        <family val="2"/>
        <charset val="238"/>
        <scheme val="minor"/>
      </rPr>
      <t xml:space="preserve"> migrény u dospělých, kteří trpí migrénou nejméně 4 dny v měsíci</t>
    </r>
  </si>
  <si>
    <r>
      <t xml:space="preserve">k profylaxi </t>
    </r>
    <r>
      <rPr>
        <u/>
        <sz val="9.5"/>
        <color rgb="FF000000"/>
        <rFont val="Calibri"/>
        <family val="2"/>
        <charset val="238"/>
      </rPr>
      <t>chronické</t>
    </r>
    <r>
      <rPr>
        <sz val="9.5"/>
        <color rgb="FF000000"/>
        <rFont val="Calibri"/>
        <family val="2"/>
        <charset val="238"/>
      </rPr>
      <t xml:space="preserve"> migrény u dosp. (bolesti hlavy min. 15 dní/měsíc, z toho min. 8 dní migrenózních)</t>
    </r>
  </si>
  <si>
    <r>
      <t xml:space="preserve">* teplota uchovávání není určena!                                                         * </t>
    </r>
    <r>
      <rPr>
        <u/>
        <sz val="9.5"/>
        <color theme="1"/>
        <rFont val="Calibri"/>
        <family val="2"/>
        <charset val="238"/>
      </rPr>
      <t>obsahuje řadu pomoc. látek</t>
    </r>
    <r>
      <rPr>
        <sz val="9.5"/>
        <color theme="1"/>
        <rFont val="Calibri"/>
        <family val="2"/>
        <charset val="238"/>
      </rPr>
      <t>,                                            * nedoporučuje se v těhotenství</t>
    </r>
  </si>
  <si>
    <r>
      <t xml:space="preserve">* </t>
    </r>
    <r>
      <rPr>
        <u/>
        <sz val="9.5"/>
        <color theme="1"/>
        <rFont val="Calibri"/>
        <family val="2"/>
        <charset val="238"/>
      </rPr>
      <t>opatrně u pac. s poruchami neuromuskul. přenosu</t>
    </r>
    <r>
      <rPr>
        <sz val="9.5"/>
        <color theme="1"/>
        <rFont val="Calibri"/>
        <family val="2"/>
        <charset val="238"/>
      </rPr>
      <t>,                                        * nedoporučuje se v těhotenství,                              * obsahuje lidský albumin,                                               * uchovávat</t>
    </r>
    <r>
      <rPr>
        <u/>
        <sz val="9.5"/>
        <color theme="1"/>
        <rFont val="Calibri"/>
        <family val="2"/>
        <charset val="238"/>
      </rPr>
      <t xml:space="preserve"> při (2 °C – 8 °C) </t>
    </r>
  </si>
  <si>
    <t>AQUIPTA 60mg                                 28 či 98 tbl</t>
  </si>
  <si>
    <r>
      <rPr>
        <u/>
        <sz val="9"/>
        <color theme="1"/>
        <rFont val="Calibri"/>
        <family val="2"/>
        <charset val="238"/>
        <scheme val="minor"/>
      </rPr>
      <t>100 mg každých 12 týdnů</t>
    </r>
    <r>
      <rPr>
        <sz val="9"/>
        <color theme="1"/>
        <rFont val="Calibri"/>
        <family val="2"/>
        <charset val="238"/>
        <scheme val="minor"/>
      </rPr>
      <t xml:space="preserve"> - pro některé pac. je vhodných 300 mg každých 12 týdnů (CAVE! není hrazeno!)</t>
    </r>
  </si>
  <si>
    <r>
      <rPr>
        <u/>
        <sz val="9"/>
        <color theme="1"/>
        <rFont val="Calibri"/>
        <family val="2"/>
        <charset val="238"/>
        <scheme val="minor"/>
      </rPr>
      <t>možné 2 varianty</t>
    </r>
    <r>
      <rPr>
        <sz val="9"/>
        <color theme="1"/>
        <rFont val="Calibri"/>
        <family val="2"/>
        <charset val="238"/>
        <scheme val="minor"/>
      </rPr>
      <t>:                                                225 mg jednou měsíčně, nebo                                                     675 mg každé 3 měsíce</t>
    </r>
  </si>
  <si>
    <t>60 mg 1x denně                                                        (při spol. kombinaci se silnými inhib. CYP3A4 či OATP, při  CLcr &lt; 30 ml/min jen 10mg 1x denně!)</t>
  </si>
  <si>
    <t>na trhu bude až v lednu 2025, cena není k dispozici!</t>
  </si>
  <si>
    <r>
      <t>rozdíl nákladů příslušný LP - LP VYEPTI pro 30 pac. za 1. rok při 42 % odpovědi po 12 týdnech</t>
    </r>
    <r>
      <rPr>
        <b/>
        <vertAlign val="superscript"/>
        <sz val="11"/>
        <color rgb="FF000000"/>
        <rFont val="Calibri"/>
        <family val="2"/>
        <charset val="238"/>
      </rPr>
      <t xml:space="preserve">61 </t>
    </r>
    <r>
      <rPr>
        <b/>
        <sz val="11"/>
        <color rgb="FF000000"/>
        <rFont val="Calibri"/>
        <family val="2"/>
        <charset val="238"/>
      </rPr>
      <t xml:space="preserve">pro oba LP                     </t>
    </r>
    <r>
      <rPr>
        <sz val="11"/>
        <color rgb="FF000000"/>
        <rFont val="Calibri"/>
        <family val="2"/>
        <charset val="238"/>
      </rPr>
      <t xml:space="preserve">   (</t>
    </r>
    <r>
      <rPr>
        <i/>
        <u/>
        <sz val="11"/>
        <color rgb="FF000000"/>
        <rFont val="Calibri"/>
        <family val="2"/>
        <charset val="238"/>
      </rPr>
      <t>kladná hodnota = VYEPTI je šetřící</t>
    </r>
    <r>
      <rPr>
        <sz val="11"/>
        <color rgb="FF000000"/>
        <rFont val="Calibri"/>
        <family val="2"/>
        <charset val="238"/>
      </rPr>
      <t>)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</si>
  <si>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užívá pac. celý rok!</t>
    </r>
    <r>
      <rPr>
        <b/>
        <sz val="11"/>
        <color rgb="FF000000"/>
        <rFont val="Calibri"/>
        <family val="2"/>
        <charset val="238"/>
      </rPr>
      <t>) na 1 pac.</t>
    </r>
  </si>
  <si>
    <r>
      <t>poměr cen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pacient užívá celý rok!</t>
    </r>
    <r>
      <rPr>
        <b/>
        <sz val="11"/>
        <color rgb="FF000000"/>
        <rFont val="Calibri"/>
        <family val="2"/>
        <charset val="238"/>
      </rPr>
      <t>) vůči nejlevnějšímu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</si>
  <si>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na 1 pac.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</si>
  <si>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pro 30 pacientů</t>
    </r>
  </si>
  <si>
    <r>
      <t xml:space="preserve">VYDURA 75mg p.o.                   lyofilizát 2x1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(jen pro epizodickou migrénu!)</t>
    </r>
  </si>
  <si>
    <r>
      <t>BOTOX</t>
    </r>
    <r>
      <rPr>
        <b/>
        <vertAlign val="superscript"/>
        <sz val="12"/>
        <color theme="1"/>
        <rFont val="Calibri"/>
        <family val="2"/>
        <charset val="238"/>
        <scheme val="minor"/>
      </rPr>
      <t>62</t>
    </r>
    <r>
      <rPr>
        <b/>
        <sz val="12"/>
        <color theme="1"/>
        <rFont val="Calibri"/>
        <family val="2"/>
        <charset val="238"/>
        <scheme val="minor"/>
      </rPr>
      <t xml:space="preserve"> 100SU                                         inj 1x      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 xml:space="preserve">  (jen pro chronickou migrénu!)</t>
    </r>
  </si>
  <si>
    <r>
      <t>VYEPTI</t>
    </r>
    <r>
      <rPr>
        <b/>
        <vertAlign val="superscript"/>
        <sz val="12"/>
        <color theme="1"/>
        <rFont val="Calibri"/>
        <family val="2"/>
        <charset val="238"/>
        <scheme val="minor"/>
      </rPr>
      <t>63</t>
    </r>
    <r>
      <rPr>
        <b/>
        <sz val="12"/>
        <color theme="1"/>
        <rFont val="Calibri"/>
        <family val="2"/>
        <charset val="238"/>
        <scheme val="minor"/>
      </rPr>
      <t xml:space="preserve"> 100mg inf. 1x1ml 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(dávka 100mg </t>
    </r>
    <r>
      <rPr>
        <sz val="10"/>
        <color theme="1"/>
        <rFont val="Calibri"/>
        <family val="2"/>
        <charset val="238"/>
      </rPr>
      <t>ā 12 týdnů)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b/>
        <sz val="10"/>
        <color theme="1"/>
        <rFont val="Calibri"/>
        <family val="2"/>
        <charset val="238"/>
        <scheme val="minor"/>
      </rPr>
      <t xml:space="preserve">       </t>
    </r>
  </si>
  <si>
    <r>
      <t xml:space="preserve">léčivý přípravek     </t>
    </r>
    <r>
      <rPr>
        <b/>
        <sz val="11"/>
        <color rgb="FF000000"/>
        <rFont val="Calibri"/>
        <family val="2"/>
        <charset val="238"/>
      </rPr>
      <t xml:space="preserve">                    </t>
    </r>
    <r>
      <rPr>
        <sz val="11"/>
        <color rgb="FF000000"/>
        <rFont val="Calibri"/>
        <family val="2"/>
        <charset val="238"/>
      </rPr>
      <t xml:space="preserve"> </t>
    </r>
    <r>
      <rPr>
        <b/>
        <sz val="11"/>
        <color rgb="FF000000"/>
        <rFont val="Calibri"/>
        <family val="2"/>
        <charset val="238"/>
      </rPr>
      <t xml:space="preserve">                                         (</t>
    </r>
    <r>
      <rPr>
        <b/>
        <i/>
        <sz val="11"/>
        <color rgb="FF000000"/>
        <rFont val="Calibri"/>
        <family val="2"/>
        <charset val="238"/>
      </rPr>
      <t xml:space="preserve">modrým podbarvením je zvýrazněn hodnocený LP) </t>
    </r>
  </si>
  <si>
    <r>
      <t>cena za léčbu VYEPTI za 1. rok 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pro 30 pacientů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</si>
  <si>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BOTOXEM za 1. rok (</t>
    </r>
    <r>
      <rPr>
        <b/>
        <i/>
        <u/>
        <sz val="11"/>
        <color rgb="FF000000"/>
        <rFont val="Calibri"/>
        <family val="2"/>
        <charset val="238"/>
      </rPr>
      <t>užívá pac. celý rok!</t>
    </r>
    <r>
      <rPr>
        <b/>
        <sz val="11"/>
        <color rgb="FF000000"/>
        <rFont val="Calibri"/>
        <family val="2"/>
        <charset val="238"/>
      </rPr>
      <t>) na 1 pac.</t>
    </r>
  </si>
  <si>
    <t>erenumab  (Novartis)</t>
  </si>
  <si>
    <t>galkanezumab (Eli Lilly)</t>
  </si>
  <si>
    <t>fremanezumab (TEVA)</t>
  </si>
  <si>
    <t xml:space="preserve">rimegepant   (Pfizer) </t>
  </si>
  <si>
    <t>atogepant         (AbbVie)</t>
  </si>
  <si>
    <t>onabotulinum- toxin A      (AbbVie)</t>
  </si>
  <si>
    <t>eptinezumab (Lundbeck)</t>
  </si>
  <si>
    <r>
      <t>"malá" molekula ("gepant")                       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</si>
  <si>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r>
      <t>"malá" molekula ("gepant")                   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</si>
  <si>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t>cena s DPH (NCSD) k     5.12.2023</t>
  </si>
  <si>
    <t>cena s DPH (NCSD) k 5.12.2023 vč. bonusu</t>
  </si>
  <si>
    <t>bonus k 5.12.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</si>
</sst>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&quot; Kč&quot;"/>
    <numFmt numFmtId="165" formatCode="#,##0&quot; Kč&quot;"/>
    <numFmt numFmtId="166" formatCode="0.00\ %"/>
    <numFmt numFmtId="167" formatCode="_-* #,##0.00&quot; Kč&quot;_-;\-* #,##0.00&quot; Kč&quot;_-;_-* \-??&quot; Kč&quot;_-;_-@_-"/>
    <numFmt numFmtId="168" formatCode="#,##0\ &quot;Kč&quot;"/>
    <numFmt numFmtId="169" formatCode="0.0"/>
  </numFmts>
  <fonts count="48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b/>
      <vertAlign val="superscript"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sz val="10"/>
      <name val="Arial"/>
      <charset val="238"/>
    </font>
    <font>
      <sz val="10"/>
      <name val="Arial"/>
      <family val="2"/>
      <charset val="238"/>
    </font>
    <font>
      <b/>
      <sz val="12.5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2"/>
      <color rgb="FF000000"/>
      <name val="Calibri"/>
      <family val="2"/>
      <charset val="238"/>
    </font>
    <font>
      <i/>
      <u/>
      <sz val="11"/>
      <color rgb="FF000000"/>
      <name val="Calibri"/>
      <family val="2"/>
      <charset val="238"/>
    </font>
    <font>
      <sz val="12"/>
      <color rgb="FF152128"/>
      <name val="Arial"/>
      <family val="2"/>
      <charset val="238"/>
    </font>
    <font>
      <vertAlign val="superscript"/>
      <sz val="9.5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</font>
    <font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  <scheme val="minor"/>
    </font>
    <font>
      <sz val="9.5"/>
      <color rgb="FF000000"/>
      <name val="Calibri"/>
      <family val="2"/>
      <charset val="238"/>
    </font>
    <font>
      <u/>
      <sz val="9.5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b/>
      <i/>
      <u/>
      <sz val="11"/>
      <color rgb="FF000000"/>
      <name val="Calibri"/>
      <family val="2"/>
      <charset val="238"/>
    </font>
    <font>
      <b/>
      <i/>
      <u/>
      <vertAlign val="superscript"/>
      <sz val="11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i/>
      <u/>
      <sz val="14"/>
      <color rgb="FF000000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14"/>
      <color rgb="FF3C404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6" tint="0.79998168889431442"/>
        <bgColor rgb="FFC0C0C0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5">
    <xf numFmtId="0" fontId="0" fillId="0" borderId="0"/>
    <xf numFmtId="167" fontId="10" fillId="0" borderId="0" applyBorder="0" applyProtection="0"/>
    <xf numFmtId="0" fontId="4" fillId="0" borderId="0"/>
    <xf numFmtId="0" fontId="23" fillId="0" borderId="0"/>
    <xf numFmtId="9" fontId="24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Alignment="1" applyProtection="1"/>
    <xf numFmtId="0" fontId="0" fillId="2" borderId="0" xfId="0" applyFont="1" applyFill="1" applyAlignment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0" fillId="3" borderId="0" xfId="0" applyFill="1" applyAlignment="1" applyProtection="1"/>
    <xf numFmtId="164" fontId="0" fillId="0" borderId="6" xfId="0" applyNumberFormat="1" applyBorder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 vertical="center"/>
    </xf>
    <xf numFmtId="164" fontId="0" fillId="0" borderId="15" xfId="0" applyNumberFormat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Font="1" applyAlignment="1" applyProtection="1">
      <alignment wrapText="1"/>
    </xf>
    <xf numFmtId="0" fontId="0" fillId="0" borderId="0" xfId="0" applyFont="1" applyAlignment="1">
      <alignment wrapText="1"/>
    </xf>
    <xf numFmtId="0" fontId="4" fillId="0" borderId="0" xfId="2"/>
    <xf numFmtId="0" fontId="14" fillId="4" borderId="2" xfId="2" applyFont="1" applyFill="1" applyBorder="1" applyAlignment="1">
      <alignment horizontal="center" vertical="center" wrapText="1"/>
    </xf>
    <xf numFmtId="0" fontId="14" fillId="5" borderId="19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 wrapText="1"/>
    </xf>
    <xf numFmtId="0" fontId="17" fillId="0" borderId="13" xfId="2" applyFont="1" applyBorder="1" applyAlignment="1">
      <alignment horizontal="center" vertical="center" wrapText="1"/>
    </xf>
    <xf numFmtId="2" fontId="21" fillId="0" borderId="10" xfId="2" applyNumberFormat="1" applyFont="1" applyBorder="1" applyAlignment="1">
      <alignment horizontal="center" vertical="center" wrapText="1"/>
    </xf>
    <xf numFmtId="0" fontId="16" fillId="7" borderId="16" xfId="2" applyFont="1" applyFill="1" applyBorder="1" applyAlignment="1">
      <alignment horizontal="center" vertical="center" wrapText="1"/>
    </xf>
    <xf numFmtId="0" fontId="4" fillId="6" borderId="0" xfId="2" applyFill="1"/>
    <xf numFmtId="0" fontId="4" fillId="6" borderId="0" xfId="2" applyFont="1" applyFill="1"/>
    <xf numFmtId="0" fontId="22" fillId="6" borderId="0" xfId="2" applyFont="1" applyFill="1" applyAlignment="1">
      <alignment vertical="center"/>
    </xf>
    <xf numFmtId="0" fontId="18" fillId="6" borderId="0" xfId="2" applyFont="1" applyFill="1" applyBorder="1" applyAlignment="1">
      <alignment vertical="center"/>
    </xf>
    <xf numFmtId="0" fontId="18" fillId="6" borderId="0" xfId="2" applyFont="1" applyFill="1" applyAlignment="1">
      <alignment vertical="center"/>
    </xf>
    <xf numFmtId="0" fontId="18" fillId="6" borderId="0" xfId="2" applyFont="1" applyFill="1" applyBorder="1"/>
    <xf numFmtId="0" fontId="11" fillId="8" borderId="1" xfId="2" applyFont="1" applyFill="1" applyBorder="1" applyAlignment="1">
      <alignment horizontal="center" vertical="center" wrapText="1"/>
    </xf>
    <xf numFmtId="0" fontId="13" fillId="8" borderId="2" xfId="2" applyFont="1" applyFill="1" applyBorder="1" applyAlignment="1">
      <alignment horizontal="center" vertical="center" wrapText="1"/>
    </xf>
    <xf numFmtId="0" fontId="14" fillId="8" borderId="4" xfId="2" applyFont="1" applyFill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 wrapText="1"/>
    </xf>
    <xf numFmtId="165" fontId="5" fillId="0" borderId="8" xfId="0" applyNumberFormat="1" applyFont="1" applyBorder="1" applyAlignment="1" applyProtection="1">
      <alignment horizontal="center" vertical="center"/>
    </xf>
    <xf numFmtId="168" fontId="27" fillId="0" borderId="6" xfId="0" applyNumberFormat="1" applyFont="1" applyBorder="1" applyAlignment="1" applyProtection="1">
      <alignment horizontal="center" vertical="center"/>
    </xf>
    <xf numFmtId="168" fontId="27" fillId="0" borderId="15" xfId="0" applyNumberFormat="1" applyFont="1" applyBorder="1" applyAlignment="1" applyProtection="1">
      <alignment horizontal="center" vertical="center"/>
    </xf>
    <xf numFmtId="168" fontId="27" fillId="0" borderId="8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168" fontId="27" fillId="7" borderId="14" xfId="0" applyNumberFormat="1" applyFont="1" applyFill="1" applyBorder="1" applyAlignment="1" applyProtection="1">
      <alignment horizontal="center" vertical="center"/>
    </xf>
    <xf numFmtId="164" fontId="5" fillId="7" borderId="14" xfId="0" applyNumberFormat="1" applyFont="1" applyFill="1" applyBorder="1" applyAlignment="1" applyProtection="1">
      <alignment horizontal="center" vertical="center"/>
    </xf>
    <xf numFmtId="0" fontId="6" fillId="10" borderId="3" xfId="0" applyFont="1" applyFill="1" applyBorder="1" applyAlignment="1" applyProtection="1">
      <alignment horizontal="center" vertical="center" wrapText="1"/>
    </xf>
    <xf numFmtId="0" fontId="29" fillId="0" borderId="0" xfId="0" applyFont="1"/>
    <xf numFmtId="0" fontId="0" fillId="0" borderId="0" xfId="0" applyAlignment="1">
      <alignment wrapText="1"/>
    </xf>
    <xf numFmtId="0" fontId="16" fillId="0" borderId="22" xfId="2" applyFont="1" applyBorder="1" applyAlignment="1">
      <alignment horizontal="center" vertical="center" wrapText="1"/>
    </xf>
    <xf numFmtId="0" fontId="13" fillId="11" borderId="2" xfId="2" applyFont="1" applyFill="1" applyBorder="1" applyAlignment="1">
      <alignment horizontal="center" vertical="center" wrapText="1"/>
    </xf>
    <xf numFmtId="0" fontId="13" fillId="12" borderId="2" xfId="2" applyFont="1" applyFill="1" applyBorder="1" applyAlignment="1">
      <alignment horizontal="center" vertical="center" wrapText="1"/>
    </xf>
    <xf numFmtId="0" fontId="16" fillId="0" borderId="23" xfId="2" applyFont="1" applyBorder="1" applyAlignment="1">
      <alignment horizontal="center" vertical="center" wrapText="1"/>
    </xf>
    <xf numFmtId="0" fontId="17" fillId="0" borderId="8" xfId="2" applyFont="1" applyBorder="1" applyAlignment="1">
      <alignment horizontal="center" vertical="center" wrapText="1"/>
    </xf>
    <xf numFmtId="0" fontId="22" fillId="0" borderId="13" xfId="2" applyFont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13" borderId="13" xfId="2" applyFont="1" applyFill="1" applyBorder="1" applyAlignment="1">
      <alignment horizontal="center" vertical="center" wrapText="1"/>
    </xf>
    <xf numFmtId="0" fontId="3" fillId="0" borderId="0" xfId="2" applyFont="1"/>
    <xf numFmtId="0" fontId="22" fillId="9" borderId="13" xfId="2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left" vertical="center" wrapText="1"/>
    </xf>
    <xf numFmtId="0" fontId="22" fillId="9" borderId="8" xfId="2" applyFont="1" applyFill="1" applyBorder="1" applyAlignment="1">
      <alignment horizontal="center" vertical="center" wrapText="1"/>
    </xf>
    <xf numFmtId="0" fontId="33" fillId="0" borderId="9" xfId="2" applyFont="1" applyBorder="1" applyAlignment="1">
      <alignment horizontal="center" vertical="center" wrapText="1"/>
    </xf>
    <xf numFmtId="0" fontId="32" fillId="9" borderId="8" xfId="2" applyFont="1" applyFill="1" applyBorder="1" applyAlignment="1">
      <alignment horizontal="center" vertical="center" wrapText="1"/>
    </xf>
    <xf numFmtId="0" fontId="22" fillId="7" borderId="24" xfId="2" applyFont="1" applyFill="1" applyBorder="1" applyAlignment="1">
      <alignment horizontal="center" vertical="center" wrapText="1"/>
    </xf>
    <xf numFmtId="0" fontId="2" fillId="0" borderId="0" xfId="2" applyFont="1"/>
    <xf numFmtId="0" fontId="16" fillId="7" borderId="26" xfId="2" applyFont="1" applyFill="1" applyBorder="1" applyAlignment="1">
      <alignment horizontal="center" vertical="center" wrapText="1"/>
    </xf>
    <xf numFmtId="0" fontId="17" fillId="7" borderId="24" xfId="2" applyFont="1" applyFill="1" applyBorder="1" applyAlignment="1">
      <alignment horizontal="center" vertical="center" wrapText="1"/>
    </xf>
    <xf numFmtId="0" fontId="20" fillId="7" borderId="27" xfId="2" applyFont="1" applyFill="1" applyBorder="1" applyAlignment="1">
      <alignment horizontal="center" vertical="center" wrapText="1"/>
    </xf>
    <xf numFmtId="0" fontId="34" fillId="7" borderId="28" xfId="2" applyFont="1" applyFill="1" applyBorder="1" applyAlignment="1">
      <alignment horizontal="left" vertical="center" wrapText="1"/>
    </xf>
    <xf numFmtId="0" fontId="16" fillId="0" borderId="16" xfId="2" applyFont="1" applyBorder="1" applyAlignment="1">
      <alignment horizontal="center" vertical="center" wrapText="1"/>
    </xf>
    <xf numFmtId="0" fontId="17" fillId="0" borderId="14" xfId="2" applyFont="1" applyBorder="1" applyAlignment="1">
      <alignment horizontal="center" vertical="center" wrapText="1"/>
    </xf>
    <xf numFmtId="0" fontId="22" fillId="4" borderId="14" xfId="2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2" fillId="9" borderId="14" xfId="2" applyFont="1" applyFill="1" applyBorder="1" applyAlignment="1">
      <alignment horizontal="center" vertical="center" wrapText="1"/>
    </xf>
    <xf numFmtId="0" fontId="20" fillId="0" borderId="25" xfId="2" applyFont="1" applyBorder="1" applyAlignment="1">
      <alignment horizontal="center" vertical="center" wrapText="1"/>
    </xf>
    <xf numFmtId="0" fontId="34" fillId="0" borderId="17" xfId="2" applyFont="1" applyBorder="1" applyAlignment="1">
      <alignment horizontal="left" vertical="center" wrapText="1"/>
    </xf>
    <xf numFmtId="0" fontId="18" fillId="0" borderId="8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6" fillId="0" borderId="31" xfId="2" applyFont="1" applyBorder="1" applyAlignment="1">
      <alignment horizontal="center" vertical="center" wrapText="1"/>
    </xf>
    <xf numFmtId="0" fontId="18" fillId="7" borderId="14" xfId="2" applyFont="1" applyFill="1" applyBorder="1" applyAlignment="1">
      <alignment horizontal="center" vertical="center" wrapText="1"/>
    </xf>
    <xf numFmtId="167" fontId="0" fillId="7" borderId="14" xfId="1" applyFont="1" applyFill="1" applyBorder="1" applyAlignment="1" applyProtection="1">
      <alignment vertical="center"/>
    </xf>
    <xf numFmtId="164" fontId="0" fillId="7" borderId="14" xfId="0" applyNumberFormat="1" applyFill="1" applyBorder="1" applyAlignment="1" applyProtection="1">
      <alignment horizontal="center" vertical="center"/>
    </xf>
    <xf numFmtId="164" fontId="42" fillId="0" borderId="15" xfId="0" applyNumberFormat="1" applyFont="1" applyBorder="1" applyAlignment="1" applyProtection="1">
      <alignment horizontal="center" vertical="center" wrapText="1"/>
    </xf>
    <xf numFmtId="0" fontId="6" fillId="14" borderId="3" xfId="0" applyFont="1" applyFill="1" applyBorder="1" applyAlignment="1" applyProtection="1">
      <alignment horizontal="center" vertical="center" wrapText="1"/>
    </xf>
    <xf numFmtId="165" fontId="5" fillId="0" borderId="32" xfId="0" applyNumberFormat="1" applyFont="1" applyBorder="1" applyAlignment="1" applyProtection="1">
      <alignment horizontal="center" vertical="center"/>
    </xf>
    <xf numFmtId="165" fontId="5" fillId="7" borderId="14" xfId="0" applyNumberFormat="1" applyFont="1" applyFill="1" applyBorder="1" applyAlignment="1" applyProtection="1">
      <alignment horizontal="center" vertical="center"/>
    </xf>
    <xf numFmtId="165" fontId="0" fillId="0" borderId="0" xfId="0" applyNumberFormat="1"/>
    <xf numFmtId="165" fontId="43" fillId="0" borderId="11" xfId="0" applyNumberFormat="1" applyFont="1" applyBorder="1" applyAlignment="1" applyProtection="1">
      <alignment horizontal="center" vertical="center"/>
    </xf>
    <xf numFmtId="165" fontId="44" fillId="0" borderId="11" xfId="0" applyNumberFormat="1" applyFont="1" applyBorder="1" applyAlignment="1" applyProtection="1">
      <alignment horizontal="center" vertical="center"/>
    </xf>
    <xf numFmtId="168" fontId="0" fillId="0" borderId="0" xfId="0" applyNumberFormat="1"/>
    <xf numFmtId="0" fontId="47" fillId="0" borderId="0" xfId="0" applyFont="1"/>
    <xf numFmtId="0" fontId="6" fillId="0" borderId="0" xfId="0" applyFont="1"/>
    <xf numFmtId="0" fontId="6" fillId="0" borderId="0" xfId="0" applyFont="1" applyAlignment="1">
      <alignment horizontal="justify" vertical="center"/>
    </xf>
    <xf numFmtId="166" fontId="0" fillId="0" borderId="7" xfId="0" applyNumberFormat="1" applyBorder="1" applyAlignment="1" applyProtection="1">
      <alignment horizontal="center" vertical="center"/>
    </xf>
    <xf numFmtId="166" fontId="0" fillId="0" borderId="12" xfId="0" applyNumberFormat="1" applyBorder="1" applyAlignment="1" applyProtection="1">
      <alignment horizontal="center" vertical="center"/>
    </xf>
    <xf numFmtId="166" fontId="0" fillId="0" borderId="30" xfId="0" applyNumberFormat="1" applyBorder="1" applyAlignment="1" applyProtection="1">
      <alignment horizontal="center" vertical="center"/>
    </xf>
    <xf numFmtId="166" fontId="0" fillId="0" borderId="18" xfId="0" applyNumberFormat="1" applyBorder="1" applyAlignment="1" applyProtection="1">
      <alignment horizontal="center" vertical="center"/>
    </xf>
    <xf numFmtId="168" fontId="27" fillId="0" borderId="34" xfId="0" applyNumberFormat="1" applyFont="1" applyBorder="1" applyAlignment="1" applyProtection="1">
      <alignment horizontal="center" vertical="center"/>
    </xf>
    <xf numFmtId="168" fontId="27" fillId="0" borderId="35" xfId="0" applyNumberFormat="1" applyFont="1" applyBorder="1" applyAlignment="1" applyProtection="1">
      <alignment horizontal="center" vertical="center"/>
    </xf>
    <xf numFmtId="168" fontId="27" fillId="0" borderId="10" xfId="0" applyNumberFormat="1" applyFont="1" applyBorder="1" applyAlignment="1" applyProtection="1">
      <alignment horizontal="center" vertical="center"/>
    </xf>
    <xf numFmtId="168" fontId="27" fillId="7" borderId="36" xfId="0" applyNumberFormat="1" applyFont="1" applyFill="1" applyBorder="1" applyAlignment="1" applyProtection="1">
      <alignment horizontal="center" vertical="center"/>
    </xf>
    <xf numFmtId="0" fontId="6" fillId="15" borderId="4" xfId="0" applyFont="1" applyFill="1" applyBorder="1" applyAlignment="1" applyProtection="1">
      <alignment horizontal="center" vertical="center" wrapText="1"/>
    </xf>
    <xf numFmtId="169" fontId="43" fillId="0" borderId="33" xfId="0" applyNumberFormat="1" applyFont="1" applyBorder="1" applyAlignment="1" applyProtection="1">
      <alignment horizontal="center" vertical="center"/>
    </xf>
    <xf numFmtId="169" fontId="43" fillId="0" borderId="11" xfId="0" applyNumberFormat="1" applyFont="1" applyBorder="1" applyAlignment="1" applyProtection="1">
      <alignment horizontal="center" vertical="center"/>
    </xf>
    <xf numFmtId="169" fontId="43" fillId="7" borderId="17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 wrapText="1"/>
    </xf>
    <xf numFmtId="164" fontId="0" fillId="3" borderId="0" xfId="0" applyNumberFormat="1" applyFill="1" applyAlignment="1" applyProtection="1">
      <alignment vertical="center"/>
    </xf>
    <xf numFmtId="0" fontId="22" fillId="4" borderId="15" xfId="2" applyFont="1" applyFill="1" applyBorder="1" applyAlignment="1">
      <alignment horizontal="center" vertical="center" wrapText="1"/>
    </xf>
    <xf numFmtId="0" fontId="22" fillId="7" borderId="14" xfId="2" applyFont="1" applyFill="1" applyBorder="1" applyAlignment="1">
      <alignment horizontal="center" vertical="center" wrapText="1"/>
    </xf>
    <xf numFmtId="0" fontId="13" fillId="16" borderId="2" xfId="2" applyFont="1" applyFill="1" applyBorder="1" applyAlignment="1">
      <alignment horizontal="center" vertical="center" wrapText="1"/>
    </xf>
    <xf numFmtId="165" fontId="44" fillId="0" borderId="33" xfId="0" applyNumberFormat="1" applyFont="1" applyBorder="1" applyAlignment="1" applyProtection="1">
      <alignment horizontal="center" vertical="center"/>
    </xf>
    <xf numFmtId="0" fontId="25" fillId="9" borderId="21" xfId="2" applyFont="1" applyFill="1" applyBorder="1" applyAlignment="1">
      <alignment horizontal="center" vertical="center" wrapText="1"/>
    </xf>
  </cellXfs>
  <cellStyles count="5">
    <cellStyle name="Měna" xfId="1" builtinId="4"/>
    <cellStyle name="Normální" xfId="0" builtinId="0"/>
    <cellStyle name="Normální 2" xfId="2" xr:uid="{00000000-0005-0000-0000-000002000000}"/>
    <cellStyle name="Normální 3" xfId="3" xr:uid="{00000000-0005-0000-0000-000003000000}"/>
    <cellStyle name="procent 2" xfId="4" xr:uid="{00000000-0005-0000-0000-000004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74082</xdr:rowOff>
    </xdr:from>
    <xdr:to>
      <xdr:col>13</xdr:col>
      <xdr:colOff>338667</xdr:colOff>
      <xdr:row>13</xdr:row>
      <xdr:rowOff>179916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830918" y="5778499"/>
          <a:ext cx="9609666" cy="857250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61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Dle výsledků NMA (viz Přílohu č. 15 a 27) a nepřímého srovnání (viz výše pozn. 42) je předpokládána cca stejná účinnost monoklonálních protilátek proti CGRP (viz výše pozn. 10), gepantů (viz výše pozn. 34) i onabotulinumtoxinuA (viz výše pozn. 58) u pac. s migrénou s předcházejícím selháním léčby profylaktikem (viz výše pozn. 16) v parametru ≥ 50 % snížení MMD (viz výše pozn. 25) po 12 týdnech léčby. Proto byla pro všechny tyto výše uvedené LP vzata stejná hodnota četnosti 42 % - viz výsledky studie DELIVER s eptinezumabem uvedené výše v odstavci „Postavení léčiva …“. </a:t>
          </a:r>
        </a:p>
        <a:p>
          <a:pPr>
            <a:lnSpc>
              <a:spcPct val="100000"/>
            </a:lnSpc>
          </a:pP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5</xdr:col>
      <xdr:colOff>74084</xdr:colOff>
      <xdr:row>14</xdr:row>
      <xdr:rowOff>148166</xdr:rowOff>
    </xdr:from>
    <xdr:to>
      <xdr:col>12</xdr:col>
      <xdr:colOff>455083</xdr:colOff>
      <xdr:row>19</xdr:row>
      <xdr:rowOff>52917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940176E7-E02B-4B69-8C28-901F023E4999}"/>
            </a:ext>
          </a:extLst>
        </xdr:cNvPr>
        <xdr:cNvSpPr/>
      </xdr:nvSpPr>
      <xdr:spPr>
        <a:xfrm>
          <a:off x="1905001" y="6794499"/>
          <a:ext cx="8297332" cy="857251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62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CAVE! kvůli specifickému způsobu aplikace onabotulinumtoxinu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A (viz SPC LP BOTOX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aplikace 31-39 injekcí do celkem 7 svalových oblastí) a časové náročnosti aplikace byla v této FE analýze připočtena k nákladům za samotný LP hodnota 1.000 Kč na 1 aplikační návštěvu!, i s ohledem na bodovou hodnotu výkonu (652 bodů) s kódem 21029 (tj. </a:t>
          </a:r>
          <a:r>
            <a:rPr lang="cs-CZ" sz="1200" b="1"/>
            <a:t>NAVIGOVANÁ NITROSVALOVÁ APLIKACE BOTULOTOXINU TYPU A K LÉČBĚ FOKÁLNÍ SPASTICKÉ DYSTONIE II. (5 A VÍCE SVALŮ)) ze zdroje</a:t>
          </a:r>
          <a:r>
            <a:rPr lang="cs-CZ" sz="1200" b="1" baseline="0"/>
            <a:t> pod pozn.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64.</a:t>
          </a: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5</xdr:col>
      <xdr:colOff>74083</xdr:colOff>
      <xdr:row>19</xdr:row>
      <xdr:rowOff>173566</xdr:rowOff>
    </xdr:from>
    <xdr:to>
      <xdr:col>12</xdr:col>
      <xdr:colOff>455083</xdr:colOff>
      <xdr:row>19</xdr:row>
      <xdr:rowOff>836083</xdr:rowOff>
    </xdr:to>
    <xdr:sp macro="" textlink="">
      <xdr:nvSpPr>
        <xdr:cNvPr id="4" name="TextovéPole 1">
          <a:extLst>
            <a:ext uri="{FF2B5EF4-FFF2-40B4-BE49-F238E27FC236}">
              <a16:creationId xmlns:a16="http://schemas.microsoft.com/office/drawing/2014/main" id="{B7EC80E6-F825-48F9-8714-E316E0E92BAE}"/>
            </a:ext>
          </a:extLst>
        </xdr:cNvPr>
        <xdr:cNvSpPr/>
      </xdr:nvSpPr>
      <xdr:spPr>
        <a:xfrm>
          <a:off x="1905000" y="7772399"/>
          <a:ext cx="8297333" cy="662517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63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CAVE! kvůli i.v. infuznímu podání LP VYEPTI</a:t>
          </a:r>
          <a:r>
            <a:rPr lang="cs-CZ" sz="1200" b="1">
              <a:effectLst/>
              <a:latin typeface="+mn-lt"/>
              <a:ea typeface="+mn-ea"/>
              <a:cs typeface="+mn-cs"/>
            </a:rPr>
            <a:t> 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(viz SPC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i.v. infuze po dobu cca 30 min) byla v této FE analýze připočtena k nákladům za samotný LP hodnota 329 Kč na 1 aplikační návštěvu!, dle kódů 09223 (i.v. infuze u dospělého - 153 bodů) a 06115 (dohled nad průběhem infuze - 176 bodů)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ze zdroje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pod pozn. 64.</a:t>
          </a:r>
          <a:endParaRPr lang="cs-CZ" sz="1200" b="1" u="sng" strike="noStrike" spc="-1">
            <a:latin typeface="+mn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0</xdr:row>
      <xdr:rowOff>76199</xdr:rowOff>
    </xdr:from>
    <xdr:to>
      <xdr:col>24</xdr:col>
      <xdr:colOff>171450</xdr:colOff>
      <xdr:row>42</xdr:row>
      <xdr:rowOff>123824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80974" y="76199"/>
          <a:ext cx="14620876" cy="804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104775</xdr:colOff>
      <xdr:row>2</xdr:row>
      <xdr:rowOff>38100</xdr:rowOff>
    </xdr:from>
    <xdr:to>
      <xdr:col>4</xdr:col>
      <xdr:colOff>381000</xdr:colOff>
      <xdr:row>7</xdr:row>
      <xdr:rowOff>133350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19100"/>
          <a:ext cx="21050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352425</xdr:colOff>
      <xdr:row>2</xdr:row>
      <xdr:rowOff>47625</xdr:rowOff>
    </xdr:from>
    <xdr:to>
      <xdr:col>14</xdr:col>
      <xdr:colOff>161925</xdr:colOff>
      <xdr:row>7</xdr:row>
      <xdr:rowOff>133350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28625"/>
          <a:ext cx="590550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95250</xdr:rowOff>
    </xdr:from>
    <xdr:to>
      <xdr:col>4</xdr:col>
      <xdr:colOff>409575</xdr:colOff>
      <xdr:row>21</xdr:row>
      <xdr:rowOff>161925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19250"/>
          <a:ext cx="21336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7</xdr:row>
      <xdr:rowOff>133350</xdr:rowOff>
    </xdr:from>
    <xdr:to>
      <xdr:col>14</xdr:col>
      <xdr:colOff>171450</xdr:colOff>
      <xdr:row>21</xdr:row>
      <xdr:rowOff>171450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66850"/>
          <a:ext cx="58578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</xdr:row>
      <xdr:rowOff>114300</xdr:rowOff>
    </xdr:from>
    <xdr:to>
      <xdr:col>5</xdr:col>
      <xdr:colOff>381000</xdr:colOff>
      <xdr:row>8</xdr:row>
      <xdr:rowOff>104775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47800"/>
          <a:ext cx="2714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19</xdr:row>
      <xdr:rowOff>9525</xdr:rowOff>
    </xdr:from>
    <xdr:to>
      <xdr:col>14</xdr:col>
      <xdr:colOff>114300</xdr:colOff>
      <xdr:row>21</xdr:row>
      <xdr:rowOff>95250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71525" y="3629025"/>
          <a:ext cx="7877175" cy="4667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14</xdr:col>
      <xdr:colOff>552450</xdr:colOff>
      <xdr:row>1</xdr:row>
      <xdr:rowOff>142875</xdr:rowOff>
    </xdr:from>
    <xdr:to>
      <xdr:col>22</xdr:col>
      <xdr:colOff>504825</xdr:colOff>
      <xdr:row>29</xdr:row>
      <xdr:rowOff>161925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333375"/>
          <a:ext cx="4829175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304801</xdr:colOff>
      <xdr:row>4</xdr:row>
      <xdr:rowOff>161925</xdr:rowOff>
    </xdr:from>
    <xdr:to>
      <xdr:col>17</xdr:col>
      <xdr:colOff>342901</xdr:colOff>
      <xdr:row>13</xdr:row>
      <xdr:rowOff>66675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0058401" y="923925"/>
          <a:ext cx="647700" cy="16192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19051</xdr:colOff>
      <xdr:row>3</xdr:row>
      <xdr:rowOff>57150</xdr:rowOff>
    </xdr:from>
    <xdr:to>
      <xdr:col>21</xdr:col>
      <xdr:colOff>57151</xdr:colOff>
      <xdr:row>13</xdr:row>
      <xdr:rowOff>66675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2211051" y="628650"/>
          <a:ext cx="647700" cy="19145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457200</xdr:colOff>
      <xdr:row>18</xdr:row>
      <xdr:rowOff>95250</xdr:rowOff>
    </xdr:from>
    <xdr:to>
      <xdr:col>18</xdr:col>
      <xdr:colOff>0</xdr:colOff>
      <xdr:row>28</xdr:row>
      <xdr:rowOff>38100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0210800" y="3524250"/>
          <a:ext cx="762000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133350</xdr:colOff>
      <xdr:row>18</xdr:row>
      <xdr:rowOff>85725</xdr:rowOff>
    </xdr:from>
    <xdr:to>
      <xdr:col>21</xdr:col>
      <xdr:colOff>342899</xdr:colOff>
      <xdr:row>28</xdr:row>
      <xdr:rowOff>28575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325350" y="3514725"/>
          <a:ext cx="819149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4</xdr:col>
      <xdr:colOff>114300</xdr:colOff>
      <xdr:row>23</xdr:row>
      <xdr:rowOff>142875</xdr:rowOff>
    </xdr:from>
    <xdr:to>
      <xdr:col>11</xdr:col>
      <xdr:colOff>314325</xdr:colOff>
      <xdr:row>36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524375"/>
          <a:ext cx="446722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133351</xdr:colOff>
      <xdr:row>25</xdr:row>
      <xdr:rowOff>161925</xdr:rowOff>
    </xdr:from>
    <xdr:to>
      <xdr:col>11</xdr:col>
      <xdr:colOff>152401</xdr:colOff>
      <xdr:row>28</xdr:row>
      <xdr:rowOff>180975</xdr:rowOff>
    </xdr:to>
    <xdr:sp macro="" textlink="">
      <xdr:nvSpPr>
        <xdr:cNvPr id="17" name="TextovéPole 9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2571751" y="4924425"/>
          <a:ext cx="4286250" cy="5905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47625</xdr:rowOff>
    </xdr:from>
    <xdr:to>
      <xdr:col>27</xdr:col>
      <xdr:colOff>518583</xdr:colOff>
      <xdr:row>34</xdr:row>
      <xdr:rowOff>116417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33349" y="47625"/>
          <a:ext cx="16958734" cy="65457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19050</xdr:colOff>
      <xdr:row>1</xdr:row>
      <xdr:rowOff>57150</xdr:rowOff>
    </xdr:from>
    <xdr:to>
      <xdr:col>10</xdr:col>
      <xdr:colOff>247650</xdr:colOff>
      <xdr:row>2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47650"/>
          <a:ext cx="4495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38099</xdr:colOff>
      <xdr:row>1</xdr:row>
      <xdr:rowOff>9525</xdr:rowOff>
    </xdr:from>
    <xdr:to>
      <xdr:col>5</xdr:col>
      <xdr:colOff>542924</xdr:colOff>
      <xdr:row>2</xdr:row>
      <xdr:rowOff>152400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866899" y="200025"/>
          <a:ext cx="1724025" cy="333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465667</xdr:colOff>
      <xdr:row>3</xdr:row>
      <xdr:rowOff>31749</xdr:rowOff>
    </xdr:from>
    <xdr:to>
      <xdr:col>10</xdr:col>
      <xdr:colOff>442384</xdr:colOff>
      <xdr:row>17</xdr:row>
      <xdr:rowOff>155574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603249"/>
          <a:ext cx="611505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148167</xdr:colOff>
      <xdr:row>6</xdr:row>
      <xdr:rowOff>126999</xdr:rowOff>
    </xdr:from>
    <xdr:to>
      <xdr:col>2</xdr:col>
      <xdr:colOff>596900</xdr:colOff>
      <xdr:row>16</xdr:row>
      <xdr:rowOff>179917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375834" y="1269999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10</xdr:col>
      <xdr:colOff>232834</xdr:colOff>
      <xdr:row>7</xdr:row>
      <xdr:rowOff>0</xdr:rowOff>
    </xdr:from>
    <xdr:to>
      <xdr:col>11</xdr:col>
      <xdr:colOff>84666</xdr:colOff>
      <xdr:row>8</xdr:row>
      <xdr:rowOff>63500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371167" y="1333500"/>
          <a:ext cx="465666" cy="25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317499</xdr:colOff>
      <xdr:row>18</xdr:row>
      <xdr:rowOff>148166</xdr:rowOff>
    </xdr:from>
    <xdr:to>
      <xdr:col>10</xdr:col>
      <xdr:colOff>593724</xdr:colOff>
      <xdr:row>33</xdr:row>
      <xdr:rowOff>91016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8999" y="3577166"/>
          <a:ext cx="4573058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169333</xdr:colOff>
      <xdr:row>28</xdr:row>
      <xdr:rowOff>74083</xdr:rowOff>
    </xdr:from>
    <xdr:to>
      <xdr:col>3</xdr:col>
      <xdr:colOff>444500</xdr:colOff>
      <xdr:row>32</xdr:row>
      <xdr:rowOff>84667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010833" y="5408083"/>
          <a:ext cx="275167" cy="772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577850</xdr:colOff>
      <xdr:row>18</xdr:row>
      <xdr:rowOff>153458</xdr:rowOff>
    </xdr:from>
    <xdr:to>
      <xdr:col>3</xdr:col>
      <xdr:colOff>459317</xdr:colOff>
      <xdr:row>33</xdr:row>
      <xdr:rowOff>48683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3582458"/>
          <a:ext cx="1722967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359833</xdr:colOff>
      <xdr:row>22</xdr:row>
      <xdr:rowOff>105834</xdr:rowOff>
    </xdr:from>
    <xdr:to>
      <xdr:col>4</xdr:col>
      <xdr:colOff>79375</xdr:colOff>
      <xdr:row>23</xdr:row>
      <xdr:rowOff>153459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333" y="4296834"/>
          <a:ext cx="3333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264583</xdr:colOff>
      <xdr:row>22</xdr:row>
      <xdr:rowOff>21167</xdr:rowOff>
    </xdr:from>
    <xdr:to>
      <xdr:col>3</xdr:col>
      <xdr:colOff>99483</xdr:colOff>
      <xdr:row>32</xdr:row>
      <xdr:rowOff>74085</xdr:rowOff>
    </xdr:to>
    <xdr:sp macro="" textlink="">
      <xdr:nvSpPr>
        <xdr:cNvPr id="15" name="Ovál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1492250" y="4212167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11</xdr:col>
      <xdr:colOff>222250</xdr:colOff>
      <xdr:row>9</xdr:row>
      <xdr:rowOff>105833</xdr:rowOff>
    </xdr:from>
    <xdr:to>
      <xdr:col>14</xdr:col>
      <xdr:colOff>254521</xdr:colOff>
      <xdr:row>27</xdr:row>
      <xdr:rowOff>105834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4417" y="1820333"/>
          <a:ext cx="1873771" cy="342900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10584</xdr:colOff>
      <xdr:row>15</xdr:row>
      <xdr:rowOff>52918</xdr:rowOff>
    </xdr:from>
    <xdr:to>
      <xdr:col>14</xdr:col>
      <xdr:colOff>232833</xdr:colOff>
      <xdr:row>16</xdr:row>
      <xdr:rowOff>127000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8604251" y="2910418"/>
          <a:ext cx="222249" cy="2645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12</xdr:col>
      <xdr:colOff>455084</xdr:colOff>
      <xdr:row>12</xdr:row>
      <xdr:rowOff>10583</xdr:rowOff>
    </xdr:from>
    <xdr:to>
      <xdr:col>13</xdr:col>
      <xdr:colOff>433917</xdr:colOff>
      <xdr:row>27</xdr:row>
      <xdr:rowOff>52917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7821084" y="2296583"/>
          <a:ext cx="592666" cy="2899834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127000</xdr:colOff>
      <xdr:row>4</xdr:row>
      <xdr:rowOff>10583</xdr:rowOff>
    </xdr:from>
    <xdr:to>
      <xdr:col>27</xdr:col>
      <xdr:colOff>317500</xdr:colOff>
      <xdr:row>29</xdr:row>
      <xdr:rowOff>172508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72583"/>
          <a:ext cx="7556500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190500</xdr:colOff>
      <xdr:row>4</xdr:row>
      <xdr:rowOff>31749</xdr:rowOff>
    </xdr:from>
    <xdr:to>
      <xdr:col>22</xdr:col>
      <xdr:colOff>306917</xdr:colOff>
      <xdr:row>30</xdr:row>
      <xdr:rowOff>10582</xdr:rowOff>
    </xdr:to>
    <xdr:sp macro="" textlink="">
      <xdr:nvSpPr>
        <xdr:cNvPr id="20" name="Ovál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12467167" y="793749"/>
          <a:ext cx="1344083" cy="4931833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47625</xdr:rowOff>
    </xdr:from>
    <xdr:to>
      <xdr:col>19</xdr:col>
      <xdr:colOff>495300</xdr:colOff>
      <xdr:row>61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85725" y="47625"/>
          <a:ext cx="11991975" cy="1167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333375</xdr:colOff>
      <xdr:row>1</xdr:row>
      <xdr:rowOff>161925</xdr:rowOff>
    </xdr:from>
    <xdr:to>
      <xdr:col>17</xdr:col>
      <xdr:colOff>219075</xdr:colOff>
      <xdr:row>19</xdr:row>
      <xdr:rowOff>161925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2425"/>
          <a:ext cx="102489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371475</xdr:colOff>
      <xdr:row>5</xdr:row>
      <xdr:rowOff>133350</xdr:rowOff>
    </xdr:from>
    <xdr:to>
      <xdr:col>10</xdr:col>
      <xdr:colOff>123825</xdr:colOff>
      <xdr:row>6</xdr:row>
      <xdr:rowOff>180975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71475" y="1085850"/>
          <a:ext cx="5848350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161925</xdr:colOff>
      <xdr:row>4</xdr:row>
      <xdr:rowOff>85725</xdr:rowOff>
    </xdr:from>
    <xdr:to>
      <xdr:col>17</xdr:col>
      <xdr:colOff>209550</xdr:colOff>
      <xdr:row>5</xdr:row>
      <xdr:rowOff>133350</xdr:rowOff>
    </xdr:to>
    <xdr:sp macro="" textlink="">
      <xdr:nvSpPr>
        <xdr:cNvPr id="6" name="TextovéPole 9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867525" y="847725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428625</xdr:colOff>
      <xdr:row>22</xdr:row>
      <xdr:rowOff>57150</xdr:rowOff>
    </xdr:from>
    <xdr:to>
      <xdr:col>17</xdr:col>
      <xdr:colOff>495300</xdr:colOff>
      <xdr:row>35</xdr:row>
      <xdr:rowOff>47625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248150"/>
          <a:ext cx="98202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581025</xdr:colOff>
      <xdr:row>22</xdr:row>
      <xdr:rowOff>133351</xdr:rowOff>
    </xdr:from>
    <xdr:to>
      <xdr:col>3</xdr:col>
      <xdr:colOff>428625</xdr:colOff>
      <xdr:row>35</xdr:row>
      <xdr:rowOff>1</xdr:rowOff>
    </xdr:to>
    <xdr:sp macro="" textlink="">
      <xdr:nvSpPr>
        <xdr:cNvPr id="8" name="TextovéPole 9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190625" y="4324351"/>
          <a:ext cx="1066800" cy="23431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38099</xdr:rowOff>
    </xdr:from>
    <xdr:to>
      <xdr:col>28</xdr:col>
      <xdr:colOff>371475</xdr:colOff>
      <xdr:row>47</xdr:row>
      <xdr:rowOff>84666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E5EFCD9-C7EB-4A31-9524-1CF7E467472A}"/>
            </a:ext>
          </a:extLst>
        </xdr:cNvPr>
        <xdr:cNvSpPr txBox="1"/>
      </xdr:nvSpPr>
      <xdr:spPr>
        <a:xfrm>
          <a:off x="257175" y="38099"/>
          <a:ext cx="17301633" cy="90000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116419</xdr:colOff>
      <xdr:row>2</xdr:row>
      <xdr:rowOff>137584</xdr:rowOff>
    </xdr:from>
    <xdr:to>
      <xdr:col>11</xdr:col>
      <xdr:colOff>560917</xdr:colOff>
      <xdr:row>19</xdr:row>
      <xdr:rowOff>148167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230F760-C1FB-4442-A501-D234C744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2" y="518584"/>
          <a:ext cx="6582832" cy="324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190502</xdr:colOff>
      <xdr:row>5</xdr:row>
      <xdr:rowOff>74084</xdr:rowOff>
    </xdr:from>
    <xdr:to>
      <xdr:col>11</xdr:col>
      <xdr:colOff>359833</xdr:colOff>
      <xdr:row>6</xdr:row>
      <xdr:rowOff>95250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9CF84CA2-FE7F-488B-B73F-D10AF1AED5DB}"/>
            </a:ext>
          </a:extLst>
        </xdr:cNvPr>
        <xdr:cNvSpPr/>
      </xdr:nvSpPr>
      <xdr:spPr>
        <a:xfrm>
          <a:off x="804335" y="1026584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74083</xdr:colOff>
      <xdr:row>3</xdr:row>
      <xdr:rowOff>148167</xdr:rowOff>
    </xdr:from>
    <xdr:to>
      <xdr:col>15</xdr:col>
      <xdr:colOff>22225</xdr:colOff>
      <xdr:row>19</xdr:row>
      <xdr:rowOff>169333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35DA971-AE8A-402F-8F53-7205ACB0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3" y="719667"/>
          <a:ext cx="1789642" cy="306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10583</xdr:colOff>
      <xdr:row>3</xdr:row>
      <xdr:rowOff>137583</xdr:rowOff>
    </xdr:from>
    <xdr:to>
      <xdr:col>21</xdr:col>
      <xdr:colOff>220133</xdr:colOff>
      <xdr:row>20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7140926-C052-40C6-9C4D-E033CDB4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8083" y="709083"/>
          <a:ext cx="3892550" cy="310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285749</xdr:colOff>
      <xdr:row>17</xdr:row>
      <xdr:rowOff>127001</xdr:rowOff>
    </xdr:from>
    <xdr:to>
      <xdr:col>17</xdr:col>
      <xdr:colOff>412749</xdr:colOff>
      <xdr:row>19</xdr:row>
      <xdr:rowOff>84667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F0203FAD-20C3-4F73-98DE-1B5FC5C805ED}"/>
            </a:ext>
          </a:extLst>
        </xdr:cNvPr>
        <xdr:cNvSpPr/>
      </xdr:nvSpPr>
      <xdr:spPr>
        <a:xfrm>
          <a:off x="7651749" y="3365501"/>
          <a:ext cx="3196167" cy="338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127000</xdr:colOff>
      <xdr:row>1</xdr:row>
      <xdr:rowOff>179917</xdr:rowOff>
    </xdr:from>
    <xdr:to>
      <xdr:col>19</xdr:col>
      <xdr:colOff>95250</xdr:colOff>
      <xdr:row>3</xdr:row>
      <xdr:rowOff>141817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B5AF821-24D9-49A8-A449-C705E6D8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0" y="370417"/>
          <a:ext cx="426508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486833</xdr:colOff>
      <xdr:row>24</xdr:row>
      <xdr:rowOff>0</xdr:rowOff>
    </xdr:from>
    <xdr:to>
      <xdr:col>19</xdr:col>
      <xdr:colOff>425450</xdr:colOff>
      <xdr:row>38</xdr:row>
      <xdr:rowOff>57150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2837A2-20CE-4C1A-922A-B192C8ED6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6" y="4572000"/>
          <a:ext cx="10987617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582082</xdr:colOff>
      <xdr:row>24</xdr:row>
      <xdr:rowOff>63499</xdr:rowOff>
    </xdr:from>
    <xdr:to>
      <xdr:col>4</xdr:col>
      <xdr:colOff>74083</xdr:colOff>
      <xdr:row>37</xdr:row>
      <xdr:rowOff>169332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8E7C17C3-B0BF-40F7-9343-D5386E4273B8}"/>
            </a:ext>
          </a:extLst>
        </xdr:cNvPr>
        <xdr:cNvSpPr/>
      </xdr:nvSpPr>
      <xdr:spPr>
        <a:xfrm>
          <a:off x="1195915" y="4635499"/>
          <a:ext cx="1333501" cy="2582333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47625</xdr:rowOff>
    </xdr:from>
    <xdr:to>
      <xdr:col>39</xdr:col>
      <xdr:colOff>169333</xdr:colOff>
      <xdr:row>40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B1EB6C62-FFAB-478F-BA95-E3A27038B99D}"/>
            </a:ext>
          </a:extLst>
        </xdr:cNvPr>
        <xdr:cNvSpPr txBox="1"/>
      </xdr:nvSpPr>
      <xdr:spPr>
        <a:xfrm>
          <a:off x="314325" y="47625"/>
          <a:ext cx="23794508" cy="7696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</xdr:col>
      <xdr:colOff>19050</xdr:colOff>
      <xdr:row>3</xdr:row>
      <xdr:rowOff>38100</xdr:rowOff>
    </xdr:from>
    <xdr:to>
      <xdr:col>19</xdr:col>
      <xdr:colOff>114300</xdr:colOff>
      <xdr:row>18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36A9037-CB99-4EFD-94D1-EC1AD1BFD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09600"/>
          <a:ext cx="10458450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6</xdr:row>
      <xdr:rowOff>9525</xdr:rowOff>
    </xdr:from>
    <xdr:to>
      <xdr:col>12</xdr:col>
      <xdr:colOff>259290</xdr:colOff>
      <xdr:row>7</xdr:row>
      <xdr:rowOff>30691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5D051FC1-410D-43C0-A07B-29B9150373F0}"/>
            </a:ext>
          </a:extLst>
        </xdr:cNvPr>
        <xdr:cNvSpPr/>
      </xdr:nvSpPr>
      <xdr:spPr>
        <a:xfrm>
          <a:off x="1266825" y="1152525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57150</xdr:colOff>
      <xdr:row>5</xdr:row>
      <xdr:rowOff>0</xdr:rowOff>
    </xdr:from>
    <xdr:to>
      <xdr:col>19</xdr:col>
      <xdr:colOff>104775</xdr:colOff>
      <xdr:row>6</xdr:row>
      <xdr:rowOff>47625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82A1D458-12E1-44D9-B9A3-FD93A0F6D7E8}"/>
            </a:ext>
          </a:extLst>
        </xdr:cNvPr>
        <xdr:cNvSpPr/>
      </xdr:nvSpPr>
      <xdr:spPr>
        <a:xfrm>
          <a:off x="7981950" y="952500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95250</xdr:colOff>
      <xdr:row>22</xdr:row>
      <xdr:rowOff>38100</xdr:rowOff>
    </xdr:from>
    <xdr:to>
      <xdr:col>19</xdr:col>
      <xdr:colOff>371475</xdr:colOff>
      <xdr:row>36</xdr:row>
      <xdr:rowOff>38100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F02D649-5C91-48AD-A10F-91D5DAF50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229100"/>
          <a:ext cx="1063942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22</xdr:row>
      <xdr:rowOff>133350</xdr:rowOff>
    </xdr:from>
    <xdr:to>
      <xdr:col>4</xdr:col>
      <xdr:colOff>257176</xdr:colOff>
      <xdr:row>35</xdr:row>
      <xdr:rowOff>172508</xdr:rowOff>
    </xdr:to>
    <xdr:sp macro="" textlink="">
      <xdr:nvSpPr>
        <xdr:cNvPr id="7" name="TextovéPole 9">
          <a:extLst>
            <a:ext uri="{FF2B5EF4-FFF2-40B4-BE49-F238E27FC236}">
              <a16:creationId xmlns:a16="http://schemas.microsoft.com/office/drawing/2014/main" id="{DB0DE5BE-610C-4487-9A74-CE04A04A4325}"/>
            </a:ext>
          </a:extLst>
        </xdr:cNvPr>
        <xdr:cNvSpPr/>
      </xdr:nvSpPr>
      <xdr:spPr>
        <a:xfrm>
          <a:off x="1362075" y="4324350"/>
          <a:ext cx="1333501" cy="2515658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24</xdr:col>
      <xdr:colOff>243417</xdr:colOff>
      <xdr:row>4</xdr:row>
      <xdr:rowOff>52917</xdr:rowOff>
    </xdr:from>
    <xdr:to>
      <xdr:col>32</xdr:col>
      <xdr:colOff>586317</xdr:colOff>
      <xdr:row>30</xdr:row>
      <xdr:rowOff>81492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8FCF9F-5D2A-4573-8822-E0A1B0BE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5417" y="814917"/>
          <a:ext cx="5253567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306917</xdr:colOff>
      <xdr:row>19</xdr:row>
      <xdr:rowOff>63500</xdr:rowOff>
    </xdr:from>
    <xdr:to>
      <xdr:col>32</xdr:col>
      <xdr:colOff>552450</xdr:colOff>
      <xdr:row>27</xdr:row>
      <xdr:rowOff>116417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DCFDD57-12DA-4F23-A602-E43249AA3F50}"/>
            </a:ext>
          </a:extLst>
        </xdr:cNvPr>
        <xdr:cNvSpPr/>
      </xdr:nvSpPr>
      <xdr:spPr>
        <a:xfrm>
          <a:off x="14937317" y="3683000"/>
          <a:ext cx="5122333" cy="1576917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2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0115550" y="685800"/>
          <a:ext cx="0" cy="2222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63500</xdr:colOff>
      <xdr:row>9</xdr:row>
      <xdr:rowOff>84667</xdr:rowOff>
    </xdr:from>
    <xdr:to>
      <xdr:col>10</xdr:col>
      <xdr:colOff>359833</xdr:colOff>
      <xdr:row>13</xdr:row>
      <xdr:rowOff>21166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264833" y="6286500"/>
          <a:ext cx="9196917" cy="465666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cs-CZ" sz="1200" b="1" u="none" strike="noStrike" spc="-1">
              <a:latin typeface="Calibri"/>
            </a:rPr>
            <a:t>**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Anti-CGRP protilátkami by neměly být léčeny těhotné a kojící ženy a s opatrností by měly být podávány u pacientů s vaskulárním onemocněním nebo rizikovými faktory a Raynaudovým fenoménem! - viz také Přílohu č. 29. </a:t>
          </a:r>
          <a:endParaRPr lang="cs-CZ" sz="1200" b="1" u="sng" strike="noStrike" spc="-1">
            <a:latin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80493</xdr:rowOff>
    </xdr:from>
    <xdr:to>
      <xdr:col>32</xdr:col>
      <xdr:colOff>542047</xdr:colOff>
      <xdr:row>47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80493"/>
          <a:ext cx="18491380" cy="8989423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285840</xdr:colOff>
      <xdr:row>5</xdr:row>
      <xdr:rowOff>76320</xdr:rowOff>
    </xdr:from>
    <xdr:to>
      <xdr:col>5</xdr:col>
      <xdr:colOff>218520</xdr:colOff>
      <xdr:row>6</xdr:row>
      <xdr:rowOff>94680</xdr:rowOff>
    </xdr:to>
    <xdr:sp macro="" textlink="">
      <xdr:nvSpPr>
        <xdr:cNvPr id="4" name="Ovál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5840" y="1028880"/>
          <a:ext cx="2910960" cy="208800"/>
        </a:xfrm>
        <a:prstGeom prst="ellipse">
          <a:avLst/>
        </a:prstGeom>
        <a:noFill/>
        <a:ln w="28575">
          <a:solidFill>
            <a:srgbClr val="32549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523860</xdr:colOff>
      <xdr:row>52</xdr:row>
      <xdr:rowOff>203324</xdr:rowOff>
    </xdr:from>
    <xdr:to>
      <xdr:col>12</xdr:col>
      <xdr:colOff>190658</xdr:colOff>
      <xdr:row>53</xdr:row>
      <xdr:rowOff>147597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23860" y="10109324"/>
          <a:ext cx="6397798" cy="34644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161940</xdr:colOff>
      <xdr:row>41</xdr:row>
      <xdr:rowOff>168260</xdr:rowOff>
    </xdr:from>
    <xdr:to>
      <xdr:col>11</xdr:col>
      <xdr:colOff>373980</xdr:colOff>
      <xdr:row>42</xdr:row>
      <xdr:rowOff>152780</xdr:rowOff>
    </xdr:to>
    <xdr:sp macro="" textlink="">
      <xdr:nvSpPr>
        <xdr:cNvPr id="8" name="TextovéPole 1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61940" y="7978760"/>
          <a:ext cx="6382123" cy="175020"/>
        </a:xfrm>
        <a:prstGeom prst="rect">
          <a:avLst/>
        </a:prstGeom>
        <a:noFill/>
        <a:ln w="2857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306916</xdr:colOff>
      <xdr:row>1</xdr:row>
      <xdr:rowOff>42334</xdr:rowOff>
    </xdr:from>
    <xdr:to>
      <xdr:col>21</xdr:col>
      <xdr:colOff>193674</xdr:colOff>
      <xdr:row>30</xdr:row>
      <xdr:rowOff>42334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416" y="232834"/>
          <a:ext cx="8300508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179916</xdr:colOff>
      <xdr:row>14</xdr:row>
      <xdr:rowOff>21167</xdr:rowOff>
    </xdr:from>
    <xdr:to>
      <xdr:col>28</xdr:col>
      <xdr:colOff>328082</xdr:colOff>
      <xdr:row>33</xdr:row>
      <xdr:rowOff>146738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583" y="2688167"/>
          <a:ext cx="6879166" cy="374507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349250</xdr:colOff>
      <xdr:row>5</xdr:row>
      <xdr:rowOff>52917</xdr:rowOff>
    </xdr:from>
    <xdr:to>
      <xdr:col>17</xdr:col>
      <xdr:colOff>444500</xdr:colOff>
      <xdr:row>14</xdr:row>
      <xdr:rowOff>116417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8202083" y="1005417"/>
          <a:ext cx="1778000" cy="17780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539750</xdr:colOff>
      <xdr:row>14</xdr:row>
      <xdr:rowOff>63501</xdr:rowOff>
    </xdr:from>
    <xdr:to>
      <xdr:col>24</xdr:col>
      <xdr:colOff>317500</xdr:colOff>
      <xdr:row>15</xdr:row>
      <xdr:rowOff>31750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2879917" y="2730501"/>
          <a:ext cx="899583" cy="158749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26</xdr:col>
      <xdr:colOff>352425</xdr:colOff>
      <xdr:row>48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80975" y="76199"/>
          <a:ext cx="16131117" cy="918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19050</xdr:colOff>
      <xdr:row>1</xdr:row>
      <xdr:rowOff>152400</xdr:rowOff>
    </xdr:from>
    <xdr:to>
      <xdr:col>13</xdr:col>
      <xdr:colOff>304800</xdr:colOff>
      <xdr:row>26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42900"/>
          <a:ext cx="7600950" cy="462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4</xdr:row>
      <xdr:rowOff>95250</xdr:rowOff>
    </xdr:from>
    <xdr:to>
      <xdr:col>13</xdr:col>
      <xdr:colOff>180975</xdr:colOff>
      <xdr:row>7</xdr:row>
      <xdr:rowOff>28575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514850" y="857250"/>
          <a:ext cx="3590925" cy="5048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47625</xdr:colOff>
      <xdr:row>2</xdr:row>
      <xdr:rowOff>95250</xdr:rowOff>
    </xdr:from>
    <xdr:to>
      <xdr:col>25</xdr:col>
      <xdr:colOff>28575</xdr:colOff>
      <xdr:row>12</xdr:row>
      <xdr:rowOff>47625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476250"/>
          <a:ext cx="607695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95251</xdr:colOff>
      <xdr:row>12</xdr:row>
      <xdr:rowOff>28575</xdr:rowOff>
    </xdr:from>
    <xdr:to>
      <xdr:col>16</xdr:col>
      <xdr:colOff>600075</xdr:colOff>
      <xdr:row>19</xdr:row>
      <xdr:rowOff>76200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9239251" y="2314575"/>
          <a:ext cx="1114424" cy="13811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Calcitonin</a:t>
          </a:r>
        </a:p>
        <a:p>
          <a:r>
            <a:rPr lang="cs-CZ" sz="1000"/>
            <a:t>gene-realted</a:t>
          </a:r>
        </a:p>
        <a:p>
          <a:r>
            <a:rPr lang="cs-CZ" sz="1000"/>
            <a:t>peptide  receptor</a:t>
          </a:r>
        </a:p>
        <a:p>
          <a:r>
            <a:rPr lang="cs-CZ" sz="1000"/>
            <a:t>small  molecules</a:t>
          </a:r>
        </a:p>
      </xdr:txBody>
    </xdr:sp>
    <xdr:clientData/>
  </xdr:twoCellAnchor>
  <xdr:twoCellAnchor>
    <xdr:from>
      <xdr:col>16</xdr:col>
      <xdr:colOff>600075</xdr:colOff>
      <xdr:row>16</xdr:row>
      <xdr:rowOff>0</xdr:rowOff>
    </xdr:from>
    <xdr:to>
      <xdr:col>18</xdr:col>
      <xdr:colOff>571499</xdr:colOff>
      <xdr:row>19</xdr:row>
      <xdr:rowOff>76200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0353675" y="3048000"/>
          <a:ext cx="1190624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Rimegepant</a:t>
          </a:r>
        </a:p>
      </xdr:txBody>
    </xdr:sp>
    <xdr:clientData/>
  </xdr:twoCellAnchor>
  <xdr:twoCellAnchor>
    <xdr:from>
      <xdr:col>16</xdr:col>
      <xdr:colOff>571500</xdr:colOff>
      <xdr:row>12</xdr:row>
      <xdr:rowOff>28575</xdr:rowOff>
    </xdr:from>
    <xdr:to>
      <xdr:col>18</xdr:col>
      <xdr:colOff>523874</xdr:colOff>
      <xdr:row>15</xdr:row>
      <xdr:rowOff>180975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0325100" y="2314575"/>
          <a:ext cx="1171574" cy="7239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Atogepant</a:t>
          </a:r>
        </a:p>
      </xdr:txBody>
    </xdr:sp>
    <xdr:clientData/>
  </xdr:twoCellAnchor>
  <xdr:twoCellAnchor>
    <xdr:from>
      <xdr:col>18</xdr:col>
      <xdr:colOff>514350</xdr:colOff>
      <xdr:row>12</xdr:row>
      <xdr:rowOff>28574</xdr:rowOff>
    </xdr:from>
    <xdr:to>
      <xdr:col>21</xdr:col>
      <xdr:colOff>590549</xdr:colOff>
      <xdr:row>15</xdr:row>
      <xdr:rowOff>171450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487150" y="2314574"/>
          <a:ext cx="1904999" cy="71437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episodic migraine:</a:t>
          </a:r>
          <a:r>
            <a:rPr lang="cs-CZ" sz="950"/>
            <a:t> 10, 30 or 60 mg orally once daily</a:t>
          </a:r>
        </a:p>
        <a:p>
          <a:r>
            <a:rPr lang="cs-CZ" sz="950" u="sng"/>
            <a:t>chronic migraine</a:t>
          </a:r>
          <a:r>
            <a:rPr lang="cs-CZ" sz="950"/>
            <a:t>: 60 mg orally</a:t>
          </a:r>
          <a:r>
            <a:rPr lang="cs-CZ" sz="950" baseline="0"/>
            <a:t> once daily</a:t>
          </a:r>
          <a:endParaRPr lang="cs-CZ" sz="950"/>
        </a:p>
      </xdr:txBody>
    </xdr:sp>
    <xdr:clientData/>
  </xdr:twoCellAnchor>
  <xdr:twoCellAnchor>
    <xdr:from>
      <xdr:col>18</xdr:col>
      <xdr:colOff>533400</xdr:colOff>
      <xdr:row>2</xdr:row>
      <xdr:rowOff>66675</xdr:rowOff>
    </xdr:from>
    <xdr:to>
      <xdr:col>21</xdr:col>
      <xdr:colOff>609599</xdr:colOff>
      <xdr:row>4</xdr:row>
      <xdr:rowOff>66675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1506200" y="447675"/>
          <a:ext cx="1904999" cy="381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u="sng"/>
            <a:t>only for chronic migraine</a:t>
          </a:r>
          <a:r>
            <a:rPr lang="cs-CZ" sz="900"/>
            <a:t>: 155-195</a:t>
          </a:r>
          <a:r>
            <a:rPr lang="cs-CZ" sz="900" baseline="0"/>
            <a:t> units to 31-39 sites every 12 weeks</a:t>
          </a:r>
          <a:endParaRPr lang="cs-CZ" sz="900"/>
        </a:p>
      </xdr:txBody>
    </xdr:sp>
    <xdr:clientData/>
  </xdr:twoCellAnchor>
  <xdr:twoCellAnchor>
    <xdr:from>
      <xdr:col>18</xdr:col>
      <xdr:colOff>523875</xdr:colOff>
      <xdr:row>15</xdr:row>
      <xdr:rowOff>180975</xdr:rowOff>
    </xdr:from>
    <xdr:to>
      <xdr:col>21</xdr:col>
      <xdr:colOff>600074</xdr:colOff>
      <xdr:row>19</xdr:row>
      <xdr:rowOff>76200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496675" y="3038475"/>
          <a:ext cx="1904999" cy="657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only for episodic migraine:</a:t>
          </a:r>
          <a:r>
            <a:rPr lang="cs-CZ" sz="950"/>
            <a:t> 75 mg orally oevery other day</a:t>
          </a:r>
        </a:p>
      </xdr:txBody>
    </xdr:sp>
    <xdr:clientData/>
  </xdr:twoCellAnchor>
  <xdr:twoCellAnchor>
    <xdr:from>
      <xdr:col>21</xdr:col>
      <xdr:colOff>533400</xdr:colOff>
      <xdr:row>12</xdr:row>
      <xdr:rowOff>28575</xdr:rowOff>
    </xdr:from>
    <xdr:to>
      <xdr:col>24</xdr:col>
      <xdr:colOff>609599</xdr:colOff>
      <xdr:row>19</xdr:row>
      <xdr:rowOff>76201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3335000" y="2314575"/>
          <a:ext cx="1904999" cy="138112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/>
            <a:t>Hypersensitivity</a:t>
          </a:r>
        </a:p>
        <a:p>
          <a:endParaRPr lang="cs-CZ" sz="200"/>
        </a:p>
        <a:p>
          <a:r>
            <a:rPr lang="cs-CZ" sz="950"/>
            <a:t>Significant drug interactions (undergo CYP3A4 metabolism and are substrates of P-gp efflux)</a:t>
          </a:r>
        </a:p>
        <a:p>
          <a:endParaRPr lang="cs-CZ" sz="200"/>
        </a:p>
        <a:p>
          <a:r>
            <a:rPr lang="cs-CZ" sz="950"/>
            <a:t>Dose adjustments required for kidney impairment</a:t>
          </a:r>
        </a:p>
        <a:p>
          <a:endParaRPr lang="cs-CZ" sz="200"/>
        </a:p>
        <a:p>
          <a:r>
            <a:rPr lang="cs-CZ" sz="950"/>
            <a:t>Not recommended in patients with cardiovasc. or cerebrovasc.disease</a:t>
          </a:r>
        </a:p>
        <a:p>
          <a:endParaRPr lang="cs-CZ" sz="950"/>
        </a:p>
      </xdr:txBody>
    </xdr:sp>
    <xdr:clientData/>
  </xdr:twoCellAnchor>
  <xdr:twoCellAnchor>
    <xdr:from>
      <xdr:col>16</xdr:col>
      <xdr:colOff>371475</xdr:colOff>
      <xdr:row>10</xdr:row>
      <xdr:rowOff>104776</xdr:rowOff>
    </xdr:from>
    <xdr:to>
      <xdr:col>18</xdr:col>
      <xdr:colOff>438151</xdr:colOff>
      <xdr:row>11</xdr:row>
      <xdr:rowOff>66676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125075" y="2009776"/>
          <a:ext cx="1285876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1058</xdr:colOff>
      <xdr:row>23</xdr:row>
      <xdr:rowOff>160865</xdr:rowOff>
    </xdr:from>
    <xdr:to>
      <xdr:col>25</xdr:col>
      <xdr:colOff>347345</xdr:colOff>
      <xdr:row>38</xdr:row>
      <xdr:rowOff>115145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558" y="4542365"/>
          <a:ext cx="6484620" cy="2811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233891</xdr:colOff>
      <xdr:row>25</xdr:row>
      <xdr:rowOff>129115</xdr:rowOff>
    </xdr:from>
    <xdr:to>
      <xdr:col>17</xdr:col>
      <xdr:colOff>300567</xdr:colOff>
      <xdr:row>26</xdr:row>
      <xdr:rowOff>91015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9441391" y="4891615"/>
          <a:ext cx="1294343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57149</xdr:rowOff>
    </xdr:from>
    <xdr:to>
      <xdr:col>21</xdr:col>
      <xdr:colOff>238125</xdr:colOff>
      <xdr:row>39</xdr:row>
      <xdr:rowOff>28574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42875" y="57149"/>
          <a:ext cx="12896850" cy="7400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581025</xdr:colOff>
      <xdr:row>0</xdr:row>
      <xdr:rowOff>142875</xdr:rowOff>
    </xdr:from>
    <xdr:to>
      <xdr:col>9</xdr:col>
      <xdr:colOff>209550</xdr:colOff>
      <xdr:row>2</xdr:row>
      <xdr:rowOff>95250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2875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0</xdr:row>
      <xdr:rowOff>152400</xdr:rowOff>
    </xdr:from>
    <xdr:to>
      <xdr:col>17</xdr:col>
      <xdr:colOff>552450</xdr:colOff>
      <xdr:row>2</xdr:row>
      <xdr:rowOff>104775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2400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85725</xdr:rowOff>
    </xdr:from>
    <xdr:to>
      <xdr:col>9</xdr:col>
      <xdr:colOff>219075</xdr:colOff>
      <xdr:row>29</xdr:row>
      <xdr:rowOff>95250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66725"/>
          <a:ext cx="5105400" cy="515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29</xdr:row>
      <xdr:rowOff>76200</xdr:rowOff>
    </xdr:from>
    <xdr:to>
      <xdr:col>9</xdr:col>
      <xdr:colOff>228600</xdr:colOff>
      <xdr:row>34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600700"/>
          <a:ext cx="5133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2</xdr:row>
      <xdr:rowOff>95250</xdr:rowOff>
    </xdr:from>
    <xdr:to>
      <xdr:col>17</xdr:col>
      <xdr:colOff>561975</xdr:colOff>
      <xdr:row>6</xdr:row>
      <xdr:rowOff>114300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476250"/>
          <a:ext cx="5105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6</xdr:row>
      <xdr:rowOff>85725</xdr:rowOff>
    </xdr:from>
    <xdr:to>
      <xdr:col>17</xdr:col>
      <xdr:colOff>552450</xdr:colOff>
      <xdr:row>37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28725"/>
          <a:ext cx="5114925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11</xdr:row>
      <xdr:rowOff>180974</xdr:rowOff>
    </xdr:from>
    <xdr:to>
      <xdr:col>9</xdr:col>
      <xdr:colOff>209550</xdr:colOff>
      <xdr:row>20</xdr:row>
      <xdr:rowOff>152399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90550" y="2276474"/>
          <a:ext cx="5105400" cy="16859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38100</xdr:rowOff>
    </xdr:from>
    <xdr:to>
      <xdr:col>31</xdr:col>
      <xdr:colOff>412750</xdr:colOff>
      <xdr:row>43</xdr:row>
      <xdr:rowOff>38100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61925" y="38100"/>
          <a:ext cx="19279658" cy="819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66675</xdr:colOff>
      <xdr:row>2</xdr:row>
      <xdr:rowOff>180975</xdr:rowOff>
    </xdr:from>
    <xdr:to>
      <xdr:col>7</xdr:col>
      <xdr:colOff>66675</xdr:colOff>
      <xdr:row>13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365760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3</xdr:row>
      <xdr:rowOff>66675</xdr:rowOff>
    </xdr:from>
    <xdr:to>
      <xdr:col>14</xdr:col>
      <xdr:colOff>152400</xdr:colOff>
      <xdr:row>14</xdr:row>
      <xdr:rowOff>28575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638175"/>
          <a:ext cx="34671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523875</xdr:colOff>
      <xdr:row>3</xdr:row>
      <xdr:rowOff>57150</xdr:rowOff>
    </xdr:from>
    <xdr:to>
      <xdr:col>1</xdr:col>
      <xdr:colOff>457200</xdr:colOff>
      <xdr:row>4</xdr:row>
      <xdr:rowOff>76200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23875" y="628650"/>
          <a:ext cx="54292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285750</xdr:colOff>
      <xdr:row>3</xdr:row>
      <xdr:rowOff>38099</xdr:rowOff>
    </xdr:from>
    <xdr:to>
      <xdr:col>9</xdr:col>
      <xdr:colOff>219075</xdr:colOff>
      <xdr:row>4</xdr:row>
      <xdr:rowOff>123824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62550" y="609599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5</xdr:col>
      <xdr:colOff>152400</xdr:colOff>
      <xdr:row>18</xdr:row>
      <xdr:rowOff>38100</xdr:rowOff>
    </xdr:from>
    <xdr:to>
      <xdr:col>17</xdr:col>
      <xdr:colOff>133350</xdr:colOff>
      <xdr:row>40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3467100"/>
          <a:ext cx="7296150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19</xdr:row>
      <xdr:rowOff>0</xdr:rowOff>
    </xdr:from>
    <xdr:to>
      <xdr:col>6</xdr:col>
      <xdr:colOff>57150</xdr:colOff>
      <xdr:row>20</xdr:row>
      <xdr:rowOff>85725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3171825" y="3619500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18</xdr:col>
      <xdr:colOff>437091</xdr:colOff>
      <xdr:row>14</xdr:row>
      <xdr:rowOff>154517</xdr:rowOff>
    </xdr:from>
    <xdr:to>
      <xdr:col>29</xdr:col>
      <xdr:colOff>523874</xdr:colOff>
      <xdr:row>32</xdr:row>
      <xdr:rowOff>87842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091" y="2821517"/>
          <a:ext cx="6838950" cy="3362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26</xdr:col>
      <xdr:colOff>310091</xdr:colOff>
      <xdr:row>31</xdr:row>
      <xdr:rowOff>27518</xdr:rowOff>
    </xdr:from>
    <xdr:to>
      <xdr:col>27</xdr:col>
      <xdr:colOff>370417</xdr:colOff>
      <xdr:row>31</xdr:row>
      <xdr:rowOff>179918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6269758" y="5933018"/>
          <a:ext cx="674159" cy="15240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0</xdr:row>
      <xdr:rowOff>85724</xdr:rowOff>
    </xdr:from>
    <xdr:to>
      <xdr:col>25</xdr:col>
      <xdr:colOff>0</xdr:colOff>
      <xdr:row>44</xdr:row>
      <xdr:rowOff>85725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23824" y="85724"/>
          <a:ext cx="15116176" cy="8382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476250</xdr:colOff>
      <xdr:row>1</xdr:row>
      <xdr:rowOff>180975</xdr:rowOff>
    </xdr:from>
    <xdr:to>
      <xdr:col>13</xdr:col>
      <xdr:colOff>0</xdr:colOff>
      <xdr:row>22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71475"/>
          <a:ext cx="6838950" cy="3829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476250</xdr:colOff>
      <xdr:row>16</xdr:row>
      <xdr:rowOff>47626</xdr:rowOff>
    </xdr:from>
    <xdr:to>
      <xdr:col>12</xdr:col>
      <xdr:colOff>590550</xdr:colOff>
      <xdr:row>18</xdr:row>
      <xdr:rowOff>104776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085850" y="3095626"/>
          <a:ext cx="6819900" cy="43815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495300</xdr:colOff>
      <xdr:row>3</xdr:row>
      <xdr:rowOff>57150</xdr:rowOff>
    </xdr:from>
    <xdr:to>
      <xdr:col>12</xdr:col>
      <xdr:colOff>561974</xdr:colOff>
      <xdr:row>5</xdr:row>
      <xdr:rowOff>66675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04900" y="628650"/>
          <a:ext cx="6772274" cy="3905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390525</xdr:colOff>
      <xdr:row>22</xdr:row>
      <xdr:rowOff>180975</xdr:rowOff>
    </xdr:from>
    <xdr:to>
      <xdr:col>16</xdr:col>
      <xdr:colOff>257175</xdr:colOff>
      <xdr:row>42</xdr:row>
      <xdr:rowOff>104775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4371975"/>
          <a:ext cx="8401050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200025</xdr:colOff>
      <xdr:row>28</xdr:row>
      <xdr:rowOff>38100</xdr:rowOff>
    </xdr:from>
    <xdr:to>
      <xdr:col>12</xdr:col>
      <xdr:colOff>485775</xdr:colOff>
      <xdr:row>35</xdr:row>
      <xdr:rowOff>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6296025" y="5372100"/>
          <a:ext cx="1504950" cy="1295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95250</xdr:colOff>
      <xdr:row>4</xdr:row>
      <xdr:rowOff>66675</xdr:rowOff>
    </xdr:from>
    <xdr:to>
      <xdr:col>23</xdr:col>
      <xdr:colOff>476250</xdr:colOff>
      <xdr:row>22</xdr:row>
      <xdr:rowOff>142875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828675"/>
          <a:ext cx="5867400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190500</xdr:colOff>
      <xdr:row>19</xdr:row>
      <xdr:rowOff>76200</xdr:rowOff>
    </xdr:from>
    <xdr:to>
      <xdr:col>15</xdr:col>
      <xdr:colOff>142875</xdr:colOff>
      <xdr:row>21</xdr:row>
      <xdr:rowOff>161925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724900" y="3695700"/>
          <a:ext cx="56197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21</xdr:col>
      <xdr:colOff>209550</xdr:colOff>
      <xdr:row>35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600" y="19050"/>
          <a:ext cx="12782550" cy="6772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304800</xdr:colOff>
      <xdr:row>0</xdr:row>
      <xdr:rowOff>123825</xdr:rowOff>
    </xdr:from>
    <xdr:to>
      <xdr:col>7</xdr:col>
      <xdr:colOff>276225</xdr:colOff>
      <xdr:row>31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3825"/>
          <a:ext cx="3629025" cy="589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264584</xdr:colOff>
      <xdr:row>0</xdr:row>
      <xdr:rowOff>137583</xdr:rowOff>
    </xdr:from>
    <xdr:to>
      <xdr:col>19</xdr:col>
      <xdr:colOff>328084</xdr:colOff>
      <xdr:row>31</xdr:row>
      <xdr:rowOff>116417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1417" y="137583"/>
          <a:ext cx="7429500" cy="588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47624</xdr:rowOff>
    </xdr:from>
    <xdr:to>
      <xdr:col>31</xdr:col>
      <xdr:colOff>533400</xdr:colOff>
      <xdr:row>46</xdr:row>
      <xdr:rowOff>19049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6200" y="47624"/>
          <a:ext cx="19354800" cy="873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228600</xdr:colOff>
      <xdr:row>1</xdr:row>
      <xdr:rowOff>104775</xdr:rowOff>
    </xdr:from>
    <xdr:to>
      <xdr:col>15</xdr:col>
      <xdr:colOff>38100</xdr:colOff>
      <xdr:row>25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95275"/>
          <a:ext cx="834390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14</xdr:row>
      <xdr:rowOff>152399</xdr:rowOff>
    </xdr:from>
    <xdr:to>
      <xdr:col>15</xdr:col>
      <xdr:colOff>9524</xdr:colOff>
      <xdr:row>16</xdr:row>
      <xdr:rowOff>114300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76299" y="2819399"/>
          <a:ext cx="8277225" cy="342901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352424</xdr:colOff>
      <xdr:row>33</xdr:row>
      <xdr:rowOff>142875</xdr:rowOff>
    </xdr:from>
    <xdr:to>
      <xdr:col>9</xdr:col>
      <xdr:colOff>390525</xdr:colOff>
      <xdr:row>38</xdr:row>
      <xdr:rowOff>64353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6429375"/>
          <a:ext cx="4914901" cy="87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27</xdr:row>
      <xdr:rowOff>104775</xdr:rowOff>
    </xdr:from>
    <xdr:to>
      <xdr:col>15</xdr:col>
      <xdr:colOff>0</xdr:colOff>
      <xdr:row>31</xdr:row>
      <xdr:rowOff>123825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48275"/>
          <a:ext cx="8153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523009</xdr:colOff>
      <xdr:row>30</xdr:row>
      <xdr:rowOff>173182</xdr:rowOff>
    </xdr:from>
    <xdr:to>
      <xdr:col>15</xdr:col>
      <xdr:colOff>193097</xdr:colOff>
      <xdr:row>42</xdr:row>
      <xdr:rowOff>7793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236" y="5888182"/>
          <a:ext cx="3306906" cy="2120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495300</xdr:colOff>
      <xdr:row>2</xdr:row>
      <xdr:rowOff>47625</xdr:rowOff>
    </xdr:from>
    <xdr:to>
      <xdr:col>24</xdr:col>
      <xdr:colOff>371475</xdr:colOff>
      <xdr:row>28</xdr:row>
      <xdr:rowOff>66675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428625"/>
          <a:ext cx="5362575" cy="497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114300</xdr:colOff>
      <xdr:row>20</xdr:row>
      <xdr:rowOff>123824</xdr:rowOff>
    </xdr:from>
    <xdr:to>
      <xdr:col>25</xdr:col>
      <xdr:colOff>133349</xdr:colOff>
      <xdr:row>28</xdr:row>
      <xdr:rowOff>133350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11696700" y="3933824"/>
          <a:ext cx="3676649" cy="1533526"/>
        </a:xfrm>
        <a:prstGeom prst="rect">
          <a:avLst/>
        </a:prstGeom>
        <a:solidFill>
          <a:srgbClr val="FFFF00"/>
        </a:solidFill>
        <a:ln w="63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cs-CZ" sz="1000" b="1">
              <a:effectLst/>
              <a:latin typeface="+mn-lt"/>
              <a:ea typeface="+mn-ea"/>
              <a:cs typeface="+mn-cs"/>
            </a:rPr>
            <a:t>CAVE! LP VYDURA p.o. lyofilizát (rimegepant) pro epizodickou migrénu a LP AQUIPTA tbl (atogepant) pro epizodickou i chronickou migrénu – oba LP nemají k datu 15. 9 2023 úhradu ze zdravotního pojištění </a:t>
          </a:r>
          <a:r>
            <a:rPr lang="cs-CZ" sz="1000">
              <a:effectLst/>
              <a:latin typeface="+mn-lt"/>
              <a:ea typeface="+mn-ea"/>
              <a:cs typeface="+mn-cs"/>
            </a:rPr>
            <a:t>(u LP VYDURA byla SUKLem úhrada pro preventivní podání zamítnuta (firma aktuálně žádá o úhradu pro akutní podání), u LP AQUIPTA nebyla žádost o úhrada firmou k datu 15. 9. 2023 ani podána!)</a:t>
          </a:r>
          <a:r>
            <a:rPr lang="cs-CZ" sz="1000" b="1">
              <a:effectLst/>
              <a:latin typeface="+mn-lt"/>
              <a:ea typeface="+mn-ea"/>
              <a:cs typeface="+mn-cs"/>
            </a:rPr>
            <a:t>, LP BOTOX inj (onabotulinumtoxinA – určený jen pro chronickou migrénu!) je k tomuto datu v ČR také bez úhrady </a:t>
          </a:r>
          <a:r>
            <a:rPr lang="cs-CZ" sz="1000">
              <a:effectLst/>
              <a:latin typeface="+mn-lt"/>
              <a:ea typeface="+mn-ea"/>
              <a:cs typeface="+mn-cs"/>
            </a:rPr>
            <a:t>(žádost nebyla firma také ani podána!).</a:t>
          </a:r>
          <a:r>
            <a:rPr lang="cs-CZ" sz="1000" baseline="30000">
              <a:effectLst/>
              <a:latin typeface="+mn-lt"/>
              <a:ea typeface="+mn-ea"/>
              <a:cs typeface="+mn-cs"/>
            </a:rPr>
            <a:t>5</a:t>
          </a:r>
          <a:endParaRPr lang="cs-CZ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15</xdr:col>
      <xdr:colOff>600075</xdr:colOff>
      <xdr:row>30</xdr:row>
      <xdr:rowOff>9525</xdr:rowOff>
    </xdr:from>
    <xdr:to>
      <xdr:col>31</xdr:col>
      <xdr:colOff>57150</xdr:colOff>
      <xdr:row>44</xdr:row>
      <xdr:rowOff>95250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724525"/>
          <a:ext cx="9210675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28576</xdr:colOff>
      <xdr:row>35</xdr:row>
      <xdr:rowOff>9525</xdr:rowOff>
    </xdr:from>
    <xdr:to>
      <xdr:col>25</xdr:col>
      <xdr:colOff>504826</xdr:colOff>
      <xdr:row>38</xdr:row>
      <xdr:rowOff>161925</xdr:rowOff>
    </xdr:to>
    <xdr:sp macro="" textlink="">
      <xdr:nvSpPr>
        <xdr:cNvPr id="13" name="TextovéPole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12220576" y="6677025"/>
          <a:ext cx="3524250" cy="72390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0"/>
  <sheetViews>
    <sheetView tabSelected="1" zoomScale="90" zoomScaleNormal="90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Q13" sqref="Q13"/>
    </sheetView>
  </sheetViews>
  <sheetFormatPr defaultColWidth="8.42578125" defaultRowHeight="15" x14ac:dyDescent="0.25"/>
  <cols>
    <col min="1" max="1" width="1.28515625" style="1" customWidth="1"/>
    <col min="2" max="2" width="28.7109375" style="1" customWidth="1"/>
    <col min="3" max="3" width="12.42578125" style="1" customWidth="1"/>
    <col min="4" max="4" width="18" style="1" customWidth="1"/>
    <col min="5" max="5" width="13.5703125" style="1" customWidth="1"/>
    <col min="6" max="6" width="30.140625" style="1" customWidth="1"/>
    <col min="7" max="7" width="13.7109375" style="1" customWidth="1"/>
    <col min="8" max="8" width="13.28515625" style="1" customWidth="1"/>
    <col min="9" max="9" width="15.28515625" style="1" customWidth="1"/>
    <col min="10" max="10" width="18.42578125" style="1" customWidth="1"/>
    <col min="11" max="11" width="15.28515625" style="1" customWidth="1"/>
    <col min="12" max="12" width="15.7109375" style="1" customWidth="1"/>
    <col min="13" max="13" width="20.28515625" style="1" customWidth="1"/>
    <col min="15" max="15" width="11.140625" style="1" customWidth="1"/>
    <col min="16" max="16" width="21.85546875" customWidth="1"/>
    <col min="17" max="17" width="15.42578125" customWidth="1"/>
    <col min="18" max="18" width="12.85546875" customWidth="1"/>
  </cols>
  <sheetData>
    <row r="1" spans="2:18" ht="3.75" customHeight="1" thickBot="1" x14ac:dyDescent="0.3">
      <c r="L1" s="2"/>
      <c r="M1" s="2"/>
    </row>
    <row r="2" spans="2:18" ht="0.75" hidden="1" customHeight="1" thickBot="1" x14ac:dyDescent="0.3"/>
    <row r="3" spans="2:18" ht="123" customHeight="1" thickTop="1" thickBot="1" x14ac:dyDescent="0.3">
      <c r="B3" s="37" t="s">
        <v>77</v>
      </c>
      <c r="C3" s="104" t="s">
        <v>1</v>
      </c>
      <c r="D3" s="104" t="s">
        <v>17</v>
      </c>
      <c r="E3" s="104" t="s">
        <v>22</v>
      </c>
      <c r="F3" s="3" t="s">
        <v>3</v>
      </c>
      <c r="G3" s="4" t="s">
        <v>89</v>
      </c>
      <c r="H3" s="4" t="s">
        <v>90</v>
      </c>
      <c r="I3" s="5" t="s">
        <v>70</v>
      </c>
      <c r="J3" s="96" t="s">
        <v>71</v>
      </c>
      <c r="K3" s="5" t="s">
        <v>72</v>
      </c>
      <c r="L3" s="78" t="s">
        <v>73</v>
      </c>
      <c r="M3" s="40" t="s">
        <v>69</v>
      </c>
      <c r="N3" s="6" t="s">
        <v>91</v>
      </c>
      <c r="O3" s="7"/>
      <c r="Q3" s="100" t="s">
        <v>78</v>
      </c>
      <c r="R3" s="100" t="s">
        <v>79</v>
      </c>
    </row>
    <row r="4" spans="2:18" ht="40.5" customHeight="1" thickTop="1" x14ac:dyDescent="0.25">
      <c r="B4" s="43" t="s">
        <v>5</v>
      </c>
      <c r="C4" s="20" t="s">
        <v>80</v>
      </c>
      <c r="D4" s="50" t="s">
        <v>10</v>
      </c>
      <c r="E4" s="50" t="s">
        <v>25</v>
      </c>
      <c r="F4" s="71" t="s">
        <v>24</v>
      </c>
      <c r="G4" s="8">
        <v>8245.77</v>
      </c>
      <c r="H4" s="8">
        <f>G4-O4</f>
        <v>7833.4815000000008</v>
      </c>
      <c r="I4" s="34">
        <f>(H4*13)</f>
        <v>101835.25950000001</v>
      </c>
      <c r="J4" s="97">
        <f>I4/R4</f>
        <v>3.0514631613958754</v>
      </c>
      <c r="K4" s="92">
        <f>(H4*3 )+(H4*10*0.42)</f>
        <v>56401.066800000001</v>
      </c>
      <c r="L4" s="79">
        <f>30*K4</f>
        <v>1692032.004</v>
      </c>
      <c r="M4" s="105">
        <f>L4-Q4</f>
        <v>37971.728400000138</v>
      </c>
      <c r="N4" s="88">
        <v>0.05</v>
      </c>
      <c r="O4" s="101">
        <f>N4*G4</f>
        <v>412.28850000000006</v>
      </c>
      <c r="Q4" s="81">
        <f>L10</f>
        <v>1654060.2755999998</v>
      </c>
      <c r="R4" s="84">
        <f>I9</f>
        <v>33372.600000000006</v>
      </c>
    </row>
    <row r="5" spans="2:18" ht="42.75" customHeight="1" x14ac:dyDescent="0.25">
      <c r="B5" s="46" t="s">
        <v>6</v>
      </c>
      <c r="C5" s="47" t="s">
        <v>81</v>
      </c>
      <c r="D5" s="49" t="s">
        <v>11</v>
      </c>
      <c r="E5" s="50" t="s">
        <v>25</v>
      </c>
      <c r="F5" s="72" t="s">
        <v>26</v>
      </c>
      <c r="G5" s="10">
        <v>8422.91</v>
      </c>
      <c r="H5" s="10">
        <f>G5-O5</f>
        <v>8422.91</v>
      </c>
      <c r="I5" s="35">
        <f>(H5*11)+(H5*2)</f>
        <v>109497.82999999999</v>
      </c>
      <c r="J5" s="98">
        <f t="shared" ref="J5:J10" si="0">I5/R5</f>
        <v>3.2810697997758629</v>
      </c>
      <c r="K5" s="93">
        <f>(H5*2)+(H5*2)+(H5*9*0.42)</f>
        <v>65530.239799999996</v>
      </c>
      <c r="L5" s="33">
        <f t="shared" ref="L5:L10" si="1">30*K5</f>
        <v>1965907.1939999999</v>
      </c>
      <c r="M5" s="83">
        <f t="shared" ref="M5:M9" si="2">L5-Q5</f>
        <v>311846.91840000008</v>
      </c>
      <c r="N5" s="89">
        <v>0</v>
      </c>
      <c r="O5" s="101">
        <f>N5*G5</f>
        <v>0</v>
      </c>
      <c r="Q5" s="81">
        <f>L10</f>
        <v>1654060.2755999998</v>
      </c>
      <c r="R5" s="84">
        <f>I9</f>
        <v>33372.600000000006</v>
      </c>
    </row>
    <row r="6" spans="2:18" ht="54.75" customHeight="1" x14ac:dyDescent="0.25">
      <c r="B6" s="43" t="s">
        <v>8</v>
      </c>
      <c r="C6" s="47" t="s">
        <v>82</v>
      </c>
      <c r="D6" s="49" t="s">
        <v>11</v>
      </c>
      <c r="E6" s="50" t="s">
        <v>25</v>
      </c>
      <c r="F6" s="72" t="s">
        <v>66</v>
      </c>
      <c r="G6" s="9">
        <v>8834.75</v>
      </c>
      <c r="H6" s="10">
        <f>G6-O6</f>
        <v>8481.36</v>
      </c>
      <c r="I6" s="36">
        <f>(H6*12)</f>
        <v>101776.32000000001</v>
      </c>
      <c r="J6" s="98">
        <f t="shared" si="0"/>
        <v>3.0496970568670103</v>
      </c>
      <c r="K6" s="94">
        <f>(H6*3)+(H6*9*0.42)</f>
        <v>57503.620800000004</v>
      </c>
      <c r="L6" s="33">
        <f t="shared" si="1"/>
        <v>1725108.6240000001</v>
      </c>
      <c r="M6" s="83">
        <f t="shared" si="2"/>
        <v>71048.34840000025</v>
      </c>
      <c r="N6" s="90">
        <v>0.04</v>
      </c>
      <c r="O6" s="101">
        <f>N6*G6</f>
        <v>353.39</v>
      </c>
      <c r="Q6" s="81">
        <f>L10</f>
        <v>1654060.2755999998</v>
      </c>
      <c r="R6" s="84">
        <f>I9</f>
        <v>33372.600000000006</v>
      </c>
    </row>
    <row r="7" spans="2:18" ht="45.75" customHeight="1" x14ac:dyDescent="0.25">
      <c r="B7" s="46" t="s">
        <v>74</v>
      </c>
      <c r="C7" s="47" t="s">
        <v>83</v>
      </c>
      <c r="D7" s="52" t="s">
        <v>87</v>
      </c>
      <c r="E7" s="55" t="s">
        <v>37</v>
      </c>
      <c r="F7" s="72" t="s">
        <v>36</v>
      </c>
      <c r="G7" s="10">
        <v>1048.05</v>
      </c>
      <c r="H7" s="10">
        <f>G7-O7</f>
        <v>1048.05</v>
      </c>
      <c r="I7" s="35">
        <f>(H7/2)*183</f>
        <v>95896.574999999997</v>
      </c>
      <c r="J7" s="98">
        <f t="shared" si="0"/>
        <v>2.873512252566476</v>
      </c>
      <c r="K7" s="93">
        <f>((H7/2)*42)+((H7/2)*141*0.42)</f>
        <v>53041.810499999992</v>
      </c>
      <c r="L7" s="33">
        <f t="shared" si="1"/>
        <v>1591254.3149999997</v>
      </c>
      <c r="M7" s="82">
        <f t="shared" si="2"/>
        <v>-62805.960600000108</v>
      </c>
      <c r="N7" s="89">
        <v>0</v>
      </c>
      <c r="O7" s="101">
        <f>N7*G7</f>
        <v>0</v>
      </c>
      <c r="Q7" s="81">
        <f>L10</f>
        <v>1654060.2755999998</v>
      </c>
      <c r="R7" s="84">
        <f>I9</f>
        <v>33372.600000000006</v>
      </c>
    </row>
    <row r="8" spans="2:18" ht="52.5" customHeight="1" x14ac:dyDescent="0.25">
      <c r="B8" s="46" t="s">
        <v>64</v>
      </c>
      <c r="C8" s="47" t="s">
        <v>84</v>
      </c>
      <c r="D8" s="52" t="s">
        <v>88</v>
      </c>
      <c r="E8" s="55" t="s">
        <v>40</v>
      </c>
      <c r="F8" s="72" t="s">
        <v>67</v>
      </c>
      <c r="G8" s="77" t="s">
        <v>68</v>
      </c>
      <c r="H8" s="10"/>
      <c r="I8" s="35"/>
      <c r="J8" s="98"/>
      <c r="K8" s="93"/>
      <c r="L8" s="33">
        <f t="shared" si="1"/>
        <v>0</v>
      </c>
      <c r="M8" s="82"/>
      <c r="N8" s="89">
        <v>0</v>
      </c>
      <c r="O8" s="101"/>
      <c r="Q8" s="81">
        <f>L10</f>
        <v>1654060.2755999998</v>
      </c>
      <c r="R8" s="84">
        <f>I9</f>
        <v>33372.600000000006</v>
      </c>
    </row>
    <row r="9" spans="2:18" ht="50.25" customHeight="1" x14ac:dyDescent="0.25">
      <c r="B9" s="73" t="s">
        <v>75</v>
      </c>
      <c r="C9" s="47" t="s">
        <v>85</v>
      </c>
      <c r="D9" s="102" t="s">
        <v>19</v>
      </c>
      <c r="E9" s="102" t="s">
        <v>46</v>
      </c>
      <c r="F9" s="72" t="s">
        <v>45</v>
      </c>
      <c r="G9" s="10">
        <v>2837.26</v>
      </c>
      <c r="H9" s="10">
        <f>G9-O9</f>
        <v>2837.26</v>
      </c>
      <c r="I9" s="35">
        <f>(H9*2*5)+(5*1000)</f>
        <v>33372.600000000006</v>
      </c>
      <c r="J9" s="98">
        <f t="shared" si="0"/>
        <v>1</v>
      </c>
      <c r="K9" s="93">
        <f>((H9*2*1)+1000)+((H9*2*4*0.42)+(4*1000*0.42))</f>
        <v>17887.713600000003</v>
      </c>
      <c r="L9" s="33">
        <f t="shared" si="1"/>
        <v>536631.40800000005</v>
      </c>
      <c r="M9" s="82">
        <f t="shared" si="2"/>
        <v>-1117428.8675999998</v>
      </c>
      <c r="N9" s="89">
        <v>0</v>
      </c>
      <c r="O9" s="101">
        <f>N9*G9</f>
        <v>0</v>
      </c>
      <c r="Q9" s="81">
        <f>L10</f>
        <v>1654060.2755999998</v>
      </c>
      <c r="R9" s="84">
        <f>I9</f>
        <v>33372.600000000006</v>
      </c>
    </row>
    <row r="10" spans="2:18" ht="58.5" customHeight="1" thickBot="1" x14ac:dyDescent="0.3">
      <c r="B10" s="22" t="s">
        <v>76</v>
      </c>
      <c r="C10" s="61" t="s">
        <v>86</v>
      </c>
      <c r="D10" s="103" t="s">
        <v>11</v>
      </c>
      <c r="E10" s="103" t="s">
        <v>49</v>
      </c>
      <c r="F10" s="74" t="s">
        <v>65</v>
      </c>
      <c r="G10" s="75">
        <v>23816.34</v>
      </c>
      <c r="H10" s="76">
        <f>G10-O10</f>
        <v>20243.888999999999</v>
      </c>
      <c r="I10" s="38">
        <f>(H10*5)+(5*329)</f>
        <v>102864.44499999999</v>
      </c>
      <c r="J10" s="99">
        <f t="shared" si="0"/>
        <v>3.0823023977754196</v>
      </c>
      <c r="K10" s="95">
        <f>(H10+329)+(H10*4*0.42)+(4*329*0.42)</f>
        <v>55135.342519999991</v>
      </c>
      <c r="L10" s="80">
        <f t="shared" si="1"/>
        <v>1654060.2755999998</v>
      </c>
      <c r="M10" s="39"/>
      <c r="N10" s="91">
        <v>0.15</v>
      </c>
      <c r="O10" s="101">
        <f>N10*G10</f>
        <v>3572.451</v>
      </c>
      <c r="R10" s="84">
        <f>I9</f>
        <v>33372.600000000006</v>
      </c>
    </row>
    <row r="11" spans="2:18" ht="4.5" customHeight="1" thickTop="1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2:18" ht="44.25" customHeight="1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2:18" x14ac:dyDescent="0.25">
      <c r="B13" s="11"/>
      <c r="C13" s="11"/>
      <c r="D13" s="11"/>
      <c r="E13" s="11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2:18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2:18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2:18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2:15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2:15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2:15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2:15" ht="93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2:15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2:15" x14ac:dyDescent="0.25">
      <c r="O22" s="7"/>
    </row>
    <row r="25" spans="2:15" x14ac:dyDescent="0.25">
      <c r="H25" s="86"/>
    </row>
    <row r="27" spans="2:15" ht="18" x14ac:dyDescent="0.25">
      <c r="I27" s="85"/>
    </row>
    <row r="30" spans="2:15" ht="18" x14ac:dyDescent="0.25">
      <c r="G30" s="85"/>
    </row>
  </sheetData>
  <autoFilter ref="B3:O10" xr:uid="{9EFE1441-63D0-45D5-979F-094BB9A40038}"/>
  <pageMargins left="0.7" right="0.7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3"/>
  <sheetViews>
    <sheetView topLeftCell="B13" workbookViewId="0">
      <selection activeCell="G34" sqref="G34"/>
    </sheetView>
  </sheetViews>
  <sheetFormatPr defaultRowHeight="15" x14ac:dyDescent="0.25"/>
  <sheetData>
    <row r="33" spans="2:2" x14ac:dyDescent="0.25">
      <c r="B33" s="42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G1" zoomScale="90" zoomScaleNormal="90" workbookViewId="0">
      <selection activeCell="N38" sqref="N3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36"/>
  <sheetViews>
    <sheetView workbookViewId="0">
      <selection activeCell="V24" sqref="V24"/>
    </sheetView>
  </sheetViews>
  <sheetFormatPr defaultRowHeight="15" x14ac:dyDescent="0.25"/>
  <sheetData>
    <row r="36" spans="3:3" x14ac:dyDescent="0.25">
      <c r="C36" s="42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E8CC1-1199-4CC5-BE4E-C074F617D2B3}">
  <dimension ref="A1"/>
  <sheetViews>
    <sheetView zoomScale="90" zoomScaleNormal="90" workbookViewId="0">
      <selection activeCell="AD24" sqref="AD2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C3C9-CFA7-4F90-9191-6DBBD456DF55}">
  <dimension ref="C44:J52"/>
  <sheetViews>
    <sheetView topLeftCell="G3" zoomScaleNormal="100" workbookViewId="0">
      <selection activeCell="E44" sqref="E44"/>
    </sheetView>
  </sheetViews>
  <sheetFormatPr defaultRowHeight="15" x14ac:dyDescent="0.25"/>
  <sheetData>
    <row r="44" spans="3:4" ht="18" x14ac:dyDescent="0.25">
      <c r="C44" s="85"/>
    </row>
    <row r="45" spans="3:4" x14ac:dyDescent="0.25">
      <c r="C45" s="42"/>
      <c r="D45" s="87"/>
    </row>
    <row r="52" spans="10:10" x14ac:dyDescent="0.25">
      <c r="J52" s="42"/>
    </row>
  </sheetData>
  <pageMargins left="0.7" right="0.7" top="0.78740157499999996" bottom="0.78740157499999996" header="0.3" footer="0.3"/>
  <pageSetup paperSize="9" orientation="portrait" horizontalDpi="72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="90" zoomScaleNormal="90" workbookViewId="0">
      <pane xSplit="2" ySplit="2" topLeftCell="C7" activePane="bottomRight" state="frozen"/>
      <selection pane="topRight" activeCell="C1" sqref="C1"/>
      <selection pane="bottomLeft" activeCell="A3" sqref="A3"/>
      <selection pane="bottomRight" activeCell="F8" sqref="F8"/>
    </sheetView>
  </sheetViews>
  <sheetFormatPr defaultColWidth="9.140625" defaultRowHeight="15" x14ac:dyDescent="0.25"/>
  <cols>
    <col min="1" max="1" width="18" style="15" customWidth="1"/>
    <col min="2" max="2" width="15.140625" style="15" customWidth="1"/>
    <col min="3" max="3" width="13.7109375" style="15" customWidth="1"/>
    <col min="4" max="4" width="12.85546875" style="15" customWidth="1"/>
    <col min="5" max="5" width="18" style="15" customWidth="1"/>
    <col min="6" max="6" width="20.140625" style="15" customWidth="1"/>
    <col min="7" max="7" width="21.28515625" style="15" customWidth="1"/>
    <col min="8" max="8" width="19.7109375" style="15" customWidth="1"/>
    <col min="9" max="9" width="27.85546875" style="15" customWidth="1"/>
    <col min="10" max="10" width="1" style="15" hidden="1" customWidth="1"/>
    <col min="11" max="16384" width="9.140625" style="15"/>
  </cols>
  <sheetData>
    <row r="1" spans="1:11" ht="18" customHeight="1" thickBot="1" x14ac:dyDescent="0.3">
      <c r="A1" s="106" t="s">
        <v>52</v>
      </c>
      <c r="B1" s="106"/>
      <c r="C1" s="106"/>
      <c r="D1" s="106"/>
      <c r="E1" s="106"/>
      <c r="F1" s="106"/>
      <c r="G1" s="106"/>
      <c r="H1" s="106"/>
      <c r="I1" s="106"/>
      <c r="K1" s="23"/>
    </row>
    <row r="2" spans="1:11" ht="57" customHeight="1" thickTop="1" thickBot="1" x14ac:dyDescent="0.3">
      <c r="A2" s="29" t="s">
        <v>0</v>
      </c>
      <c r="B2" s="30" t="s">
        <v>1</v>
      </c>
      <c r="C2" s="30" t="s">
        <v>17</v>
      </c>
      <c r="D2" s="30" t="s">
        <v>22</v>
      </c>
      <c r="E2" s="45" t="s">
        <v>34</v>
      </c>
      <c r="F2" s="44" t="s">
        <v>18</v>
      </c>
      <c r="G2" s="16" t="s">
        <v>35</v>
      </c>
      <c r="H2" s="17" t="s">
        <v>28</v>
      </c>
      <c r="I2" s="31" t="s">
        <v>30</v>
      </c>
      <c r="J2" s="18" t="s">
        <v>2</v>
      </c>
      <c r="K2" s="23"/>
    </row>
    <row r="3" spans="1:11" ht="64.5" customHeight="1" thickTop="1" x14ac:dyDescent="0.25">
      <c r="A3" s="19" t="s">
        <v>5</v>
      </c>
      <c r="B3" s="20" t="s">
        <v>12</v>
      </c>
      <c r="C3" s="50" t="s">
        <v>10</v>
      </c>
      <c r="D3" s="50" t="s">
        <v>25</v>
      </c>
      <c r="E3" s="48" t="s">
        <v>20</v>
      </c>
      <c r="F3" s="48" t="s">
        <v>21</v>
      </c>
      <c r="G3" s="47" t="s">
        <v>24</v>
      </c>
      <c r="H3" s="32" t="s">
        <v>29</v>
      </c>
      <c r="I3" s="54" t="s">
        <v>56</v>
      </c>
      <c r="J3" s="21" t="e">
        <f>#REF! /#REF!</f>
        <v>#REF!</v>
      </c>
      <c r="K3" s="23"/>
    </row>
    <row r="4" spans="1:11" ht="51.75" customHeight="1" x14ac:dyDescent="0.25">
      <c r="A4" s="46" t="s">
        <v>6</v>
      </c>
      <c r="B4" s="47" t="s">
        <v>13</v>
      </c>
      <c r="C4" s="49" t="s">
        <v>11</v>
      </c>
      <c r="D4" s="50" t="s">
        <v>25</v>
      </c>
      <c r="E4" s="48" t="s">
        <v>20</v>
      </c>
      <c r="F4" s="48" t="s">
        <v>21</v>
      </c>
      <c r="G4" s="53" t="s">
        <v>26</v>
      </c>
      <c r="H4" s="32" t="s">
        <v>27</v>
      </c>
      <c r="I4" s="54" t="s">
        <v>55</v>
      </c>
      <c r="J4" s="21"/>
      <c r="K4" s="23"/>
    </row>
    <row r="5" spans="1:11" ht="51.75" customHeight="1" x14ac:dyDescent="0.25">
      <c r="A5" s="46" t="s">
        <v>7</v>
      </c>
      <c r="B5" s="47" t="s">
        <v>14</v>
      </c>
      <c r="C5" s="49" t="s">
        <v>11</v>
      </c>
      <c r="D5" s="50" t="s">
        <v>25</v>
      </c>
      <c r="E5" s="48" t="s">
        <v>20</v>
      </c>
      <c r="F5" s="48" t="s">
        <v>21</v>
      </c>
      <c r="G5" s="53" t="s">
        <v>31</v>
      </c>
      <c r="H5" s="32" t="s">
        <v>32</v>
      </c>
      <c r="I5" s="54" t="s">
        <v>54</v>
      </c>
      <c r="J5" s="21"/>
      <c r="K5" s="23"/>
    </row>
    <row r="6" spans="1:11" ht="63" customHeight="1" x14ac:dyDescent="0.25">
      <c r="A6" s="46" t="s">
        <v>33</v>
      </c>
      <c r="B6" s="47" t="s">
        <v>38</v>
      </c>
      <c r="C6" s="52" t="s">
        <v>16</v>
      </c>
      <c r="D6" s="55" t="s">
        <v>37</v>
      </c>
      <c r="E6" s="48" t="s">
        <v>60</v>
      </c>
      <c r="F6" s="57" t="s">
        <v>23</v>
      </c>
      <c r="G6" s="53" t="s">
        <v>36</v>
      </c>
      <c r="H6" s="32" t="s">
        <v>57</v>
      </c>
      <c r="I6" s="54" t="s">
        <v>43</v>
      </c>
      <c r="J6" s="21"/>
      <c r="K6" s="23"/>
    </row>
    <row r="7" spans="1:11" ht="57.75" customHeight="1" x14ac:dyDescent="0.25">
      <c r="A7" s="46" t="s">
        <v>39</v>
      </c>
      <c r="B7" s="47" t="s">
        <v>42</v>
      </c>
      <c r="C7" s="52" t="s">
        <v>16</v>
      </c>
      <c r="D7" s="55" t="s">
        <v>40</v>
      </c>
      <c r="E7" s="48" t="s">
        <v>58</v>
      </c>
      <c r="F7" s="57" t="s">
        <v>23</v>
      </c>
      <c r="G7" s="53" t="s">
        <v>59</v>
      </c>
      <c r="H7" s="56" t="s">
        <v>41</v>
      </c>
      <c r="I7" s="54" t="s">
        <v>62</v>
      </c>
      <c r="J7" s="21"/>
      <c r="K7" s="23"/>
    </row>
    <row r="8" spans="1:11" ht="69" customHeight="1" thickBot="1" x14ac:dyDescent="0.3">
      <c r="A8" s="64" t="s">
        <v>44</v>
      </c>
      <c r="B8" s="65" t="s">
        <v>48</v>
      </c>
      <c r="C8" s="66" t="s">
        <v>19</v>
      </c>
      <c r="D8" s="66" t="s">
        <v>46</v>
      </c>
      <c r="E8" s="67" t="s">
        <v>61</v>
      </c>
      <c r="F8" s="68" t="s">
        <v>23</v>
      </c>
      <c r="G8" s="65" t="s">
        <v>45</v>
      </c>
      <c r="H8" s="69" t="s">
        <v>47</v>
      </c>
      <c r="I8" s="70" t="s">
        <v>63</v>
      </c>
      <c r="J8" s="21"/>
      <c r="K8" s="23"/>
    </row>
    <row r="9" spans="1:11" ht="62.25" customHeight="1" thickTop="1" thickBot="1" x14ac:dyDescent="0.3">
      <c r="A9" s="60" t="s">
        <v>4</v>
      </c>
      <c r="B9" s="61" t="s">
        <v>15</v>
      </c>
      <c r="C9" s="58" t="s">
        <v>11</v>
      </c>
      <c r="D9" s="58" t="s">
        <v>49</v>
      </c>
      <c r="E9" s="58" t="s">
        <v>20</v>
      </c>
      <c r="F9" s="58" t="s">
        <v>21</v>
      </c>
      <c r="G9" s="61" t="s">
        <v>50</v>
      </c>
      <c r="H9" s="62" t="s">
        <v>51</v>
      </c>
      <c r="I9" s="63" t="s">
        <v>53</v>
      </c>
      <c r="J9" s="21" t="e">
        <f>#REF! /#REF!</f>
        <v>#REF!</v>
      </c>
      <c r="K9" s="23"/>
    </row>
    <row r="10" spans="1:11" ht="15.75" customHeight="1" thickTop="1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4"/>
      <c r="K10" s="23"/>
    </row>
    <row r="11" spans="1:11" ht="6" customHeight="1" x14ac:dyDescent="0.25">
      <c r="A11" s="25"/>
      <c r="B11" s="23"/>
      <c r="C11" s="23"/>
      <c r="D11" s="23"/>
      <c r="E11" s="23"/>
      <c r="F11" s="23"/>
      <c r="G11" s="23"/>
      <c r="H11" s="23"/>
      <c r="I11" s="23"/>
      <c r="J11" s="24"/>
      <c r="K11" s="23"/>
    </row>
    <row r="12" spans="1:11" ht="9.9499999999999993" customHeight="1" x14ac:dyDescent="0.25">
      <c r="A12" s="26"/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1" ht="9.9499999999999993" customHeight="1" x14ac:dyDescent="0.25">
      <c r="A13" s="27"/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spans="1:11" x14ac:dyDescent="0.25">
      <c r="A14" s="28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1" x14ac:dyDescent="0.25">
      <c r="K15" s="23"/>
    </row>
    <row r="16" spans="1:11" x14ac:dyDescent="0.25">
      <c r="K16" s="23"/>
    </row>
    <row r="18" spans="1:4" x14ac:dyDescent="0.25">
      <c r="A18" s="51"/>
    </row>
    <row r="21" spans="1:4" x14ac:dyDescent="0.25">
      <c r="D21" s="59"/>
    </row>
    <row r="31" spans="1:4" x14ac:dyDescent="0.25">
      <c r="A31" s="51"/>
      <c r="B31"/>
    </row>
    <row r="33" spans="1:1" x14ac:dyDescent="0.25">
      <c r="A33"/>
    </row>
  </sheetData>
  <mergeCells count="1">
    <mergeCell ref="A1:I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41:E53"/>
  <sheetViews>
    <sheetView topLeftCell="G13" zoomScale="90" zoomScaleNormal="90" workbookViewId="0">
      <selection activeCell="Q51" sqref="Q51"/>
    </sheetView>
  </sheetViews>
  <sheetFormatPr defaultColWidth="8.42578125" defaultRowHeight="15" x14ac:dyDescent="0.25"/>
  <sheetData>
    <row r="41" spans="3:5" x14ac:dyDescent="0.25">
      <c r="D41" s="12"/>
    </row>
    <row r="42" spans="3:5" x14ac:dyDescent="0.25">
      <c r="C42" s="13"/>
      <c r="D42" s="13"/>
      <c r="E42" s="1"/>
    </row>
    <row r="43" spans="3:5" x14ac:dyDescent="0.25">
      <c r="C43" s="12"/>
      <c r="D43" s="12"/>
    </row>
    <row r="53" spans="4:4" ht="31.5" customHeight="1" x14ac:dyDescent="0.25">
      <c r="D53" s="14"/>
    </row>
  </sheetData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L1" zoomScaleNormal="100" workbookViewId="0">
      <selection activeCell="AD21" sqref="AD2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A3" sqref="A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45:P47"/>
  <sheetViews>
    <sheetView topLeftCell="K28" zoomScale="90" zoomScaleNormal="90" workbookViewId="0">
      <selection activeCell="M47" sqref="M47"/>
    </sheetView>
  </sheetViews>
  <sheetFormatPr defaultRowHeight="15" x14ac:dyDescent="0.25"/>
  <sheetData>
    <row r="45" spans="5:16" ht="15.75" x14ac:dyDescent="0.25">
      <c r="E45" s="41"/>
    </row>
    <row r="46" spans="5:16" x14ac:dyDescent="0.25">
      <c r="P46" s="42"/>
    </row>
    <row r="47" spans="5:16" x14ac:dyDescent="0.25">
      <c r="N47" s="4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2:C46"/>
  <sheetViews>
    <sheetView topLeftCell="A19" zoomScaleNormal="100" workbookViewId="0">
      <selection activeCell="H48" sqref="H48"/>
    </sheetView>
  </sheetViews>
  <sheetFormatPr defaultRowHeight="15" x14ac:dyDescent="0.25"/>
  <sheetData>
    <row r="32" spans="3:3" x14ac:dyDescent="0.25">
      <c r="C32" s="42"/>
    </row>
    <row r="46" spans="3:3" x14ac:dyDescent="0.25">
      <c r="C46" t="s">
        <v>9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38:C40"/>
  <sheetViews>
    <sheetView topLeftCell="A6" zoomScale="90" zoomScaleNormal="90" workbookViewId="0">
      <selection activeCell="J39" sqref="J39"/>
    </sheetView>
  </sheetViews>
  <sheetFormatPr defaultRowHeight="15" x14ac:dyDescent="0.25"/>
  <sheetData>
    <row r="38" spans="3:3" x14ac:dyDescent="0.25">
      <c r="C38" s="42"/>
    </row>
    <row r="40" spans="3:3" x14ac:dyDescent="0.25">
      <c r="C40" s="42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49"/>
  <sheetViews>
    <sheetView zoomScaleNormal="100" workbookViewId="0">
      <selection activeCell="AH19" sqref="AH19"/>
    </sheetView>
  </sheetViews>
  <sheetFormatPr defaultRowHeight="15" x14ac:dyDescent="0.25"/>
  <sheetData>
    <row r="49" spans="17:17" x14ac:dyDescent="0.25">
      <c r="Q49" s="42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198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Ceny za léčbu</vt:lpstr>
      <vt:lpstr>Seznam přípravků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  <vt:lpstr>obrázky9</vt:lpstr>
      <vt:lpstr>obrázky10</vt:lpstr>
      <vt:lpstr>obrázky11</vt:lpstr>
      <vt:lpstr>obrázky12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Duda Jaroslav, Mgr.</cp:lastModifiedBy>
  <cp:revision>4</cp:revision>
  <cp:lastPrinted>2022-07-09T09:16:57Z</cp:lastPrinted>
  <dcterms:created xsi:type="dcterms:W3CDTF">2022-06-13T12:17:50Z</dcterms:created>
  <dcterms:modified xsi:type="dcterms:W3CDTF">2023-12-05T16:28:22Z</dcterms:modified>
  <dc:language>cs-CZ</dc:language>
</cp:coreProperties>
</file>