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T51" i="371" l="1"/>
  <c r="U51" i="371" s="1"/>
  <c r="S51" i="371"/>
  <c r="V51" i="371" s="1"/>
  <c r="R51" i="371"/>
  <c r="Q51" i="371"/>
  <c r="U50" i="371"/>
  <c r="T50" i="371"/>
  <c r="V50" i="371" s="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U42" i="371"/>
  <c r="T42" i="371"/>
  <c r="V42" i="371" s="1"/>
  <c r="S42" i="371"/>
  <c r="R42" i="371"/>
  <c r="Q42" i="371"/>
  <c r="T41" i="371"/>
  <c r="U41" i="371" s="1"/>
  <c r="S41" i="371"/>
  <c r="V41" i="371" s="1"/>
  <c r="R41" i="371"/>
  <c r="Q41" i="371"/>
  <c r="U40" i="371"/>
  <c r="T40" i="371"/>
  <c r="V40" i="371" s="1"/>
  <c r="S40" i="371"/>
  <c r="R40" i="371"/>
  <c r="Q40" i="371"/>
  <c r="T39" i="371"/>
  <c r="U39" i="371" s="1"/>
  <c r="S39" i="371"/>
  <c r="V39" i="371" s="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U36" i="371"/>
  <c r="T36" i="371"/>
  <c r="V36" i="371" s="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T33" i="371"/>
  <c r="U33" i="371" s="1"/>
  <c r="S33" i="371"/>
  <c r="V33" i="371" s="1"/>
  <c r="R33" i="371"/>
  <c r="Q33" i="371"/>
  <c r="U32" i="371"/>
  <c r="T32" i="371"/>
  <c r="V32" i="371" s="1"/>
  <c r="S32" i="371"/>
  <c r="R32" i="371"/>
  <c r="Q32" i="371"/>
  <c r="V31" i="371"/>
  <c r="U31" i="371"/>
  <c r="T31" i="371"/>
  <c r="S31" i="371"/>
  <c r="R31" i="371"/>
  <c r="Q31" i="371"/>
  <c r="U30" i="371"/>
  <c r="T30" i="371"/>
  <c r="V30" i="371" s="1"/>
  <c r="S30" i="371"/>
  <c r="R30" i="371"/>
  <c r="Q30" i="371"/>
  <c r="T29" i="371"/>
  <c r="U29" i="371" s="1"/>
  <c r="S29" i="371"/>
  <c r="V29" i="371" s="1"/>
  <c r="R29" i="371"/>
  <c r="Q29" i="371"/>
  <c r="U28" i="371"/>
  <c r="T28" i="371"/>
  <c r="V28" i="371" s="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T25" i="371"/>
  <c r="U25" i="371" s="1"/>
  <c r="S25" i="371"/>
  <c r="V25" i="371" s="1"/>
  <c r="R25" i="371"/>
  <c r="Q25" i="371"/>
  <c r="U24" i="371"/>
  <c r="T24" i="371"/>
  <c r="V24" i="371" s="1"/>
  <c r="S24" i="371"/>
  <c r="R24" i="371"/>
  <c r="Q24" i="371"/>
  <c r="V23" i="371"/>
  <c r="U23" i="371"/>
  <c r="T23" i="371"/>
  <c r="S23" i="371"/>
  <c r="R23" i="371"/>
  <c r="Q23" i="371"/>
  <c r="U22" i="371"/>
  <c r="T22" i="371"/>
  <c r="V22" i="371" s="1"/>
  <c r="S22" i="371"/>
  <c r="R22" i="371"/>
  <c r="Q22" i="371"/>
  <c r="T21" i="371"/>
  <c r="U21" i="371" s="1"/>
  <c r="S21" i="371"/>
  <c r="V21" i="371" s="1"/>
  <c r="R21" i="371"/>
  <c r="Q21" i="371"/>
  <c r="U20" i="371"/>
  <c r="T20" i="371"/>
  <c r="V20" i="371" s="1"/>
  <c r="S20" i="371"/>
  <c r="R20" i="371"/>
  <c r="Q20" i="371"/>
  <c r="T19" i="371"/>
  <c r="U19" i="371" s="1"/>
  <c r="S19" i="371"/>
  <c r="V19" i="371" s="1"/>
  <c r="R19" i="371"/>
  <c r="Q19" i="371"/>
  <c r="U18" i="371"/>
  <c r="T18" i="371"/>
  <c r="V18" i="371" s="1"/>
  <c r="S18" i="371"/>
  <c r="R18" i="371"/>
  <c r="Q18" i="371"/>
  <c r="T17" i="371"/>
  <c r="U17" i="371" s="1"/>
  <c r="S17" i="371"/>
  <c r="V17" i="371" s="1"/>
  <c r="R17" i="371"/>
  <c r="Q17" i="371"/>
  <c r="V16" i="371"/>
  <c r="U16" i="371"/>
  <c r="T16" i="371"/>
  <c r="S16" i="371"/>
  <c r="R16" i="371"/>
  <c r="Q16" i="371"/>
  <c r="T15" i="371"/>
  <c r="U15" i="371" s="1"/>
  <c r="S15" i="371"/>
  <c r="V15" i="371" s="1"/>
  <c r="R15" i="371"/>
  <c r="Q15" i="371"/>
  <c r="V14" i="371"/>
  <c r="U14" i="371"/>
  <c r="T14" i="371"/>
  <c r="S14" i="371"/>
  <c r="R14" i="371"/>
  <c r="Q14" i="371"/>
  <c r="T13" i="371"/>
  <c r="U13" i="371" s="1"/>
  <c r="S13" i="371"/>
  <c r="V13" i="371" s="1"/>
  <c r="R13" i="371"/>
  <c r="Q13" i="371"/>
  <c r="V12" i="371"/>
  <c r="U12" i="371"/>
  <c r="T12" i="371"/>
  <c r="S12" i="371"/>
  <c r="R12" i="371"/>
  <c r="Q12" i="371"/>
  <c r="T11" i="371"/>
  <c r="U11" i="371" s="1"/>
  <c r="S11" i="371"/>
  <c r="V11" i="371" s="1"/>
  <c r="R11" i="371"/>
  <c r="Q11" i="371"/>
  <c r="U10" i="371"/>
  <c r="T10" i="371"/>
  <c r="V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U6" i="371"/>
  <c r="T6" i="371"/>
  <c r="V6" i="371" s="1"/>
  <c r="S6" i="371"/>
  <c r="R6" i="371"/>
  <c r="Q6" i="371"/>
  <c r="T5" i="371"/>
  <c r="U5" i="371" s="1"/>
  <c r="S5" i="371"/>
  <c r="V5" i="371" s="1"/>
  <c r="R5" i="371"/>
  <c r="Q5" i="371"/>
  <c r="A7" i="339" l="1"/>
  <c r="B3" i="418" l="1"/>
  <c r="L6" i="419" l="1"/>
  <c r="H6" i="419"/>
  <c r="C6" i="419"/>
  <c r="K6" i="419"/>
  <c r="G6" i="419"/>
  <c r="D6" i="419"/>
  <c r="J6" i="419"/>
  <c r="I6" i="419"/>
  <c r="E6" i="419"/>
  <c r="B6" i="419"/>
  <c r="F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D15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C21" i="414"/>
  <c r="D21" i="414"/>
  <c r="Q3" i="377" l="1"/>
  <c r="S3" i="347"/>
  <c r="F3" i="372"/>
  <c r="N3" i="372"/>
  <c r="C27" i="414"/>
  <c r="E27" i="414" s="1"/>
  <c r="F13" i="339"/>
  <c r="E13" i="339"/>
  <c r="E15" i="339" s="1"/>
  <c r="J3" i="372"/>
  <c r="H12" i="339"/>
  <c r="G12" i="339"/>
  <c r="K3" i="390"/>
  <c r="A11" i="383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15" i="414"/>
  <c r="D17" i="414"/>
  <c r="C4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<sst xmlns="http://schemas.openxmlformats.org/spreadsheetml/2006/main" count="12285" uniqueCount="3375">
  <si>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</si>
  <si>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</si>
  <si>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</si>
  <si>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</si>
  <si>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</si>
  <si>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</si>
  <si>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</si>
  <si>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</si>
  <si>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</si>
  <si>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</si>
  <si>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</si>
  <si>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</si>
  <si>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</si>
  <si>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</si>
  <si>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</si>
  <si>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</si>
  <si>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</si>
  <si>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</si>
  <si>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</si>
  <si>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</si>
  <si>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</si>
  <si>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</si>
  <si>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</si>
  <si>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</si>
  <si>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</si>
  <si>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</si>
  <si>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</si>
  <si>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</si>
  <si>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</si>
  <si>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</si>
  <si>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</si>
  <si>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</si>
  <si>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</si>
  <si>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</si>
  <si>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</si>
  <si>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</si>
  <si>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</si>
  <si>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</si>
  <si>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</si>
  <si>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</si>
  <si>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</si>
  <si>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</si>
  <si>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</si>
  <si>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</si>
  <si>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</si>
  <si>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</si>
  <si>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</si>
  <si>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</si>
  <si>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</si>
  <si>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</si>
  <si>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</si>
  <si>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</si>
  <si>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</si>
  <si>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</si>
  <si>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</si>
  <si>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</si>
  <si>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</si>
  <si>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</si>
  <si>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</si>
  <si>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</si>
  <si>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</si>
  <si>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</si>
  <si>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</si>
  <si>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</si>
  <si>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</si>
  <si>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</si>
  <si>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</si>
  <si>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</si>
  <si>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</si>
  <si>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</si>
  <si>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</si>
  <si>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</si>
  <si>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</si>
  <si>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</si>
  <si>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</si>
  <si>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</si>
  <si>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</si>
  <si>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</si>
  <si>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</si>
  <si>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</si>
  <si>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</si>
  <si>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</si>
  <si>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</si>
  <si>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</si>
  <si>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</si>
  <si>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</si>
  <si>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</si>
  <si>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</si>
  <si>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</si>
  <si>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</si>
  <si>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</si>
  <si>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</si>
  <si>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</si>
  <si>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</si>
  <si>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</si>
  <si>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</si>
  <si>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</si>
  <si>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</si>
  <si>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</si>
  <si>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</si>
  <si>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</si>
  <si>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</si>
  <si>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</si>
  <si>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</si>
  <si>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</si>
  <si>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</si>
  <si>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</si>
  <si>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</si>
  <si>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</si>
  <si>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</si>
  <si>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</si>
  <si>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</si>
  <si>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</si>
  <si>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</si>
  <si>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</si>
  <si>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</si>
  <si>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</si>
  <si>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</si>
  <si>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</si>
  <si>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</si>
  <si>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</si>
  <si>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</si>
  <si>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</si>
  <si>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</si>
  <si>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</si>
  <si>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</si>
  <si>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</si>
  <si>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</si>
  <si>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</si>
  <si>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</si>
  <si>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</si>
  <si>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</si>
  <si>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</si>
  <si>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</si>
  <si>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</si>
  <si>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</si>
  <si>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</si>
  <si>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</si>
  <si>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</si>
  <si>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</si>
  <si>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</si>
  <si>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</si>
  <si>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</si>
  <si>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</si>
  <si>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</si>
  <si>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</si>
  <si>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</si>
  <si>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</si>
  <si>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</si>
  <si>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</si>
  <si>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</si>
  <si>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</si>
  <si>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</si>
  <si>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</si>
  <si>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</si>
  <si>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</si>
  <si>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</si>
  <si>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</si>
  <si>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</si>
  <si>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</si>
  <si>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</si>
  <si>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</si>
  <si>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</si>
  <si>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</si>
  <si>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</si>
  <si>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</si>
  <si>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</si>
  <si>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</si>
  <si>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</si>
  <si>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</si>
  <si>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</si>
  <si>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</si>
  <si>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</si>
  <si>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</si>
  <si>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</si>
  <si>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</si>
  <si>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</si>
  <si>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</si>
  <si>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</si>
  <si>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</si>
  <si>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</si>
  <si>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</si>
  <si>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</si>
  <si>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</si>
  <si>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</si>
  <si>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</si>
  <si>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</si>
  <si>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</si>
  <si>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</si>
  <si>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</si>
  <si>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</si>
  <si>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</si>
  <si>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</si>
  <si>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</si>
  <si>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</si>
  <si>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</si>
  <si>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</si>
  <si>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</si>
  <si>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</si>
  <si>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</si>
  <si>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</si>
  <si>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</si>
  <si>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</si>
  <si>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</si>
  <si>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</si>
  <si>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</si>
  <si>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</si>
  <si>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</si>
  <si>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</si>
  <si>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</si>
  <si>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</si>
  <si>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</si>
  <si>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</si>
  <si>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</si>
  <si>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</si>
  <si>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</si>
  <si>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</si>
  <si>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</si>
  <si>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</si>
  <si>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</si>
  <si>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</si>
  <si>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</si>
  <si>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</si>
  <si>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</si>
  <si>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</si>
  <si>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</si>
  <si>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</si>
  <si>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</si>
  <si>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</si>
  <si>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</si>
  <si>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</si>
  <si>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</si>
  <si>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</si>
  <si>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</si>
  <si>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</si>
  <si>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</si>
  <si>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</si>
  <si>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</si>
  <si>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</si>
  <si>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* Legenda</t>
  </si>
  <si>
    <t>Dle vyhlášky optimum casemixu 97%, hospitalizace 93%</t>
  </si>
  <si>
    <t>333 - Cizinci</t>
  </si>
  <si>
    <t>Počet hospitalizací - případů DRG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</si>
  <si>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</si>
  <si>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</si>
  <si>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</si>
  <si>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</si>
  <si>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</si>
  <si>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</si>
  <si>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</si>
  <si>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</si>
  <si>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</si>
  <si>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</si>
  <si>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</si>
  <si>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</si>
  <si>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</si>
  <si>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</si>
  <si>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</si>
  <si>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</si>
  <si>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</si>
  <si>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</si>
  <si>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</si>
  <si>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</si>
  <si>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</si>
  <si>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</si>
  <si>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</si>
  <si>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</si>
  <si>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</si>
  <si>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</si>
  <si>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</si>
  <si>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</si>
  <si>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</si>
  <si>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</si>
  <si>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</si>
  <si>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</si>
  <si>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</si>
  <si>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</si>
  <si>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</si>
  <si>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</si>
  <si>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</si>
  <si>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</si>
  <si>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</si>
  <si>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</si>
  <si>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</si>
  <si>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</si>
  <si>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</si>
  <si>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</si>
  <si>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</si>
  <si>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</si>
  <si>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</si>
  <si>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</si>
  <si>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</si>
  <si>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</si>
  <si>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</si>
  <si>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</si>
  <si>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</si>
  <si>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</si>
  <si>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</si>
  <si>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</si>
  <si>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</si>
  <si>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</si>
  <si>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</si>
  <si>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</si>
  <si>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</si>
  <si>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</si>
  <si>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</si>
  <si>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</si>
  <si>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</si>
  <si>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</si>
  <si>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</si>
  <si>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</si>
  <si>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</si>
  <si>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50113009     léky - RTG diagnostika ZUL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</si>
  <si>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</si>
  <si>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</si>
  <si>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</si>
  <si>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</si>
  <si>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</si>
  <si>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</si>
  <si>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</si>
  <si>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</si>
  <si>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50115005     implant.umělé těl.náhr.-neurostim.(s.Z_511)</t>
  </si>
  <si>
    <t>50115006     implant.umělé těl.náhr.-neuromod.-DBS(s.Z_508)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</si>
  <si>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</si>
  <si>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</si>
  <si>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</si>
  <si>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</si>
  <si>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</si>
  <si>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</si>
  <si>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</si>
  <si>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</si>
  <si>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</si>
  <si>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</si>
  <si>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</si>
  <si>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</si>
  <si>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</si>
  <si>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</si>
  <si>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</si>
  <si>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</si>
  <si>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</si>
  <si>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</si>
  <si>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</si>
  <si>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</si>
  <si>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</si>
  <si>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</si>
  <si>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</si>
  <si>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</si>
  <si>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</si>
  <si>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</si>
  <si>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</si>
  <si>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</si>
  <si>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</si>
  <si>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</si>
  <si>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</si>
  <si>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</si>
  <si>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</si>
  <si>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</si>
  <si>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</si>
  <si>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</si>
  <si>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</si>
  <si>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</si>
  <si>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</si>
  <si>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</si>
  <si>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</si>
  <si>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</si>
  <si>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</si>
  <si>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</si>
  <si>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</si>
  <si>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</si>
  <si>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</si>
  <si>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</si>
  <si>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</si>
  <si>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</si>
  <si>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</si>
  <si>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</si>
  <si>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</si>
  <si>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</si>
  <si>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</si>
  <si>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</si>
  <si>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</si>
  <si>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</si>
  <si>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</si>
  <si>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</si>
  <si>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</si>
  <si>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</si>
  <si>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</si>
  <si>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</si>
  <si>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</si>
  <si>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</si>
  <si>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</si>
  <si>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</si>
  <si>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</si>
  <si>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</si>
  <si>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</si>
  <si>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</si>
  <si>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</si>
  <si>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</si>
  <si>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</si>
  <si>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</si>
  <si>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</si>
  <si>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</si>
  <si>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</si>
  <si>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</si>
  <si>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</si>
  <si>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</si>
  <si>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</si>
  <si>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</si>
  <si>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</si>
  <si>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</si>
  <si>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</si>
  <si>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</si>
  <si>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</si>
  <si>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</si>
  <si>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</si>
  <si>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</si>
  <si>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</si>
  <si>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</si>
  <si>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</si>
  <si>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</si>
  <si>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</si>
  <si>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</si>
  <si>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</si>
  <si>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</si>
  <si>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</si>
  <si>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</si>
  <si>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</si>
  <si>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</si>
  <si>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</si>
  <si>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</si>
  <si>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</si>
  <si>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</si>
  <si>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</si>
  <si>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</si>
  <si>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</si>
  <si>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</si>
  <si>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</si>
  <si>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</si>
  <si>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</si>
  <si>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</si>
  <si>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</si>
  <si>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</si>
  <si>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</si>
  <si>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</si>
  <si>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</si>
  <si>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</si>
  <si>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</si>
  <si>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</si>
  <si>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</si>
  <si>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</si>
  <si>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</si>
  <si>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</si>
  <si>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</si>
  <si>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</si>
  <si>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</si>
  <si>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</si>
  <si>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</si>
  <si>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</si>
  <si>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</si>
  <si>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</si>
  <si>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</si>
  <si>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</si>
  <si>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</si>
  <si>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</si>
  <si>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</si>
  <si>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</si>
  <si>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</si>
  <si>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</si>
  <si>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</si>
  <si>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</si>
  <si>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</si>
  <si>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</si>
  <si>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</si>
  <si>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</si>
  <si>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</si>
  <si>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</si>
  <si>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</si>
  <si>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</si>
  <si>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</si>
  <si>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</si>
  <si>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</si>
  <si>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</si>
  <si>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</si>
  <si>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</si>
  <si>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</si>
  <si>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</si>
  <si>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</si>
  <si>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</si>
  <si>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</si>
  <si>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</si>
  <si>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</si>
  <si>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</si>
  <si>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</si>
  <si>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</si>
  <si>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</si>
  <si>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</si>
  <si>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</si>
  <si>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</si>
  <si>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</si>
  <si>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</si>
  <si>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</si>
  <si>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</si>
  <si>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</si>
  <si>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</si>
  <si>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</si>
  <si>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</si>
  <si>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</si>
  <si>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</si>
  <si>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06</t>
  </si>
  <si>
    <t/>
  </si>
  <si>
    <t>Neurochirurgická klinika</t>
  </si>
  <si>
    <t>50113001</t>
  </si>
  <si>
    <t>Lékárna - léčiva</t>
  </si>
  <si>
    <t>50113006</t>
  </si>
  <si>
    <t>Lékárna - enterární výživa</t>
  </si>
  <si>
    <t>50113008</t>
  </si>
  <si>
    <t>393 TO krevní deriváty IVLP (112 01 003)</t>
  </si>
  <si>
    <t>50113009</t>
  </si>
  <si>
    <t>Lékárna - RTG diagnostika</t>
  </si>
  <si>
    <t>50113013</t>
  </si>
  <si>
    <t>Lékárna - antibiotika</t>
  </si>
  <si>
    <t>50113014</t>
  </si>
  <si>
    <t>Lékárna - antimykotika</t>
  </si>
  <si>
    <t>SumaKL</t>
  </si>
  <si>
    <t>0611</t>
  </si>
  <si>
    <t>Neurochirurgická klinika, lůžkové oddělení 34</t>
  </si>
  <si>
    <t>SumaNS</t>
  </si>
  <si>
    <t>mezeraNS</t>
  </si>
  <si>
    <t>0612</t>
  </si>
  <si>
    <t>Neurochirurgická klinika, lůžkové oddělení 36</t>
  </si>
  <si>
    <t>0621</t>
  </si>
  <si>
    <t>Neurochirurgická klinika, ambulance</t>
  </si>
  <si>
    <t>0631</t>
  </si>
  <si>
    <t>Neurochirurgická klinika, JIP</t>
  </si>
  <si>
    <t>0662</t>
  </si>
  <si>
    <t>Neurochirurgická klinika, operační sál - lokální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</si>
  <si>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</si>
  <si>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</si>
  <si>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</si>
  <si>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</si>
  <si>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</si>
  <si>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</si>
  <si>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</si>
  <si>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</si>
  <si>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</si>
  <si>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</si>
  <si>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</si>
  <si>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100498</t>
  </si>
  <si>
    <t>498</t>
  </si>
  <si>
    <t>MAGNESIUM SULFURICUM BIOTIKA</t>
  </si>
  <si>
    <t>INJ 5X10ML 10%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</si>
  <si>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</si>
  <si>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</si>
  <si>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</si>
  <si>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</si>
  <si>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</si>
  <si>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</si>
  <si>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</si>
  <si>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102478</t>
  </si>
  <si>
    <t>2478</t>
  </si>
  <si>
    <t>DIAZEPAM SLOVAKOFARMA</t>
  </si>
  <si>
    <t>TBL 20X10MG</t>
  </si>
  <si>
    <t>103550</t>
  </si>
  <si>
    <t>3550</t>
  </si>
  <si>
    <t>VEROSPIRON</t>
  </si>
  <si>
    <t>TBL 20X25MG</t>
  </si>
  <si>
    <t>103575</t>
  </si>
  <si>
    <t>3575</t>
  </si>
  <si>
    <t>HEPAROID LECIVA</t>
  </si>
  <si>
    <t>UNG 1X30GM</t>
  </si>
  <si>
    <t>107981</t>
  </si>
  <si>
    <t>7981</t>
  </si>
  <si>
    <t>NOVALGIN</t>
  </si>
  <si>
    <t>INJ 10X2ML/1000MG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</si>
  <si>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</si>
  <si>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</si>
  <si>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</si>
  <si>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</si>
  <si>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</si>
  <si>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</si>
  <si>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</si>
  <si>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</si>
  <si>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114957</t>
  </si>
  <si>
    <t>14957</t>
  </si>
  <si>
    <t>RIVOTRIL 0.5 MG</t>
  </si>
  <si>
    <t>TBL 50X0.5MG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</si>
  <si>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</si>
  <si>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</si>
  <si>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</si>
  <si>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</si>
  <si>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</si>
  <si>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</si>
  <si>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</si>
  <si>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144305</t>
  </si>
  <si>
    <t>44305</t>
  </si>
  <si>
    <t>EUPHYLLIN CR N 200</t>
  </si>
  <si>
    <t>CPS RET 50X200MG</t>
  </si>
  <si>
    <t>147193</t>
  </si>
  <si>
    <t>47193</t>
  </si>
  <si>
    <t>HUMULIN R 100 M.J./ML</t>
  </si>
  <si>
    <t>INJ 1X10ML/1KU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</si>
  <si>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</si>
  <si>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</si>
  <si>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</si>
  <si>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</si>
  <si>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</si>
  <si>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</si>
  <si>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</si>
  <si>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</si>
  <si>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</si>
  <si>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</si>
  <si>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</si>
  <si>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</si>
  <si>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</si>
  <si>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</si>
  <si>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</si>
  <si>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162320</t>
  </si>
  <si>
    <t>62320</t>
  </si>
  <si>
    <t>BETADINE</t>
  </si>
  <si>
    <t>UNG 1X20GM</t>
  </si>
  <si>
    <t>184090</t>
  </si>
  <si>
    <t>84090</t>
  </si>
  <si>
    <t>DEXAMED</t>
  </si>
  <si>
    <t>INJ 10X2ML/8MG</t>
  </si>
  <si>
    <t>191836</t>
  </si>
  <si>
    <t>91836</t>
  </si>
  <si>
    <t>TORECAN</t>
  </si>
  <si>
    <t>INJ 5X1ML/6.5MG</t>
  </si>
  <si>
    <t>193104</t>
  </si>
  <si>
    <t>93104</t>
  </si>
  <si>
    <t>DEGAN</t>
  </si>
  <si>
    <t>TBL 40X10MG</t>
  </si>
  <si>
    <t>198219</t>
  </si>
  <si>
    <t>98219</t>
  </si>
  <si>
    <t>FURON</t>
  </si>
  <si>
    <t>TBL 50X40MG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</si>
  <si>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</si>
  <si>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</si>
  <si>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</si>
  <si>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</si>
  <si>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</si>
  <si>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</si>
  <si>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845008</t>
  </si>
  <si>
    <t>107806</t>
  </si>
  <si>
    <t>AESCIN-TEVA</t>
  </si>
  <si>
    <t>POR TBL FLM 30X20MG</t>
  </si>
  <si>
    <t>845758</t>
  </si>
  <si>
    <t>280</t>
  </si>
  <si>
    <t>PYRIDOXIN LÉČIVA TBL</t>
  </si>
  <si>
    <t xml:space="preserve">POR TBL NOB 20X20MG </t>
  </si>
  <si>
    <t>846338</t>
  </si>
  <si>
    <t>122685</t>
  </si>
  <si>
    <t>PRESTARIUM NEO COMBI 5mg/1,25mg</t>
  </si>
  <si>
    <t>POR TBL FLM 30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</si>
  <si>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</si>
  <si>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</si>
  <si>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</si>
  <si>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</si>
  <si>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</si>
  <si>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</si>
  <si>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</si>
  <si>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</si>
  <si>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905097</t>
  </si>
  <si>
    <t>23987</t>
  </si>
  <si>
    <t>DZ OCTENISEPT 250 ml</t>
  </si>
  <si>
    <t>DPH 15%</t>
  </si>
  <si>
    <t>100489</t>
  </si>
  <si>
    <t>489</t>
  </si>
  <si>
    <t>KANAVIT</t>
  </si>
  <si>
    <t>INJ 5X1ML/10MG</t>
  </si>
  <si>
    <t>100811</t>
  </si>
  <si>
    <t>811</t>
  </si>
  <si>
    <t>SANORIN</t>
  </si>
  <si>
    <t>LIQ 10ML 0.05%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</si>
  <si>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</si>
  <si>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</si>
  <si>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</si>
  <si>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</si>
  <si>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</si>
  <si>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</si>
  <si>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</si>
  <si>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</si>
  <si>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118305</t>
  </si>
  <si>
    <t>18305</t>
  </si>
  <si>
    <t>RINGERFUNDIN B.BRAUN</t>
  </si>
  <si>
    <t>INF SOL10X1000ML PE</t>
  </si>
  <si>
    <t>146991</t>
  </si>
  <si>
    <t>46991</t>
  </si>
  <si>
    <t>IMODIUM</t>
  </si>
  <si>
    <t>CPS 20X2MG</t>
  </si>
  <si>
    <t>155824</t>
  </si>
  <si>
    <t>55824</t>
  </si>
  <si>
    <t>INJ 5X5ML/2500MG</t>
  </si>
  <si>
    <t>190991</t>
  </si>
  <si>
    <t>90991</t>
  </si>
  <si>
    <t>BROMHEXIN 8</t>
  </si>
  <si>
    <t>GTT 20ML 8MG/ML</t>
  </si>
  <si>
    <t>102684</t>
  </si>
  <si>
    <t>2684</t>
  </si>
  <si>
    <t>MESOCAIN</t>
  </si>
  <si>
    <t>GEL 1X20GM</t>
  </si>
  <si>
    <t>841550</t>
  </si>
  <si>
    <t>Emspoma Z 300 ml/proti bolesti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</si>
  <si>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</si>
  <si>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</si>
  <si>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</si>
  <si>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</si>
  <si>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</si>
  <si>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</si>
  <si>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</si>
  <si>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</si>
  <si>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176205</t>
  </si>
  <si>
    <t>180825</t>
  </si>
  <si>
    <t>HYDROCORTISON 10MG</t>
  </si>
  <si>
    <t>108499</t>
  </si>
  <si>
    <t>8499</t>
  </si>
  <si>
    <t>DIPIDOLOR</t>
  </si>
  <si>
    <t>INJ 5X2ML 7.5MG/ML</t>
  </si>
  <si>
    <t>169743</t>
  </si>
  <si>
    <t>69743</t>
  </si>
  <si>
    <t>ARDEAOSMOSOL MA 15 (Mannitol)</t>
  </si>
  <si>
    <t>INF 1X80ML</t>
  </si>
  <si>
    <t>840155</t>
  </si>
  <si>
    <t>Vincentka nosní sprej  25ml (30ml)</t>
  </si>
  <si>
    <t>900493</t>
  </si>
  <si>
    <t>KL SUPP.BISACODYLI 0,01G  30KS</t>
  </si>
  <si>
    <t>920200</t>
  </si>
  <si>
    <t>DZ BRAUNOL 1 L</t>
  </si>
  <si>
    <t>846116</t>
  </si>
  <si>
    <t>125226</t>
  </si>
  <si>
    <t>NORETHISTERON ZENTIVA</t>
  </si>
  <si>
    <t>POR TBL NOB 30X5MG</t>
  </si>
  <si>
    <t>187906</t>
  </si>
  <si>
    <t>87906</t>
  </si>
  <si>
    <t>KORYLAN</t>
  </si>
  <si>
    <t>TBL 10</t>
  </si>
  <si>
    <t>196620</t>
  </si>
  <si>
    <t>96620</t>
  </si>
  <si>
    <t>BISACODYL</t>
  </si>
  <si>
    <t>DRG 105X5MG</t>
  </si>
  <si>
    <t>843067</t>
  </si>
  <si>
    <t>KL SUPP.BISACODYLI 0,01G  40KS</t>
  </si>
  <si>
    <t>380759</t>
  </si>
  <si>
    <t>80759</t>
  </si>
  <si>
    <t>OPSITE SPRAY 240 ML</t>
  </si>
  <si>
    <t>TRANSPARENTNÍ FILM</t>
  </si>
  <si>
    <t>844547</t>
  </si>
  <si>
    <t>107143</t>
  </si>
  <si>
    <t>OTIPAX</t>
  </si>
  <si>
    <t>AUR GTT SOL 1X16GM</t>
  </si>
  <si>
    <t>989039</t>
  </si>
  <si>
    <t>Menalind Profess.čist.pěna 400ml+čist.těl.ml.500ml</t>
  </si>
  <si>
    <t>P</t>
  </si>
  <si>
    <t>132087</t>
  </si>
  <si>
    <t>32087</t>
  </si>
  <si>
    <t>TRALGIT 100 INJ</t>
  </si>
  <si>
    <t>INJ SOL 5X2ML/100MG</t>
  </si>
  <si>
    <t>154316</t>
  </si>
  <si>
    <t>54316</t>
  </si>
  <si>
    <t>FRAXIPARIN MULTI</t>
  </si>
  <si>
    <t>INJ 10X5ML/47.5KU</t>
  </si>
  <si>
    <t>159671</t>
  </si>
  <si>
    <t>59671</t>
  </si>
  <si>
    <t>TRALGIT SR 100</t>
  </si>
  <si>
    <t>POR TBL RET10X100MG</t>
  </si>
  <si>
    <t>191280</t>
  </si>
  <si>
    <t>91280</t>
  </si>
  <si>
    <t>RANITAL</t>
  </si>
  <si>
    <t>TBL 30X150MG</t>
  </si>
  <si>
    <t>193969</t>
  </si>
  <si>
    <t>93969</t>
  </si>
  <si>
    <t>INJ 5X2ML/50MG</t>
  </si>
  <si>
    <t>112891</t>
  </si>
  <si>
    <t>12891</t>
  </si>
  <si>
    <t>AULIN</t>
  </si>
  <si>
    <t>TBL 15X100MG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</si>
  <si>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</si>
  <si>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</si>
  <si>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</si>
  <si>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</si>
  <si>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</si>
  <si>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</si>
  <si>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</si>
  <si>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</si>
  <si>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</si>
  <si>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</si>
  <si>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</si>
  <si>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</si>
  <si>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132058</t>
  </si>
  <si>
    <t>32058</t>
  </si>
  <si>
    <t>FRAXIPARINE</t>
  </si>
  <si>
    <t>INJ SOL 10X0.3ML</t>
  </si>
  <si>
    <t>132059</t>
  </si>
  <si>
    <t>32059</t>
  </si>
  <si>
    <t>INJ SOL 10X0.4ML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</si>
  <si>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</si>
  <si>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</si>
  <si>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</si>
  <si>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</si>
  <si>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</si>
  <si>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</si>
  <si>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</si>
  <si>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</si>
  <si>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</si>
  <si>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</si>
  <si>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</si>
  <si>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</si>
  <si>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</si>
  <si>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</si>
  <si>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</si>
  <si>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</si>
  <si>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</si>
  <si>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</si>
  <si>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</si>
  <si>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</si>
  <si>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</si>
  <si>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</si>
  <si>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</si>
  <si>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</si>
  <si>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</si>
  <si>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</si>
  <si>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</si>
  <si>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</si>
  <si>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153202</t>
  </si>
  <si>
    <t>53202</t>
  </si>
  <si>
    <t>CIPHIN 500</t>
  </si>
  <si>
    <t>TBL OBD 10X500MG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</si>
  <si>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</si>
  <si>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</si>
  <si>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</si>
  <si>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</si>
  <si>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</si>
  <si>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</si>
  <si>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</si>
  <si>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</si>
  <si>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100362</t>
  </si>
  <si>
    <t>362</t>
  </si>
  <si>
    <t>ADRENALIN LECIVA</t>
  </si>
  <si>
    <t>INJ 5X1ML/1MG</t>
  </si>
  <si>
    <t>100527</t>
  </si>
  <si>
    <t>527</t>
  </si>
  <si>
    <t>NATRIUM SALICYLICUM BIOTIKA</t>
  </si>
  <si>
    <t>INJ 10X10ML 10%</t>
  </si>
  <si>
    <t>102679</t>
  </si>
  <si>
    <t>2679</t>
  </si>
  <si>
    <t>BERODUAL N</t>
  </si>
  <si>
    <t>INH SOL PSS 200DÁV</t>
  </si>
  <si>
    <t>156351</t>
  </si>
  <si>
    <t>56351</t>
  </si>
  <si>
    <t>PULMORAN</t>
  </si>
  <si>
    <t>158249</t>
  </si>
  <si>
    <t>58249</t>
  </si>
  <si>
    <t>GUAJACURAN « 5 % INJ</t>
  </si>
  <si>
    <t>164881</t>
  </si>
  <si>
    <t>64881</t>
  </si>
  <si>
    <t>BEROTEC N 100 MCG</t>
  </si>
  <si>
    <t>INH SOL PSS200 DAV</t>
  </si>
  <si>
    <t>176650</t>
  </si>
  <si>
    <t>76650</t>
  </si>
  <si>
    <t>AFONILUM SR 250MG</t>
  </si>
  <si>
    <t>CPS 50X250MG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</si>
  <si>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</si>
  <si>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</si>
  <si>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</si>
  <si>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</si>
  <si>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</si>
  <si>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</si>
  <si>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</si>
  <si>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</si>
  <si>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</si>
  <si>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</si>
  <si>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</si>
  <si>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</si>
  <si>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</si>
  <si>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</si>
  <si>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</si>
  <si>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</si>
  <si>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194292</t>
  </si>
  <si>
    <t>94292</t>
  </si>
  <si>
    <t>ZOLPIDEM-RATIOPHARM 10 MG</t>
  </si>
  <si>
    <t>POR TBL FLM 20X10MG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</si>
  <si>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</si>
  <si>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</si>
  <si>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</si>
  <si>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</si>
  <si>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</si>
  <si>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</si>
  <si>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</si>
  <si>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</si>
  <si>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395210</t>
  </si>
  <si>
    <t>Aqua Touch Jelly 25x6ml</t>
  </si>
  <si>
    <t>395997</t>
  </si>
  <si>
    <t>DZ SOFTASEPT N BEZBARVÝ 250 ml</t>
  </si>
  <si>
    <t>841059</t>
  </si>
  <si>
    <t>Indulona olivová ung.100g</t>
  </si>
  <si>
    <t>848866</t>
  </si>
  <si>
    <t>119654</t>
  </si>
  <si>
    <t>SORBIFER DURULES</t>
  </si>
  <si>
    <t>POR TBL FLM 100X100MG</t>
  </si>
  <si>
    <t>849941</t>
  </si>
  <si>
    <t>162142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</si>
  <si>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</si>
  <si>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</si>
  <si>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</si>
  <si>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</si>
  <si>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</si>
  <si>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</si>
  <si>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</si>
  <si>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</si>
  <si>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POR TBL NOB 28</t>
  </si>
  <si>
    <t>850642</t>
  </si>
  <si>
    <t>169673</t>
  </si>
  <si>
    <t>CALTRATE PLUS</t>
  </si>
  <si>
    <t>988466</t>
  </si>
  <si>
    <t>192729</t>
  </si>
  <si>
    <t>NO-SPA</t>
  </si>
  <si>
    <t>POR TBL NOB 24X40MG</t>
  </si>
  <si>
    <t>159357</t>
  </si>
  <si>
    <t>59357</t>
  </si>
  <si>
    <t>RINGERUV ROZTOK BRAUN</t>
  </si>
  <si>
    <t>INF 10X500ML(LDPE)</t>
  </si>
  <si>
    <t>197698</t>
  </si>
  <si>
    <t>97698</t>
  </si>
  <si>
    <t>PENTOMER RETARD 400MG</t>
  </si>
  <si>
    <t>TBL OBD 20X400MG</t>
  </si>
  <si>
    <t>841541</t>
  </si>
  <si>
    <t>MENALIND Mycí emulze 500ml</t>
  </si>
  <si>
    <t>849034</t>
  </si>
  <si>
    <t>Emspoma M 200ml/chladivá tuba</t>
  </si>
  <si>
    <t>102587</t>
  </si>
  <si>
    <t>2587</t>
  </si>
  <si>
    <t>GLUKÓZA 40 BRAUN</t>
  </si>
  <si>
    <t>INF 20X10ML-PLA.AMP</t>
  </si>
  <si>
    <t>849045</t>
  </si>
  <si>
    <t>155938</t>
  </si>
  <si>
    <t>HERPESIN 200</t>
  </si>
  <si>
    <t>POR TBL NOB 25X200MG</t>
  </si>
  <si>
    <t>930661</t>
  </si>
  <si>
    <t>KL AQUA PURIF. BAG IN BOX 5 l</t>
  </si>
  <si>
    <t>140274</t>
  </si>
  <si>
    <t>40274</t>
  </si>
  <si>
    <t>BACLOFEN</t>
  </si>
  <si>
    <t>TBL 50X10MG</t>
  </si>
  <si>
    <t>111243</t>
  </si>
  <si>
    <t>11243</t>
  </si>
  <si>
    <t>GERATAM 1200</t>
  </si>
  <si>
    <t>TBL OBD 100X1200MG</t>
  </si>
  <si>
    <t>187000</t>
  </si>
  <si>
    <t>87000</t>
  </si>
  <si>
    <t>ARDEAOSMOSOL MA 20 (Mannitol)</t>
  </si>
  <si>
    <t>INF 1X200ML</t>
  </si>
  <si>
    <t>146475</t>
  </si>
  <si>
    <t>46475</t>
  </si>
  <si>
    <t>DILCEREN PRO INFUSIONE</t>
  </si>
  <si>
    <t>INF 1X50ML/10MG</t>
  </si>
  <si>
    <t>188860</t>
  </si>
  <si>
    <t>88860</t>
  </si>
  <si>
    <t>NIMOTOP S</t>
  </si>
  <si>
    <t>POR TBL FLM 100X30MG</t>
  </si>
  <si>
    <t>920362</t>
  </si>
  <si>
    <t>KL SOL.BORGLYCEROLI 3% 1000 G</t>
  </si>
  <si>
    <t>105693</t>
  </si>
  <si>
    <t>5693</t>
  </si>
  <si>
    <t>MAALOX</t>
  </si>
  <si>
    <t>CTB 40</t>
  </si>
  <si>
    <t>1673</t>
  </si>
  <si>
    <t>INJ SOL 100X2ML/8MG</t>
  </si>
  <si>
    <t>194169</t>
  </si>
  <si>
    <t>94169</t>
  </si>
  <si>
    <t>PLENDIL</t>
  </si>
  <si>
    <t>TBL FC 30X5MG</t>
  </si>
  <si>
    <t>921522</t>
  </si>
  <si>
    <t>KL CPS DEXAMETHASON 1MG 30 cps</t>
  </si>
  <si>
    <t>112892</t>
  </si>
  <si>
    <t>12892</t>
  </si>
  <si>
    <t>TBL 30X100MG</t>
  </si>
  <si>
    <t>115316</t>
  </si>
  <si>
    <t>15316</t>
  </si>
  <si>
    <t>LOZAP H</t>
  </si>
  <si>
    <t>156981</t>
  </si>
  <si>
    <t>56981</t>
  </si>
  <si>
    <t>TRITACE 5</t>
  </si>
  <si>
    <t>TBL 30X5MG</t>
  </si>
  <si>
    <t>159672</t>
  </si>
  <si>
    <t>59672</t>
  </si>
  <si>
    <t>POR TBL RET30X100MG</t>
  </si>
  <si>
    <t>159808</t>
  </si>
  <si>
    <t>59808</t>
  </si>
  <si>
    <t>FRAXIPARINE FORTE</t>
  </si>
  <si>
    <t>INJ 10X0.8ML/15.2KU</t>
  </si>
  <si>
    <t>184399</t>
  </si>
  <si>
    <t>84399</t>
  </si>
  <si>
    <t>NEURONTIN 300MG</t>
  </si>
  <si>
    <t>CPS 50X300MG</t>
  </si>
  <si>
    <t>844554</t>
  </si>
  <si>
    <t>114065</t>
  </si>
  <si>
    <t>LOZAP 50 ZENTIVA</t>
  </si>
  <si>
    <t>POR TBL FLM 30X50MG</t>
  </si>
  <si>
    <t>847488</t>
  </si>
  <si>
    <t>107869</t>
  </si>
  <si>
    <t>APO-ALLOPURINOL</t>
  </si>
  <si>
    <t>POR TBL NOB 100X100MG</t>
  </si>
  <si>
    <t>850124</t>
  </si>
  <si>
    <t>125082</t>
  </si>
  <si>
    <t>APO-SIMVA 20</t>
  </si>
  <si>
    <t>153951</t>
  </si>
  <si>
    <t>53951</t>
  </si>
  <si>
    <t>ZOLOFT 100MG</t>
  </si>
  <si>
    <t>TBL OBD 28X100MG</t>
  </si>
  <si>
    <t>117431</t>
  </si>
  <si>
    <t>17431</t>
  </si>
  <si>
    <t>CITALEC 20 ZENTIVA</t>
  </si>
  <si>
    <t>POR TBL FLM30X20MG</t>
  </si>
  <si>
    <t>158893</t>
  </si>
  <si>
    <t>58893</t>
  </si>
  <si>
    <t>XALATAN</t>
  </si>
  <si>
    <t>GTT OPH 1X2.5ML</t>
  </si>
  <si>
    <t>101076</t>
  </si>
  <si>
    <t>1076</t>
  </si>
  <si>
    <t>OPHTHALMO-FRAMYKOIN</t>
  </si>
  <si>
    <t>117149</t>
  </si>
  <si>
    <t>17149</t>
  </si>
  <si>
    <t>POR TBL FLM12X375MG</t>
  </si>
  <si>
    <t>162496</t>
  </si>
  <si>
    <t>TAZIP 4 G/0,5 G</t>
  </si>
  <si>
    <t>INJ+INF PLV SOL 10X4,5GM</t>
  </si>
  <si>
    <t>153853</t>
  </si>
  <si>
    <t>53853</t>
  </si>
  <si>
    <t>KLACID 500</t>
  </si>
  <si>
    <t>TBL OBD 14X500MG</t>
  </si>
  <si>
    <t>172972</t>
  </si>
  <si>
    <t>72972</t>
  </si>
  <si>
    <t>AMOKSIKLAV 1.2GM</t>
  </si>
  <si>
    <t>INJ SIC 5X1.2GM</t>
  </si>
  <si>
    <t>166137</t>
  </si>
  <si>
    <t>66137</t>
  </si>
  <si>
    <t>OFLOXIN INF</t>
  </si>
  <si>
    <t>INF 1X100ML/200MG</t>
  </si>
  <si>
    <t>108808</t>
  </si>
  <si>
    <t>8808</t>
  </si>
  <si>
    <t>DALACIN C</t>
  </si>
  <si>
    <t>INJ SOL 1X6ML/900MG</t>
  </si>
  <si>
    <t>900007</t>
  </si>
  <si>
    <t>KL SOL.HYD.PEROX.3% 100G</t>
  </si>
  <si>
    <t>51383</t>
  </si>
  <si>
    <t>INF SOL 10X500MLPELAH</t>
  </si>
  <si>
    <t>100502</t>
  </si>
  <si>
    <t>502</t>
  </si>
  <si>
    <t>INJ 10X10ML 1%</t>
  </si>
  <si>
    <t>100610</t>
  </si>
  <si>
    <t>610</t>
  </si>
  <si>
    <t>SYNTOPHYLLIN</t>
  </si>
  <si>
    <t>INJ 5X10ML/240MG</t>
  </si>
  <si>
    <t>100835</t>
  </si>
  <si>
    <t>835</t>
  </si>
  <si>
    <t>CALCIUM PANTHOTEN. SLOVAKOFARMA</t>
  </si>
  <si>
    <t>100843</t>
  </si>
  <si>
    <t>843</t>
  </si>
  <si>
    <t>DERMAZULEN</t>
  </si>
  <si>
    <t>102133</t>
  </si>
  <si>
    <t>2133</t>
  </si>
  <si>
    <t>FUROSEMID BIOTIKA</t>
  </si>
  <si>
    <t>INJ 5X2ML/20MG</t>
  </si>
  <si>
    <t>102477</t>
  </si>
  <si>
    <t>2477</t>
  </si>
  <si>
    <t>TBL 20X5MG</t>
  </si>
  <si>
    <t>104307</t>
  </si>
  <si>
    <t>4307</t>
  </si>
  <si>
    <t>NITRO POHL INFUS.</t>
  </si>
  <si>
    <t>INF 10X10ML/10MG</t>
  </si>
  <si>
    <t>116439</t>
  </si>
  <si>
    <t>16439</t>
  </si>
  <si>
    <t>LOMIR SRO</t>
  </si>
  <si>
    <t>POR CPS PRO 30X5MG</t>
  </si>
  <si>
    <t>118304</t>
  </si>
  <si>
    <t>18304</t>
  </si>
  <si>
    <t>INF SOL 10X500ML PE</t>
  </si>
  <si>
    <t>125365</t>
  </si>
  <si>
    <t>25365</t>
  </si>
  <si>
    <t>POR CPS ETD 28X20MG</t>
  </si>
  <si>
    <t>126578</t>
  </si>
  <si>
    <t>26578</t>
  </si>
  <si>
    <t>MICARDISPLUS 80/12.5 MG</t>
  </si>
  <si>
    <t>148578</t>
  </si>
  <si>
    <t>48578</t>
  </si>
  <si>
    <t>TIAPRIDAL</t>
  </si>
  <si>
    <t>POR TBLNOB 50X100MG</t>
  </si>
  <si>
    <t>176064</t>
  </si>
  <si>
    <t>76064</t>
  </si>
  <si>
    <t>ACIDUM FOLICUM LECIVA</t>
  </si>
  <si>
    <t>DRG 30X10MG</t>
  </si>
  <si>
    <t>182952</t>
  </si>
  <si>
    <t>82952</t>
  </si>
  <si>
    <t>QUAMATEL</t>
  </si>
  <si>
    <t>INJ SIC 5X20MG+SOLV</t>
  </si>
  <si>
    <t>183974</t>
  </si>
  <si>
    <t>83974</t>
  </si>
  <si>
    <t>BETALOC</t>
  </si>
  <si>
    <t>INJ 5X5ML/5MG</t>
  </si>
  <si>
    <t>188217</t>
  </si>
  <si>
    <t>88217</t>
  </si>
  <si>
    <t>TBL 30X1.5MG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</si>
  <si>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</si>
  <si>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</si>
  <si>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</si>
  <si>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</si>
  <si>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</si>
  <si>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</si>
  <si>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</si>
  <si>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</si>
  <si>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</si>
  <si>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</si>
  <si>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</si>
  <si>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</si>
  <si>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</si>
  <si>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</si>
  <si>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</si>
  <si>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773465</t>
  </si>
  <si>
    <t>Indulona Rakytníková</t>
  </si>
  <si>
    <t>841535</t>
  </si>
  <si>
    <t>MENALIND Kožní ochranný krém 200 ml</t>
  </si>
  <si>
    <t>844960</t>
  </si>
  <si>
    <t>125114</t>
  </si>
  <si>
    <t>ANOPYRIN 100MG</t>
  </si>
  <si>
    <t>TBL 60X100 MG</t>
  </si>
  <si>
    <t>848632</t>
  </si>
  <si>
    <t>125315</t>
  </si>
  <si>
    <t>INJ SOL 12X2ML/100MG</t>
  </si>
  <si>
    <t>848793</t>
  </si>
  <si>
    <t>Emspoma U mas.eml základní 300g</t>
  </si>
  <si>
    <t>850010</t>
  </si>
  <si>
    <t>149543</t>
  </si>
  <si>
    <t>CLOPIDOGREL APOTEX 75 MG</t>
  </si>
  <si>
    <t>POR TBL FLM 30X75MG</t>
  </si>
  <si>
    <t>930065</t>
  </si>
  <si>
    <t>DZ PRONTOSAN ROZTOK 350ml</t>
  </si>
  <si>
    <t>987465</t>
  </si>
  <si>
    <t>Menalind vlhké ošetř.ubrousky 50ks náhradní náplň</t>
  </si>
  <si>
    <t>51384</t>
  </si>
  <si>
    <t>INF SOL 10X1000MLPLAH</t>
  </si>
  <si>
    <t>100513</t>
  </si>
  <si>
    <t>513</t>
  </si>
  <si>
    <t>NATRIUM CHLORATUM BIOTIKA 10%</t>
  </si>
  <si>
    <t>100536</t>
  </si>
  <si>
    <t>536</t>
  </si>
  <si>
    <t>NORADRENALIN LECIVA</t>
  </si>
  <si>
    <t>102546</t>
  </si>
  <si>
    <t>2546</t>
  </si>
  <si>
    <t>MAXITROL</t>
  </si>
  <si>
    <t>SUS OPH 1X5ML</t>
  </si>
  <si>
    <t>169059</t>
  </si>
  <si>
    <t>69059</t>
  </si>
  <si>
    <t>CEREBROLYSIN</t>
  </si>
  <si>
    <t>INJ 5X10ML</t>
  </si>
  <si>
    <t>189244</t>
  </si>
  <si>
    <t>89244</t>
  </si>
  <si>
    <t>AQUA PRO INJECTIONE ARDEAPHARMA</t>
  </si>
  <si>
    <t>INF 1X250ML</t>
  </si>
  <si>
    <t>196610</t>
  </si>
  <si>
    <t>96610</t>
  </si>
  <si>
    <t>APAURIN</t>
  </si>
  <si>
    <t>INJ 10X2ML/10MG</t>
  </si>
  <si>
    <t>846980</t>
  </si>
  <si>
    <t>124129</t>
  </si>
  <si>
    <t>PRESTANCE 10 MG/10 MG</t>
  </si>
  <si>
    <t>POR TBL NOB 30</t>
  </si>
  <si>
    <t>900240</t>
  </si>
  <si>
    <t>DZ TRIXO LIND 500ML</t>
  </si>
  <si>
    <t>100874</t>
  </si>
  <si>
    <t>874</t>
  </si>
  <si>
    <t>OPHTHALMO-AZULEN</t>
  </si>
  <si>
    <t>110555</t>
  </si>
  <si>
    <t>10555</t>
  </si>
  <si>
    <t>AQUA PRO INJECTIONE BRAUN</t>
  </si>
  <si>
    <t>INJ SOL 20X100ML-PE</t>
  </si>
  <si>
    <t>116445</t>
  </si>
  <si>
    <t>16445</t>
  </si>
  <si>
    <t>TEGRETOL CR 400</t>
  </si>
  <si>
    <t>TBL RET 30X400MG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</si>
  <si>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</si>
  <si>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</si>
  <si>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</si>
  <si>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</si>
  <si>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</si>
  <si>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</si>
  <si>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</si>
  <si>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</si>
  <si>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177200</t>
  </si>
  <si>
    <t>SUXAMETHONIUM JODID VUAB 100 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</si>
  <si>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</si>
  <si>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</si>
  <si>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</si>
  <si>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</si>
  <si>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</si>
  <si>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</si>
  <si>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</si>
  <si>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</si>
  <si>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803169</t>
  </si>
  <si>
    <t>KL BENZINUM 300g</t>
  </si>
  <si>
    <t>705608</t>
  </si>
  <si>
    <t>Indulona A/64 ung.100ml modrá</t>
  </si>
  <si>
    <t>850095</t>
  </si>
  <si>
    <t>120406</t>
  </si>
  <si>
    <t>THIOPENTAL VUAB INJ. PLV. SOL. 0,5 G</t>
  </si>
  <si>
    <t>INJ PLV SOL 1X0.5GM</t>
  </si>
  <si>
    <t>117011</t>
  </si>
  <si>
    <t>17011</t>
  </si>
  <si>
    <t>DICYNONE 250</t>
  </si>
  <si>
    <t>INJ SOL 4X2ML/250MG</t>
  </si>
  <si>
    <t>846823</t>
  </si>
  <si>
    <t>124101</t>
  </si>
  <si>
    <t>PRESTANCE 5 MG/10 MG</t>
  </si>
  <si>
    <t>844764</t>
  </si>
  <si>
    <t>105943</t>
  </si>
  <si>
    <t>TETRASPAN 10%</t>
  </si>
  <si>
    <t>INF SOL 20X500ML</t>
  </si>
  <si>
    <t>845219</t>
  </si>
  <si>
    <t>101233</t>
  </si>
  <si>
    <t>PRESTARIUM NEO FORTE</t>
  </si>
  <si>
    <t>POR TBL FLM 90X10MG</t>
  </si>
  <si>
    <t>184785</t>
  </si>
  <si>
    <t>84785</t>
  </si>
  <si>
    <t>VIDISIC</t>
  </si>
  <si>
    <t>GEL OPH 3X10GM</t>
  </si>
  <si>
    <t>847149</t>
  </si>
  <si>
    <t>124115</t>
  </si>
  <si>
    <t>PRESTANCE 10 MG/5 MG</t>
  </si>
  <si>
    <t>921184</t>
  </si>
  <si>
    <t>KL UNGUENTUM</t>
  </si>
  <si>
    <t>106093</t>
  </si>
  <si>
    <t>6093</t>
  </si>
  <si>
    <t>GUTRON 2.5MG</t>
  </si>
  <si>
    <t>TBL 50X2.5MG</t>
  </si>
  <si>
    <t>850729</t>
  </si>
  <si>
    <t>157875</t>
  </si>
  <si>
    <t>PARACETAMOL KABI 10MG/ML</t>
  </si>
  <si>
    <t>INF SOL 10X100ML/1000MG</t>
  </si>
  <si>
    <t>155911</t>
  </si>
  <si>
    <t>PEROXID VODIKU 3%</t>
  </si>
  <si>
    <t>LIQ  1X100ML</t>
  </si>
  <si>
    <t>988709</t>
  </si>
  <si>
    <t>Masážní emulze Emspoma O hřejivá tuba 200ml</t>
  </si>
  <si>
    <t>844242</t>
  </si>
  <si>
    <t>105937</t>
  </si>
  <si>
    <t>TETRASPAN 6%</t>
  </si>
  <si>
    <t>396473</t>
  </si>
  <si>
    <t>99130</t>
  </si>
  <si>
    <t>INF 1X100 ML</t>
  </si>
  <si>
    <t>846979</t>
  </si>
  <si>
    <t>124133</t>
  </si>
  <si>
    <t>POR TBL NOB 90</t>
  </si>
  <si>
    <t>171616</t>
  </si>
  <si>
    <t>TACHYBEN I.V. 50 MG INJEKČNÍ ROZTOK</t>
  </si>
  <si>
    <t>INJ SOL 5X10ML/50MG</t>
  </si>
  <si>
    <t>395211</t>
  </si>
  <si>
    <t>Aqua Touch Jelly 25x11ml</t>
  </si>
  <si>
    <t>850680</t>
  </si>
  <si>
    <t>120407</t>
  </si>
  <si>
    <t>THIOPENTAL VUAB INJ. PLV. SOL. 1,0 G</t>
  </si>
  <si>
    <t>INJ PLV SOL 1X1GM</t>
  </si>
  <si>
    <t>902094</t>
  </si>
  <si>
    <t>IR  OMNIFLUSH NaCl 0,9% 10 ml v 10 ml</t>
  </si>
  <si>
    <t>F1/1 ve stříkačce</t>
  </si>
  <si>
    <t>920056</t>
  </si>
  <si>
    <t>KL ETHANOLUM 70% 800 g</t>
  </si>
  <si>
    <t>911930</t>
  </si>
  <si>
    <t>KL KAL.PERMANGANAS 5 G</t>
  </si>
  <si>
    <t>110602</t>
  </si>
  <si>
    <t>10602</t>
  </si>
  <si>
    <t>TANTUM VERDE SPRAY</t>
  </si>
  <si>
    <t>ORM SPR 30ML 0.15%</t>
  </si>
  <si>
    <t>169417</t>
  </si>
  <si>
    <t>69417</t>
  </si>
  <si>
    <t>DIAZEPAM DESITIN RECTAL TUBE</t>
  </si>
  <si>
    <t>ENM 5X2.5ML/5MG</t>
  </si>
  <si>
    <t>115845</t>
  </si>
  <si>
    <t>15845</t>
  </si>
  <si>
    <t>TOPAMAX 50 MG</t>
  </si>
  <si>
    <t>POR TBL FLM 28-BLI</t>
  </si>
  <si>
    <t>988192</t>
  </si>
  <si>
    <t>Bepanthen Care mast 30g</t>
  </si>
  <si>
    <t>849562</t>
  </si>
  <si>
    <t>Visine unavenu a citlive oci</t>
  </si>
  <si>
    <t>10x0,5 ml</t>
  </si>
  <si>
    <t>280863</t>
  </si>
  <si>
    <t>80863</t>
  </si>
  <si>
    <t>CAVILON NSBF-SPRAY</t>
  </si>
  <si>
    <t>28ML PRO OŠETŘENÍ RAN</t>
  </si>
  <si>
    <t>988088</t>
  </si>
  <si>
    <t>Walmark Laktobacily FORTE s fruktooligosach.60+60</t>
  </si>
  <si>
    <t>200863</t>
  </si>
  <si>
    <t>OPH GTT SOL 1X10ML PLAST</t>
  </si>
  <si>
    <t>989038</t>
  </si>
  <si>
    <t>Menalind Profess.kož.ochr.krém 200ml+čist.ubrousky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</si>
  <si>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</si>
  <si>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</si>
  <si>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</si>
  <si>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</si>
  <si>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</si>
  <si>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</si>
  <si>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</si>
  <si>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185325</t>
  </si>
  <si>
    <t>85325</t>
  </si>
  <si>
    <t>DORMICUM</t>
  </si>
  <si>
    <t>INJ SOL 5X3ML/15MG</t>
  </si>
  <si>
    <t>110820</t>
  </si>
  <si>
    <t>10820</t>
  </si>
  <si>
    <t>ZOFRAN</t>
  </si>
  <si>
    <t>INJ SOL 5X4ML/8MG</t>
  </si>
  <si>
    <t>109712</t>
  </si>
  <si>
    <t>9712</t>
  </si>
  <si>
    <t>SOLU-MEDROL</t>
  </si>
  <si>
    <t>INJ SIC 1X1GM+16ML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</si>
  <si>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</si>
  <si>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</si>
  <si>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</si>
  <si>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</si>
  <si>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</si>
  <si>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</si>
  <si>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</si>
  <si>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</si>
  <si>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110996</t>
  </si>
  <si>
    <t>10996</t>
  </si>
  <si>
    <t>NUTRIFLEX PLUS</t>
  </si>
  <si>
    <t>INF 5X2000ML</t>
  </si>
  <si>
    <t>195638</t>
  </si>
  <si>
    <t>95638</t>
  </si>
  <si>
    <t>NUTRIFLEX LIPID PLUS</t>
  </si>
  <si>
    <t>INF EML 5X2500ML</t>
  </si>
  <si>
    <t>849197</t>
  </si>
  <si>
    <t>Nutridrink Compact meruňka 125 ml</t>
  </si>
  <si>
    <t>133340</t>
  </si>
  <si>
    <t>33340</t>
  </si>
  <si>
    <t>DIASIP S PŘÍCHUTÍ VANILKOVOU (SOL)</t>
  </si>
  <si>
    <t>POR SOL 1X200ML</t>
  </si>
  <si>
    <t>133146</t>
  </si>
  <si>
    <t>33530</t>
  </si>
  <si>
    <t>NUTRISON MULTI FIBRE</t>
  </si>
  <si>
    <t>POR SOL 1X1000ML-VA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</si>
  <si>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</si>
  <si>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</si>
  <si>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</si>
  <si>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</si>
  <si>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</si>
  <si>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</si>
  <si>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</si>
  <si>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395579</t>
  </si>
  <si>
    <t>33752</t>
  </si>
  <si>
    <t>NUTRIDRINK  CREME S PŘÍCHUTÍ LES.OVOCE</t>
  </si>
  <si>
    <t>4x125ml</t>
  </si>
  <si>
    <t>840702</t>
  </si>
  <si>
    <t>33489</t>
  </si>
  <si>
    <t>NUTRIDRINK PROTEIN S PŘÍCHUTÍ ČOKOLÁDOVOU</t>
  </si>
  <si>
    <t>987792</t>
  </si>
  <si>
    <t>33749</t>
  </si>
  <si>
    <t>NUTRIDRINK CREME S PŘÍCHUTÍ BANÁNOVOU</t>
  </si>
  <si>
    <t>83050</t>
  </si>
  <si>
    <t>198192</t>
  </si>
  <si>
    <t>SEFOTAK 1 G</t>
  </si>
  <si>
    <t>183417</t>
  </si>
  <si>
    <t>83417</t>
  </si>
  <si>
    <t>MERONEM</t>
  </si>
  <si>
    <t>INJ SIC 10X1GM</t>
  </si>
  <si>
    <t>131656</t>
  </si>
  <si>
    <t>CEFTAZIDIM KABI 2 GM</t>
  </si>
  <si>
    <t>INJ+INF PLV SOL 10X2GM</t>
  </si>
  <si>
    <t>111706</t>
  </si>
  <si>
    <t>11706</t>
  </si>
  <si>
    <t>BISEPTOL 480</t>
  </si>
  <si>
    <t>INJ 10X5ML</t>
  </si>
  <si>
    <t>147727</t>
  </si>
  <si>
    <t>47727</t>
  </si>
  <si>
    <t>ZINNAT 500 MG</t>
  </si>
  <si>
    <t>105113</t>
  </si>
  <si>
    <t>5113</t>
  </si>
  <si>
    <t>TARGOCID 400MG</t>
  </si>
  <si>
    <t>INJ SIC 1X400MG+SOL</t>
  </si>
  <si>
    <t>165989</t>
  </si>
  <si>
    <t>65989</t>
  </si>
  <si>
    <t>MYCOMAX « INF. INFUZ</t>
  </si>
  <si>
    <t>6480</t>
  </si>
  <si>
    <t>Ocplex 20ml 500 I.U. Phoenix</t>
  </si>
  <si>
    <t>0129056</t>
  </si>
  <si>
    <t>ATENATIV 500 I.U. Phoenix</t>
  </si>
  <si>
    <t>900441</t>
  </si>
  <si>
    <t>KL ETHER  LÉKOPISNÝ 1000 ml Fagron, Kulich</t>
  </si>
  <si>
    <t>jednotka 1 ks   UN 1155</t>
  </si>
  <si>
    <t>930444</t>
  </si>
  <si>
    <t>KL AQUA PURIF. KULICH 1 kg</t>
  </si>
  <si>
    <t>169755</t>
  </si>
  <si>
    <t>69755</t>
  </si>
  <si>
    <t>ARDEANUTRISOL G 40</t>
  </si>
  <si>
    <t>198880</t>
  </si>
  <si>
    <t>98880</t>
  </si>
  <si>
    <t>FYZIOLOGICKÝ ROZTOK VIAFLO</t>
  </si>
  <si>
    <t>102439</t>
  </si>
  <si>
    <t>2439</t>
  </si>
  <si>
    <t>MARCAINE 0.5%</t>
  </si>
  <si>
    <t>INJ SOL5X20ML/100MG</t>
  </si>
  <si>
    <t>921564</t>
  </si>
  <si>
    <t>KL VASELINUM ALBUM STERILNI,  10G</t>
  </si>
  <si>
    <t>500355</t>
  </si>
  <si>
    <t>DZ BRAUNOL 250 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</si>
  <si>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</si>
  <si>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</si>
  <si>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</si>
  <si>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</si>
  <si>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</si>
  <si>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</si>
  <si>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</si>
  <si>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113441</t>
  </si>
  <si>
    <t>13441</t>
  </si>
  <si>
    <t>RINGERŮV ROZTOK VIAFLO</t>
  </si>
  <si>
    <t>181472</t>
  </si>
  <si>
    <t>81472</t>
  </si>
  <si>
    <t>OXAMET 0.5PROMILE</t>
  </si>
  <si>
    <t>NAS SPR SOL 1X10ML</t>
  </si>
  <si>
    <t>501201</t>
  </si>
  <si>
    <t>TISSEEL FROZ  2 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</si>
  <si>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</si>
  <si>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</si>
  <si>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</si>
  <si>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</si>
  <si>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</si>
  <si>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</si>
  <si>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</si>
  <si>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</si>
  <si>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930241</t>
  </si>
  <si>
    <t>KL SOL.IODI SPIR.DIL. 800 g</t>
  </si>
  <si>
    <t>396925</t>
  </si>
  <si>
    <t>TISSEEL FROZ 4 ml</t>
  </si>
  <si>
    <t>988212</t>
  </si>
  <si>
    <t>ICG Pulsion 5 x 25mg</t>
  </si>
  <si>
    <t>0631 - Neurochirurgická klinika, JIP</t>
  </si>
  <si>
    <t>0611 - Neurochirurgická klinika, lůžkové oddělení 34</t>
  </si>
  <si>
    <t>0612 - Neurochirurgická klinika, lůžkové oddělení 36</t>
  </si>
  <si>
    <t>J01DD01 - Cefotaxim</t>
  </si>
  <si>
    <t>V06XX - Potraviny pro zvláštní lékařské účely (PZLÚ)</t>
  </si>
  <si>
    <t>N01AX10 - Propofol</t>
  </si>
  <si>
    <t>J02AC01 - Flukonazol</t>
  </si>
  <si>
    <t>A02BC02 - Pantoprazol</t>
  </si>
  <si>
    <t>N05CD08 - Midazolam</t>
  </si>
  <si>
    <t>A04AA01 - Ondansetron</t>
  </si>
  <si>
    <t>J01MA02 - Ciprofloxacin</t>
  </si>
  <si>
    <t>B01AB06 - Nadroparin</t>
  </si>
  <si>
    <t>M04AA01 - Alopurinol</t>
  </si>
  <si>
    <t>B01AC04 - Klopidogrel</t>
  </si>
  <si>
    <t>N03AG01 - Kyselina valproová</t>
  </si>
  <si>
    <t>C09AA05 - Ramipril</t>
  </si>
  <si>
    <t>A02BA03 - Famotidin</t>
  </si>
  <si>
    <t>C09CA01 - Losartan</t>
  </si>
  <si>
    <t>J01MA01 - Ofloxacin</t>
  </si>
  <si>
    <t>C09DA01 - Losartan a diuretika</t>
  </si>
  <si>
    <t>J01XA02 - Teikoplanin</t>
  </si>
  <si>
    <t>C10AA01 - Simvastatin</t>
  </si>
  <si>
    <t>M01AX17 - Nimesulid</t>
  </si>
  <si>
    <t>H02AB04 - Methylprednisolon</t>
  </si>
  <si>
    <t>N01AH03 - Sufentanyl</t>
  </si>
  <si>
    <t>J01CR01 - Ampicilin a enzymový inhibitor</t>
  </si>
  <si>
    <t>N02AX02 - Tramadol</t>
  </si>
  <si>
    <t>J01CR02 - Amoxicilin a enzymový inhibitor</t>
  </si>
  <si>
    <t>N03AX12 - Gabapentin</t>
  </si>
  <si>
    <t>J01DC02 - Cefuroxim</t>
  </si>
  <si>
    <t>N06AB04 - Citalopram</t>
  </si>
  <si>
    <t>N06AB06 - Sertralin</t>
  </si>
  <si>
    <t>R03AC02 - Salbutamol</t>
  </si>
  <si>
    <t>S01EE01 - Latanoprost</t>
  </si>
  <si>
    <t>J01FA09 - Klarithromycin</t>
  </si>
  <si>
    <t>A02BA02 - Ranitidin</t>
  </si>
  <si>
    <t>J01FF01 - Klindamycin</t>
  </si>
  <si>
    <t>A02BA02</t>
  </si>
  <si>
    <t>RANITAL 150 MG POTAHOVANÉ TABLETY</t>
  </si>
  <si>
    <t>POR TBL FLM 30X150MG</t>
  </si>
  <si>
    <t>RANITAL 50 MG/2 ML</t>
  </si>
  <si>
    <t>INJ SOL 5X2ML/50MG</t>
  </si>
  <si>
    <t>A02BC02</t>
  </si>
  <si>
    <t>B01AB06</t>
  </si>
  <si>
    <t>INJ SOL 10X5ML/47.5KU</t>
  </si>
  <si>
    <t>J01CR01</t>
  </si>
  <si>
    <t>J01CR02</t>
  </si>
  <si>
    <t>AMOKSIKLAV 625 MG</t>
  </si>
  <si>
    <t>POR TBL FLM 21X625MG</t>
  </si>
  <si>
    <t>J01DC02</t>
  </si>
  <si>
    <t>ZINACEF 1,5 G</t>
  </si>
  <si>
    <t>J01FF01</t>
  </si>
  <si>
    <t>INJ SOL 1X4ML/600MG</t>
  </si>
  <si>
    <t>J01MA02</t>
  </si>
  <si>
    <t>POR TBL FLM 10X500MG</t>
  </si>
  <si>
    <t>M01AX17</t>
  </si>
  <si>
    <t>POR TBL NOB 15X100MG</t>
  </si>
  <si>
    <t>N02AX02</t>
  </si>
  <si>
    <t>POR TBL PRO 10X100MG</t>
  </si>
  <si>
    <t>N06AB04</t>
  </si>
  <si>
    <t>POR TBL FLM 30X10 MG</t>
  </si>
  <si>
    <t>R03AC02</t>
  </si>
  <si>
    <t>INH SUS PSS 200X100RG</t>
  </si>
  <si>
    <t>INJ SOL 10X0.8ML</t>
  </si>
  <si>
    <t>C09AA05</t>
  </si>
  <si>
    <t>TRITACE 5 MG</t>
  </si>
  <si>
    <t>C09CA01</t>
  </si>
  <si>
    <t>C09DA01</t>
  </si>
  <si>
    <t>C10AA01</t>
  </si>
  <si>
    <t>AMOKSIKLAV 1,2 G</t>
  </si>
  <si>
    <t>INJ PLV SOL 5X1.2GM</t>
  </si>
  <si>
    <t>J01FA09</t>
  </si>
  <si>
    <t>POR TBL FLM 14X500MG</t>
  </si>
  <si>
    <t>J01MA01</t>
  </si>
  <si>
    <t>INF SOL 1X100ML/200MG</t>
  </si>
  <si>
    <t>POR TBL NOB 30X100MG</t>
  </si>
  <si>
    <t>M04AA01</t>
  </si>
  <si>
    <t>POR TBL PRO 30X100MG</t>
  </si>
  <si>
    <t>N03AX12</t>
  </si>
  <si>
    <t>NEURONTIN 300 MG</t>
  </si>
  <si>
    <t>POR CPS DUR 50X300MG</t>
  </si>
  <si>
    <t>POR TBL FLM 30X20 MG</t>
  </si>
  <si>
    <t>N06AB06</t>
  </si>
  <si>
    <t>ZOLOFT 100 MG</t>
  </si>
  <si>
    <t>POR TBL FLM 28X100MG</t>
  </si>
  <si>
    <t>S01EE01</t>
  </si>
  <si>
    <t>OPH GTT SOL 1X2.5ML I</t>
  </si>
  <si>
    <t>A02BA03</t>
  </si>
  <si>
    <t>A04AA01</t>
  </si>
  <si>
    <t>B01AC04</t>
  </si>
  <si>
    <t>H02AB04</t>
  </si>
  <si>
    <t>SOLU-MEDROL 62,5 MG/ML</t>
  </si>
  <si>
    <t>INJ PSO LQF 1GM+16ML</t>
  </si>
  <si>
    <t>J01DD01</t>
  </si>
  <si>
    <t>J01XA02</t>
  </si>
  <si>
    <t>TARGOCID 400 MG</t>
  </si>
  <si>
    <t>INJ+POR PSO LQF 1X400MG</t>
  </si>
  <si>
    <t>J02AC01</t>
  </si>
  <si>
    <t>MYCOMAX INF</t>
  </si>
  <si>
    <t>INF SOL 100ML/200MG</t>
  </si>
  <si>
    <t>N01AH03</t>
  </si>
  <si>
    <t>N01AX10</t>
  </si>
  <si>
    <t>N03AG01</t>
  </si>
  <si>
    <t>N05CD08</t>
  </si>
  <si>
    <t>V06XX</t>
  </si>
  <si>
    <t>DIASIP S PŘÍCHUTÍ VANILKOVOU</t>
  </si>
  <si>
    <t>NUTRISON ADVANCED DIASON LOW ENERGY</t>
  </si>
  <si>
    <t>POR SOL 1X1000ML</t>
  </si>
  <si>
    <t>NUTRIDRINK CREME S PŘÍCHUTÍ LESNÍHO OVOCE</t>
  </si>
  <si>
    <t>Přehled plnění pozitivního listu - spotřeba léčivých přípravků - orientační přehled</t>
  </si>
  <si>
    <t>HVLP</t>
  </si>
  <si>
    <t>PZT</t>
  </si>
  <si>
    <t>6</t>
  </si>
  <si>
    <t>89301062</t>
  </si>
  <si>
    <t>Všeobecná ambulance Celkem</t>
  </si>
  <si>
    <t>89301061</t>
  </si>
  <si>
    <t>Standardní lůžková péče Celkem</t>
  </si>
  <si>
    <t>Neurochirurgická klinika Celkem</t>
  </si>
  <si>
    <t>Balik Vladimír</t>
  </si>
  <si>
    <t>Kalita Ondřej</t>
  </si>
  <si>
    <t>Krahulík David</t>
  </si>
  <si>
    <t>Novák Vlastimil</t>
  </si>
  <si>
    <t>Wanek Tomáš</t>
  </si>
  <si>
    <t>Stejskal Přemysl</t>
  </si>
  <si>
    <t>Cholekalciferol</t>
  </si>
  <si>
    <t>12023</t>
  </si>
  <si>
    <t>VIGANTOL</t>
  </si>
  <si>
    <t>POR GTT SOL 1X10ML</t>
  </si>
  <si>
    <t>Pomůcky ortopedickoprotetické</t>
  </si>
  <si>
    <t>93530</t>
  </si>
  <si>
    <t>ORTÉZA ZÁDOVÁ LOMBAX DORSO 0845</t>
  </si>
  <si>
    <t>VYSOKÁ ZÁDOVÁ ORTÉZA (ROZSAH TH-LS),KOVOVÉ DLAHY A DOPÍNACÍ TAHY</t>
  </si>
  <si>
    <t>Azithromycin</t>
  </si>
  <si>
    <t>45010</t>
  </si>
  <si>
    <t>AZITROMYCIN SANDOZ 500 MG</t>
  </si>
  <si>
    <t>POR TBL FLM 3X500MG</t>
  </si>
  <si>
    <t>Kompresivní punčochy a návleky</t>
  </si>
  <si>
    <t>45387</t>
  </si>
  <si>
    <t>PUNČOCHY KOMPRESNÍ LÝTKOVÉ               II.K.T.</t>
  </si>
  <si>
    <t>MAXIS COMFORT  A-D</t>
  </si>
  <si>
    <t>140647</t>
  </si>
  <si>
    <t>LÍMEC KRČNÍ PHILADELPHIA ORTEL C4 VARIO 49280</t>
  </si>
  <si>
    <t>NASTAVITELNÁ VÝŠKA OPORY BRADY, UNIVERZÁLNÍ VELIKOST</t>
  </si>
  <si>
    <t>93884</t>
  </si>
  <si>
    <t>PÁS BEDERNÍ LOMBASKIN 0870</t>
  </si>
  <si>
    <t>EXTRA TENKÝ BEDERNÍ PÁS S PEVNÝMI VÝZTUHAMI</t>
  </si>
  <si>
    <t>Pomůcky ortopedickoprotetické  individuálně zhotovované</t>
  </si>
  <si>
    <t>957</t>
  </si>
  <si>
    <t>ORTÉZA TRUPOVÁ</t>
  </si>
  <si>
    <t>S KONSTRUK.ZÁKLADEM Z PEV.MAT.(PE,LAM.KOV)ZHOTOV.NA ZÁKL.SEJMUTÍ MĚR.PODKLADŮ</t>
  </si>
  <si>
    <t>Erdostein</t>
  </si>
  <si>
    <t>95560</t>
  </si>
  <si>
    <t>ERDOMED</t>
  </si>
  <si>
    <t>POR CPS DUR 30X300MG</t>
  </si>
  <si>
    <t>Klarithromycin</t>
  </si>
  <si>
    <t>32546</t>
  </si>
  <si>
    <t>KLACID SR</t>
  </si>
  <si>
    <t>POR TBL RET 14X500MG-DOUBLE BL</t>
  </si>
  <si>
    <t>Rosuvastatin</t>
  </si>
  <si>
    <t>159121</t>
  </si>
  <si>
    <t>APO-ROSUVASTATIN 20 MG</t>
  </si>
  <si>
    <t>POR TBL FLM 98X20MG</t>
  </si>
  <si>
    <t>Sulfadiazin, stříbrná sůl, kombinace</t>
  </si>
  <si>
    <t>14873</t>
  </si>
  <si>
    <t>IALUGEN PLUS</t>
  </si>
  <si>
    <t>DRM LIG IPR 10KS(10X10CM)</t>
  </si>
  <si>
    <t>Aciklovir</t>
  </si>
  <si>
    <t>13705</t>
  </si>
  <si>
    <t>ZOVIRAX 800 MG</t>
  </si>
  <si>
    <t>POR TBL NOB 35X800MG</t>
  </si>
  <si>
    <t>Nadroparin</t>
  </si>
  <si>
    <t>32061</t>
  </si>
  <si>
    <t>INJ SOL 10X0.6ML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</si>
  <si>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</si>
  <si>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</si>
  <si>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</si>
  <si>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</si>
  <si>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</si>
  <si>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C10AA07 - Rosuvastatin</t>
  </si>
  <si>
    <t>J01FA10</t>
  </si>
  <si>
    <t>C10AA07</t>
  </si>
  <si>
    <t>Přehled plnění PL - Preskripce léčivých přípravků - orientační přehled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</si>
  <si>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</si>
  <si>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</si>
  <si>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</si>
  <si>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</si>
  <si>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</si>
  <si>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</si>
  <si>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</si>
  <si>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</si>
  <si>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50115004</t>
  </si>
  <si>
    <t>506 SZM umělé tělní náhrady kovové (112 02 030)</t>
  </si>
  <si>
    <t>50115006</t>
  </si>
  <si>
    <t>508 SZM DBS (112 02 006)</t>
  </si>
  <si>
    <t>50115005</t>
  </si>
  <si>
    <t>511 SZM neurostimulace (112 02 005)</t>
  </si>
  <si>
    <t>50115070</t>
  </si>
  <si>
    <t>513 SZM katetry, stenty, porty (112 02 101)</t>
  </si>
  <si>
    <t>50115011</t>
  </si>
  <si>
    <t>515 SZM umělé tělní náhrady ostatní (112 02 030)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</si>
  <si>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</si>
  <si>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</si>
  <si>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</si>
  <si>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</si>
  <si>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</si>
  <si>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</si>
  <si>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</si>
  <si>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</si>
  <si>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ZA446</t>
  </si>
  <si>
    <t>Vata buničitá přířezy 20 x 30 cm 1230200129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</si>
  <si>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</si>
  <si>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</si>
  <si>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</si>
  <si>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</si>
  <si>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</si>
  <si>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</si>
  <si>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</si>
  <si>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 / 5 ks sterilní 26621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</si>
  <si>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</si>
  <si>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</si>
  <si>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</si>
  <si>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</si>
  <si>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</si>
  <si>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</si>
  <si>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</si>
  <si>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</si>
  <si>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ZA746</t>
  </si>
  <si>
    <t>Stříkačka omnifix 1 ml 9161406V</t>
  </si>
  <si>
    <t>ZA789</t>
  </si>
  <si>
    <t>Stříkačka injekční   2 ml 4606027V</t>
  </si>
  <si>
    <t>ZB249</t>
  </si>
  <si>
    <t>Sáček močový s křížovou výpustí sterilní 2000 ml ZAR-TNU201601</t>
  </si>
  <si>
    <t>ZB757</t>
  </si>
  <si>
    <t>Zkumavka 6 ml K3 edta fialová 456036</t>
  </si>
  <si>
    <t>ZB768</t>
  </si>
  <si>
    <t>Jehla vakuová 216/38 mm zelená 450076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</si>
  <si>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</si>
  <si>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</si>
  <si>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</si>
  <si>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</si>
  <si>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</si>
  <si>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</si>
  <si>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</si>
  <si>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</si>
  <si>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ZC765</t>
  </si>
  <si>
    <t>Nůžky oční P00908</t>
  </si>
  <si>
    <t>ZC769</t>
  </si>
  <si>
    <t>Hadička spojovací HS 1,8 x 450LL 606301</t>
  </si>
  <si>
    <t>ZD809</t>
  </si>
  <si>
    <t>Kanyla vasofix 20G růžová safety 4269110S-01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</si>
  <si>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</si>
  <si>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</si>
  <si>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</si>
  <si>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</si>
  <si>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</si>
  <si>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</si>
  <si>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</si>
  <si>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</si>
  <si>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</si>
  <si>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</si>
  <si>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</si>
  <si>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</si>
  <si>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</si>
  <si>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</si>
  <si>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ZA731</t>
  </si>
  <si>
    <t>Mandren růžový 4219104</t>
  </si>
  <si>
    <t>ZL688</t>
  </si>
  <si>
    <t>Proužky Accu-Check Inform IIStrip 50 EU1 á 50 ks 05942861</t>
  </si>
  <si>
    <t>ZI167</t>
  </si>
  <si>
    <t>Zkumavka EmptyTube bílá PFPM913S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</si>
  <si>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</si>
  <si>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</si>
  <si>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</si>
  <si>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</si>
  <si>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</si>
  <si>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</si>
  <si>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ZL949</t>
  </si>
  <si>
    <t>Rukavice nitril promedica bez p. L bílé 6N á 100 ks 9399W4</t>
  </si>
  <si>
    <t>ZL948</t>
  </si>
  <si>
    <t>Rukavice nitril promedica bez p. M bílé 6N á 100 ks 9399W3</t>
  </si>
  <si>
    <t>ZA423</t>
  </si>
  <si>
    <t>Obinadlo elastické idealtex 12 cm x 5 m 9310633</t>
  </si>
  <si>
    <t>ZA547</t>
  </si>
  <si>
    <t>Krytí inadine nepřilnavé 9,5 x 9,5 cm 1/10 SYS01512EE</t>
  </si>
  <si>
    <t>ZA562</t>
  </si>
  <si>
    <t>Náplast cosmopor i. v. 6 x 8 cm 9008054</t>
  </si>
  <si>
    <t>ZA569</t>
  </si>
  <si>
    <t>Podkolenky cambren C  K3 velké 997396/2</t>
  </si>
  <si>
    <t>ZA643</t>
  </si>
  <si>
    <t>Kompresa vliwasoft 10 x 20 nesterilní á 100 ks 12070</t>
  </si>
  <si>
    <t>ZD668</t>
  </si>
  <si>
    <t>Kompresa gáza 10 x 10 cm / 5 ks sterilní 1325019275</t>
  </si>
  <si>
    <t>ZA738</t>
  </si>
  <si>
    <t>Filtr mini spike zelený 4550242</t>
  </si>
  <si>
    <t>ZA965</t>
  </si>
  <si>
    <t>Stříkačka inzulínová omnican 1 ml 100j bal. á 100 ks 9151141S</t>
  </si>
  <si>
    <t>ZB173</t>
  </si>
  <si>
    <t>Maska kyslíková s hadičkou a nosní svorkou dospělá H-103013</t>
  </si>
  <si>
    <t>ZB756</t>
  </si>
  <si>
    <t>Zkumavka 3 ml K3 edta fialová 454086</t>
  </si>
  <si>
    <t>ZB774</t>
  </si>
  <si>
    <t>Zkumavka červená 5 ml gel 456071</t>
  </si>
  <si>
    <t>ZD808</t>
  </si>
  <si>
    <t>Kanyla vasofix 22G modrá safety 4269098S-01</t>
  </si>
  <si>
    <t>ZE159</t>
  </si>
  <si>
    <t>Nádoba na kontaminovaný odpad 2 l 15-0003</t>
  </si>
  <si>
    <t>ZH491</t>
  </si>
  <si>
    <t>Stříkačka 50 - 60 ml LL MRG00711</t>
  </si>
  <si>
    <t>ZK799</t>
  </si>
  <si>
    <t>Zátka combi červená 4495101</t>
  </si>
  <si>
    <t>ZL689</t>
  </si>
  <si>
    <t>Roztok Accu-Check Performa Int´l Controls 1+2 level 04861736</t>
  </si>
  <si>
    <t>ZL781</t>
  </si>
  <si>
    <t>Konektor bezjehlový K-NECT 7 denní M79400845</t>
  </si>
  <si>
    <t>ZD815</t>
  </si>
  <si>
    <t>Manžeta TK tonometru KVS LD7 + k monitoru Philips dospělá 14 x 50 cm KVS M1 5ZOM</t>
  </si>
  <si>
    <t>ZB556</t>
  </si>
  <si>
    <t>Jehla injekční 1,2 x   40 mm růžová 4665120</t>
  </si>
  <si>
    <t>ZA463</t>
  </si>
  <si>
    <t>Kompresa NT 10 x 20 cm / 2 ks sterilní 26620</t>
  </si>
  <si>
    <t>ZA544</t>
  </si>
  <si>
    <t>Krytí inadine nepřilnavé 5,0 x 5,0 cm 1/10 SYS01481EE</t>
  </si>
  <si>
    <t>ZF076</t>
  </si>
  <si>
    <t>Tampon 19 x 20 cm / 3 ks sterilní stáčený 0444</t>
  </si>
  <si>
    <t>ZB767</t>
  </si>
  <si>
    <t>Jehla vakuová 226/38 mm černá 450075</t>
  </si>
  <si>
    <t>ZB776</t>
  </si>
  <si>
    <t>Zkumavka zelená 3 ml 454082</t>
  </si>
  <si>
    <t>ZG515</t>
  </si>
  <si>
    <t>Zkumavka močová vacuette 10,5 ml bal. á 50 ks 331980455007</t>
  </si>
  <si>
    <t>ZA418</t>
  </si>
  <si>
    <t>Náplast metaline pod TS 8 x 9 cm 23094</t>
  </si>
  <si>
    <t>ZA424</t>
  </si>
  <si>
    <t>Obinadlo elastické idealtex 14 cm x 5 m 9310643</t>
  </si>
  <si>
    <t>ZA444</t>
  </si>
  <si>
    <t>Tampon 20 x 19 cm nesterilní stáčený 1320300404</t>
  </si>
  <si>
    <t>ZA617</t>
  </si>
  <si>
    <t>Tampon TC-OC k ošetření dutiny ústní á 250 ks 12240</t>
  </si>
  <si>
    <t>ZC701</t>
  </si>
  <si>
    <t>Náplast tegaderm 10,0 cm x 11,5 cm bal. á 50 ks oválný 9546HP</t>
  </si>
  <si>
    <t>ZA688</t>
  </si>
  <si>
    <t>Sáček močový curity s hod.diurézou 400 ml hadička 150 cm 8150</t>
  </si>
  <si>
    <t>ZA737</t>
  </si>
  <si>
    <t>Filtr mini spike modrý 4550234</t>
  </si>
  <si>
    <t>ZA749</t>
  </si>
  <si>
    <t>Stříkačka omnifix 50 ml 4617509F</t>
  </si>
  <si>
    <t>ZA787</t>
  </si>
  <si>
    <t>Stříkačka injekční 10 ml 4606108V</t>
  </si>
  <si>
    <t>ZA788</t>
  </si>
  <si>
    <t>Stříkačka injekční 20 ml 4606205V</t>
  </si>
  <si>
    <t>ZA790</t>
  </si>
  <si>
    <t>Stříkačka injekční   5 ml 4606051V</t>
  </si>
  <si>
    <t>ZA858</t>
  </si>
  <si>
    <t>Souprava infuzní dosifix 4037014</t>
  </si>
  <si>
    <t>ZB103</t>
  </si>
  <si>
    <t>Láhev k odsávačce flovac 2l hadice 1,8 m 000-036-021</t>
  </si>
  <si>
    <t>ZB295</t>
  </si>
  <si>
    <t>Filtr iso-gard hepa čistý bal. á 20 ks 28012</t>
  </si>
  <si>
    <t>ZB388</t>
  </si>
  <si>
    <t>Kanyla ET 8,5 s manžetou 9485E cen.nab. CZ140004</t>
  </si>
  <si>
    <t>ZB424</t>
  </si>
  <si>
    <t>Elektroda EKG H34SG 31.1946.21</t>
  </si>
  <si>
    <t>ZB736</t>
  </si>
  <si>
    <t>Stříkačka janett 100 ml + L adaptér á 50 ks 2022C30</t>
  </si>
  <si>
    <t>ZB759</t>
  </si>
  <si>
    <t>Zkumavka červená 8 ml gel 455071</t>
  </si>
  <si>
    <t>ZB762</t>
  </si>
  <si>
    <t>Zkumavka červená 6 ml 456092</t>
  </si>
  <si>
    <t>ZB772</t>
  </si>
  <si>
    <t>Přechodka adaptér luer 450070</t>
  </si>
  <si>
    <t>ZB801</t>
  </si>
  <si>
    <t>Transofix krátký trn á 50 ks 4090500</t>
  </si>
  <si>
    <t>ZB815</t>
  </si>
  <si>
    <t>Stříkačka k perfusoru černá s jehlou 50 ml 8728828F</t>
  </si>
  <si>
    <t>ZC059</t>
  </si>
  <si>
    <t>Láhev redon drenofast 400 ml-kompletní bal. á 40 ks 28 400</t>
  </si>
  <si>
    <t>ZC177</t>
  </si>
  <si>
    <t>Systém odsávací uzavřený TC CH14 wet pack 54 cm / 72 h 2276-5</t>
  </si>
  <si>
    <t>ZC366</t>
  </si>
  <si>
    <t>Převodník tlakový PX260 bal. 150 cm bal. á 20 ks T100209A</t>
  </si>
  <si>
    <t>ZC367</t>
  </si>
  <si>
    <t>Převodník tlakový dvoukomorový 150 cm set - 2 linky bal. á 10 ks T001650A</t>
  </si>
  <si>
    <t>ZC863</t>
  </si>
  <si>
    <t>Hadička spojovací HS 1,8 x 1800LL 606304</t>
  </si>
  <si>
    <t>ZD403</t>
  </si>
  <si>
    <t>Hadice odsávací 2 kohouty 8/10, délka 270 cm Softub TA 8271</t>
  </si>
  <si>
    <t>ZD462</t>
  </si>
  <si>
    <t>Nos umělý termotrach 038-41-250</t>
  </si>
  <si>
    <t>ZH817</t>
  </si>
  <si>
    <t>Katetr močový foley CH18 180605-000180</t>
  </si>
  <si>
    <t>ZJ117</t>
  </si>
  <si>
    <t>Adaptér jednorázový k senzoru  CO2 á 20 ks 415036-001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</si>
  <si>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</si>
  <si>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</si>
  <si>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</si>
  <si>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</si>
  <si>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</si>
  <si>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</si>
  <si>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ZK798</t>
  </si>
  <si>
    <t xml:space="preserve">Zátka combi modrá 4495152 </t>
  </si>
  <si>
    <t>ZK977</t>
  </si>
  <si>
    <t>Cévka odsávací CH14 s přerušovačem sání P01173a</t>
  </si>
  <si>
    <t>ZK978</t>
  </si>
  <si>
    <t>Cévka odsávací CH16 s přerušovačem sání P01175a</t>
  </si>
  <si>
    <t>ZL249</t>
  </si>
  <si>
    <t>Hadice vrapovaná bal. á 50 m 038-01-228</t>
  </si>
  <si>
    <t>ZB816</t>
  </si>
  <si>
    <t>Hadička spojovací-perfusor černá 150 cm á 100 ks 8722919</t>
  </si>
  <si>
    <t>ZD454</t>
  </si>
  <si>
    <t>Filtr pro dospělé s HME a portem 038-41-355</t>
  </si>
  <si>
    <t>ZI239</t>
  </si>
  <si>
    <t>Čidlo saturační na čelo oxi-max bal. á 24 ks MAX-FAST-I</t>
  </si>
  <si>
    <t>ZL717</t>
  </si>
  <si>
    <t>Kanyla introcan safety 3 modrá 22G bal. á 50 ks 4251128-01</t>
  </si>
  <si>
    <t>ZL718</t>
  </si>
  <si>
    <t>Kanyla introcan safety 3 růžová 20G bal. á 50 ks 4251130-01</t>
  </si>
  <si>
    <t>ZB941</t>
  </si>
  <si>
    <t>Systém odsávací uzavřený TC CH14 wet pack 30,5 cm / 72 h 22701356-5</t>
  </si>
  <si>
    <t>ZC632</t>
  </si>
  <si>
    <t>Systém odsávací uzavřený TC CH12 wet pack 30,5 cm / 72 h 2271356-4</t>
  </si>
  <si>
    <t>ZC356</t>
  </si>
  <si>
    <t>Systém odsávací uzavřený TC CH14 wet pack 30,5 cm / 72 h 227036-5</t>
  </si>
  <si>
    <t>ZC904</t>
  </si>
  <si>
    <t>Systém odsávací uzavřený TC CH12 wet pack 54 cm / 72 h 227166-4</t>
  </si>
  <si>
    <t>ZJ264</t>
  </si>
  <si>
    <t>Manžeta TK k monitoru Datex dvouhadičková NIBP 33-47 cm dospělá velká U1889ND (Y0009B)</t>
  </si>
  <si>
    <t>ZC615</t>
  </si>
  <si>
    <t>Katetr CVC 3 lumen certofix trio V720 bal. á 10 ks 4163214P</t>
  </si>
  <si>
    <t>ZC637</t>
  </si>
  <si>
    <t>Arteriofix bal. á 20 ks 20G 5206324</t>
  </si>
  <si>
    <t>ZE265</t>
  </si>
  <si>
    <t>Katetr CVC 3 lumen certofix protect trio V715 15 cm bal. á 10 ks 4162153P</t>
  </si>
  <si>
    <t>ZA715</t>
  </si>
  <si>
    <t>Set infuzní intrafix 4062957</t>
  </si>
  <si>
    <t>ZD834</t>
  </si>
  <si>
    <t>Set infuzní intrafix 4063006 bal. á 100ks</t>
  </si>
  <si>
    <t>ZA833</t>
  </si>
  <si>
    <t>Jehla injekční 0,8 x   40 mm zelená 4657527</t>
  </si>
  <si>
    <t>ZM051</t>
  </si>
  <si>
    <t>Rukavice nitril promedica bez p. S bílé 6N á 100 ks 9399W2</t>
  </si>
  <si>
    <t>DG382</t>
  </si>
  <si>
    <t>Bactec Plus Aerobic</t>
  </si>
  <si>
    <t>DG385</t>
  </si>
  <si>
    <t>Bactec Plus Anaerobic</t>
  </si>
  <si>
    <t>ZA008</t>
  </si>
  <si>
    <t>Obinadlo pruban č.10 4273101</t>
  </si>
  <si>
    <t>ZA325</t>
  </si>
  <si>
    <t>Krytí hypro-sorb R 65 x 55 mm 002</t>
  </si>
  <si>
    <t>ZA331</t>
  </si>
  <si>
    <t>Obinadlo fixa crep 10 cm x 4 m 1323100104</t>
  </si>
  <si>
    <t>ZA425</t>
  </si>
  <si>
    <t>Obinadlo hydrofilní 10 cm x   5 m 13007</t>
  </si>
  <si>
    <t>ZA502</t>
  </si>
  <si>
    <t>Tampon stáčený 30 x 60 nesterilní 1320300406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</si>
  <si>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</si>
  <si>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</si>
  <si>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</si>
  <si>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</si>
  <si>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</si>
  <si>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</si>
  <si>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ZA596</t>
  </si>
  <si>
    <t>Gáza skládaná 10 cm x 35 cm karton á 1000 ks 11003+</t>
  </si>
  <si>
    <t>ZB085</t>
  </si>
  <si>
    <t>Krytí surgicel standard 5 x 7,50 cm bal. á 12 ks 1903GB</t>
  </si>
  <si>
    <t>ZD104</t>
  </si>
  <si>
    <t>Náplast omniplast 10,0 cm x 10,0 m 9004472 (900535)</t>
  </si>
  <si>
    <t>ZD452</t>
  </si>
  <si>
    <t>Fólie incizní oper film 16 x 30 cm 31 067</t>
  </si>
  <si>
    <t>ZI558</t>
  </si>
  <si>
    <t>Náplast curapor   7 x   5 cm 22 120 ( náhrada za cosmopor )</t>
  </si>
  <si>
    <t>ZI737</t>
  </si>
  <si>
    <t>Krytí surgicel fibrillar 10 x 5 cm bal. á 10 ks 411962</t>
  </si>
  <si>
    <t>ZA095</t>
  </si>
  <si>
    <t>Cement kostní palacos R+G 2 x 40 g á 2 ks 66017569</t>
  </si>
  <si>
    <t>ZA727</t>
  </si>
  <si>
    <t>Kontejner 30 ml sterilní 331690251750</t>
  </si>
  <si>
    <t>ZA759</t>
  </si>
  <si>
    <t>Drén redon CH10 50 cm U2111000</t>
  </si>
  <si>
    <t>ZA761</t>
  </si>
  <si>
    <t>Drén redon CH12 50 cm U2111200</t>
  </si>
  <si>
    <t>ZA792</t>
  </si>
  <si>
    <t>Svorka šicí 16 x 3 mm michel 132 276 6016</t>
  </si>
  <si>
    <t>ZB553</t>
  </si>
  <si>
    <t>Láhev redon hi-vac 400 ml-kompletní 05.000.22.803</t>
  </si>
  <si>
    <t>ZB780</t>
  </si>
  <si>
    <t>Kontejner 120 ml sterilní 331690250350</t>
  </si>
  <si>
    <t>ZC345</t>
  </si>
  <si>
    <t>Čepelka skalpelová typ 367 BB367R</t>
  </si>
  <si>
    <t>ZC575</t>
  </si>
  <si>
    <t>Sada vertecem se složkami pro míchání 07.702.016S</t>
  </si>
  <si>
    <t>ZC581</t>
  </si>
  <si>
    <t>Sada viscosafe pro injekční aplikaci 03.702.215S</t>
  </si>
  <si>
    <t>ZC753</t>
  </si>
  <si>
    <t>Čepelka skalpelová 20 BB520</t>
  </si>
  <si>
    <t>ZD208</t>
  </si>
  <si>
    <t>Hadice spojovací k odsávacím soupravám 07.068.25.220</t>
  </si>
  <si>
    <t>ZE310</t>
  </si>
  <si>
    <t>Nádoba na kontaminovaný odpad CS 6 l pův. 077802300</t>
  </si>
  <si>
    <t>ZE877</t>
  </si>
  <si>
    <t>Fréza 7BA60</t>
  </si>
  <si>
    <t>ZF258</t>
  </si>
  <si>
    <t>Fréza 7BA50</t>
  </si>
  <si>
    <t>ZF271</t>
  </si>
  <si>
    <t>Vrták diamantový 7BA50D</t>
  </si>
  <si>
    <t>ZF273</t>
  </si>
  <si>
    <t>Fréza 7BA40</t>
  </si>
  <si>
    <t>ZF274</t>
  </si>
  <si>
    <t>Vrták diamantový 7BA60D</t>
  </si>
  <si>
    <t>ZF285</t>
  </si>
  <si>
    <t>Kraniotom F2/8TA23S</t>
  </si>
  <si>
    <t>ZH831</t>
  </si>
  <si>
    <t xml:space="preserve">Elektroda unipolární jednorázová MB-100 </t>
  </si>
  <si>
    <t>ZI781</t>
  </si>
  <si>
    <t>Elektroda neutrální monopolární pro dospělé á 100 ks 2125</t>
  </si>
  <si>
    <t>ZK552</t>
  </si>
  <si>
    <t>Vrták codman disposable perforator 14 mm 26-1221</t>
  </si>
  <si>
    <t>ZA377</t>
  </si>
  <si>
    <t>Vak drenážní sběrný externí dočasný codman 82-1731</t>
  </si>
  <si>
    <t>ZB430</t>
  </si>
  <si>
    <t>Sada jehel pro verboplastiku 8G s bočným otevřením bal. á 2 ks 03.702.216S</t>
  </si>
  <si>
    <t>ZD146</t>
  </si>
  <si>
    <t>Vak drenážní sběrný lumbální  EDM 27666</t>
  </si>
  <si>
    <t>ZE793</t>
  </si>
  <si>
    <t>Vrták midas 1,5 x 6 mm 8TD156</t>
  </si>
  <si>
    <t>ZH545</t>
  </si>
  <si>
    <t>Nástavec ke kraniotomu AF02</t>
  </si>
  <si>
    <t>ZF086</t>
  </si>
  <si>
    <t>Škrabka okrouhlá rovná ollier 16,0 mm 22,6 cm 397124140060</t>
  </si>
  <si>
    <t>KH417</t>
  </si>
  <si>
    <t>needle Adapter Kit 03.702.224.02S</t>
  </si>
  <si>
    <t>ZJ807</t>
  </si>
  <si>
    <t>Nůžky durotip zahnuté metzenbaum 180 mm BC271R</t>
  </si>
  <si>
    <t>ZI782</t>
  </si>
  <si>
    <t>Elektroda neutrální monopolární pro děti 2600 (dřív.k.č.2225)</t>
  </si>
  <si>
    <t>ZI330</t>
  </si>
  <si>
    <t xml:space="preserve">Sleeves sterile drape FC1004 </t>
  </si>
  <si>
    <t>KA274</t>
  </si>
  <si>
    <t>matka vnitřní 179702000</t>
  </si>
  <si>
    <t>KA343</t>
  </si>
  <si>
    <t>cespace b braun FJ136T</t>
  </si>
  <si>
    <t>KA345</t>
  </si>
  <si>
    <t>cespace b braun FJ144T</t>
  </si>
  <si>
    <t>KA346</t>
  </si>
  <si>
    <t>cespace b braun FJ145T</t>
  </si>
  <si>
    <t>KA347</t>
  </si>
  <si>
    <t>cespace b braun FJ146T</t>
  </si>
  <si>
    <t>KE819</t>
  </si>
  <si>
    <t>šroub vectra 04.613.718</t>
  </si>
  <si>
    <t>KE833</t>
  </si>
  <si>
    <t>šroub polyaxální 179712650</t>
  </si>
  <si>
    <t>KE834</t>
  </si>
  <si>
    <t>šroub polyaxální 179712655</t>
  </si>
  <si>
    <t>KG665</t>
  </si>
  <si>
    <t>tyč předohnutá 40 mm 179772040</t>
  </si>
  <si>
    <t>KH280</t>
  </si>
  <si>
    <t>čepička MATRIX 09.632.099</t>
  </si>
  <si>
    <t>KH283</t>
  </si>
  <si>
    <t>šroub MATRIX Perforovaný 6 x 40 mm 04.637.640S</t>
  </si>
  <si>
    <t>ZA081</t>
  </si>
  <si>
    <t>Šroub mini 2 L6-ti 520100</t>
  </si>
  <si>
    <t>KA342</t>
  </si>
  <si>
    <t>cespace b braun FJ135T</t>
  </si>
  <si>
    <t>KA348</t>
  </si>
  <si>
    <t>cespace b braun FJ147T</t>
  </si>
  <si>
    <t>KD638</t>
  </si>
  <si>
    <t>pyramesh 905-163</t>
  </si>
  <si>
    <t>KF020</t>
  </si>
  <si>
    <t>čepička pangea 04.620.000</t>
  </si>
  <si>
    <t>KF155</t>
  </si>
  <si>
    <t xml:space="preserve">klip na aneurysma FE720K  </t>
  </si>
  <si>
    <t>KF164</t>
  </si>
  <si>
    <t>klip na aneurysma FE760K</t>
  </si>
  <si>
    <t>KH284</t>
  </si>
  <si>
    <t>šroub MATRIX Perforovaný 6 x 50 mm 04.637.650S</t>
  </si>
  <si>
    <t>KH285</t>
  </si>
  <si>
    <t>šroub MATRIX Perforovaný 6 x 45 mm 04.637.645S</t>
  </si>
  <si>
    <t>KH288</t>
  </si>
  <si>
    <t>šroub MATRIX Polyaxial 6 x 50 mm 04.606.650</t>
  </si>
  <si>
    <t>KH333</t>
  </si>
  <si>
    <t>tyč MIS MATRIX 80mm 04.651.280</t>
  </si>
  <si>
    <t>KH769</t>
  </si>
  <si>
    <t>šroub polyaxiální 6.5 x 35mm 124.463</t>
  </si>
  <si>
    <t>KH770</t>
  </si>
  <si>
    <t>šroub polyaxiální 6.5 x 40mm 124.464</t>
  </si>
  <si>
    <t>KH771</t>
  </si>
  <si>
    <t>šroub polyaxiální 6.5 x 50mm 124.466</t>
  </si>
  <si>
    <t>KH772</t>
  </si>
  <si>
    <t>šroub polyaxiální 6.5 x 55mm 124.467</t>
  </si>
  <si>
    <t>KH782</t>
  </si>
  <si>
    <t>tyč ohnutá 5,5 x 40 mm 124.640</t>
  </si>
  <si>
    <t>KH783</t>
  </si>
  <si>
    <t>tyč ohnutá 5,5 x 45 mm 124.645</t>
  </si>
  <si>
    <t>KH784</t>
  </si>
  <si>
    <t>tyč ohnutá 5,5 x 50 mm 124.650</t>
  </si>
  <si>
    <t>KH789</t>
  </si>
  <si>
    <t>tyč ohnutá 5,5 x 80 mm 124.680</t>
  </si>
  <si>
    <t>KH809</t>
  </si>
  <si>
    <t>Šroub uzamykací 124.000</t>
  </si>
  <si>
    <t>KH810</t>
  </si>
  <si>
    <t>Šroub polyaxiální 6,5 x  45 mm 124.465</t>
  </si>
  <si>
    <t>KH887</t>
  </si>
  <si>
    <t>klec bederní TM Ardis 9x9x26mm 06-702-02091</t>
  </si>
  <si>
    <t>ZA082</t>
  </si>
  <si>
    <t>Dlaha mini přímá 26 otvorová 533000</t>
  </si>
  <si>
    <t>KA179</t>
  </si>
  <si>
    <t>šroub TSLP 489.154</t>
  </si>
  <si>
    <t>KF019</t>
  </si>
  <si>
    <t>šroub spirit 6 x 50 mm 04.624.650</t>
  </si>
  <si>
    <t>KD523</t>
  </si>
  <si>
    <t>dlaha vectra 04.613.136</t>
  </si>
  <si>
    <t>KH334</t>
  </si>
  <si>
    <t>tyč MIS MATRIX 85mm 04.651.285</t>
  </si>
  <si>
    <t>KD730</t>
  </si>
  <si>
    <t>Klip na aneurysma FE700K</t>
  </si>
  <si>
    <t>KE868</t>
  </si>
  <si>
    <t>dlaha vectra 04.613.146</t>
  </si>
  <si>
    <t>KI120</t>
  </si>
  <si>
    <t>klec bederní TM Ardis 10x9x26mm 06-702-02101</t>
  </si>
  <si>
    <t>KF827</t>
  </si>
  <si>
    <t>klip na aneurysma FE780K</t>
  </si>
  <si>
    <t>KG636</t>
  </si>
  <si>
    <t>klip na aneurysma FE680K</t>
  </si>
  <si>
    <t>KI240</t>
  </si>
  <si>
    <t>implantát spinální FACET WEDGE, střední, slitina titanu, zelený, sterilní 04.630.131S</t>
  </si>
  <si>
    <t>KI241</t>
  </si>
  <si>
    <t>implamtát spinální FACET WEDGE, velký, slitina titanu, tmavě fialový, sterilní 04.630.132S</t>
  </si>
  <si>
    <t>KI134</t>
  </si>
  <si>
    <t>klec bederní TM Ardis 12x11x26mm 06-702-04121</t>
  </si>
  <si>
    <t>KI218</t>
  </si>
  <si>
    <t>Klip rovný 15,0 mm  FE624K</t>
  </si>
  <si>
    <t>KI242</t>
  </si>
  <si>
    <t>šroub FACET WEDGET 3,0 x 12mm, tmavě modrý, sterilní, bal/ 2ks, 04.630.135.02S</t>
  </si>
  <si>
    <t>KI133</t>
  </si>
  <si>
    <t>klec bederní TM Ardis 11x11x26mm 06-702-04111</t>
  </si>
  <si>
    <t>KI119</t>
  </si>
  <si>
    <t>klec bederní TM Ardis 8x9x26mm 06-702-02081</t>
  </si>
  <si>
    <t>ZB975</t>
  </si>
  <si>
    <t>Klec bederní AVENUE - L boční H12 mm 17 x 40 mm 6° IR6232P</t>
  </si>
  <si>
    <t>KE277</t>
  </si>
  <si>
    <t>pyramesh 905-255</t>
  </si>
  <si>
    <t>KI238</t>
  </si>
  <si>
    <t>náhrada těla obratle Hydrolift, velikost 5, endoplate "M"21,85x24, délka 40-60,5mm SV014T</t>
  </si>
  <si>
    <t>ZD558</t>
  </si>
  <si>
    <t>Kotva bederní AVENUE - L boční vel. M IR6002T</t>
  </si>
  <si>
    <t>KG826</t>
  </si>
  <si>
    <t>dlaha krční HWS 24 mm FG424T</t>
  </si>
  <si>
    <t>KE857</t>
  </si>
  <si>
    <t>dlaha vectra 04.613.018</t>
  </si>
  <si>
    <t>KD188</t>
  </si>
  <si>
    <t>šroub TSLP 489.150</t>
  </si>
  <si>
    <t>KH281</t>
  </si>
  <si>
    <t>hlava šroubu MATRIX polyaxiální 04.632.001</t>
  </si>
  <si>
    <t>KE996</t>
  </si>
  <si>
    <t>tyč předohnutá 45 mm 179772045</t>
  </si>
  <si>
    <t>KE837</t>
  </si>
  <si>
    <t>šroub polyaxální 179712750</t>
  </si>
  <si>
    <t>KG056</t>
  </si>
  <si>
    <t>tyč kovová 35 mm 179772035</t>
  </si>
  <si>
    <t>KG651</t>
  </si>
  <si>
    <t>šroub bikortikalní 3,5 x 20 mm LB460T</t>
  </si>
  <si>
    <t>KF695</t>
  </si>
  <si>
    <t>tyč spirit   90 mm 04.631.290</t>
  </si>
  <si>
    <t>KE792</t>
  </si>
  <si>
    <t>šroub vectra 04.613.714</t>
  </si>
  <si>
    <t>ZI233</t>
  </si>
  <si>
    <t>Klip na aneurysma FE751K</t>
  </si>
  <si>
    <t>KE836</t>
  </si>
  <si>
    <t>šroub polyaxální 179712745</t>
  </si>
  <si>
    <t>KI313</t>
  </si>
  <si>
    <t>implantát spinální SUSTAIN Titan 8mm Lordotic 101.228</t>
  </si>
  <si>
    <t>KE791</t>
  </si>
  <si>
    <t>dlaha vectra 04.613.130</t>
  </si>
  <si>
    <t>KH328</t>
  </si>
  <si>
    <t>tyč MIS MARTIX 40mm 04.651.240</t>
  </si>
  <si>
    <t>KH326</t>
  </si>
  <si>
    <t>šroub MATRIX Perforovaný 6 x 55mm 04.637.655S</t>
  </si>
  <si>
    <t>KI344</t>
  </si>
  <si>
    <t>implantát spinální SUSTAIN Titan 6mm Parallel 101.206</t>
  </si>
  <si>
    <t>KI250</t>
  </si>
  <si>
    <t>implantát spinální náhrada těla obratle TI vel. L 25x32 0 DEG 39-41mm 116,014</t>
  </si>
  <si>
    <t>KI121</t>
  </si>
  <si>
    <t>klec bederní TM Ardis 11x9x26mm 06-702-02111</t>
  </si>
  <si>
    <t>KI278</t>
  </si>
  <si>
    <t>sada jehel pro vertebroplastiku s bočním otvorem 03.702.216S</t>
  </si>
  <si>
    <t>KI213</t>
  </si>
  <si>
    <t>tyč MIS MATRIX 5,0 x 35mm Titan 04.651.035</t>
  </si>
  <si>
    <t>ZD700</t>
  </si>
  <si>
    <t>Elektroda model 3389-40</t>
  </si>
  <si>
    <t>ZE224</t>
  </si>
  <si>
    <t>Prodlužka katetru FC1020</t>
  </si>
  <si>
    <t>ZE752</t>
  </si>
  <si>
    <t>Systém neuromodulační 37601</t>
  </si>
  <si>
    <t>ZE753</t>
  </si>
  <si>
    <t>Kabel spojovací RC 40 cm BN3708640D</t>
  </si>
  <si>
    <t>ZE754</t>
  </si>
  <si>
    <t>Programátor pacientský k PC, RC 37642</t>
  </si>
  <si>
    <t>ZE991</t>
  </si>
  <si>
    <t>Tunneling tool 3755-40</t>
  </si>
  <si>
    <t>ZL648</t>
  </si>
  <si>
    <t>Stimloc 924256</t>
  </si>
  <si>
    <t>ZM005</t>
  </si>
  <si>
    <t>Set NEXFRAME-jednorázový materiál k operaci</t>
  </si>
  <si>
    <t>ZF977</t>
  </si>
  <si>
    <t>Kabel spojovací RC 95 cm BN3708695D</t>
  </si>
  <si>
    <t>ZD244</t>
  </si>
  <si>
    <t>Kabel spojovací - prodlužovací DBS 40 cm 37085-40</t>
  </si>
  <si>
    <t>KF150</t>
  </si>
  <si>
    <t>shunt VP FV072P</t>
  </si>
  <si>
    <t>ZA217</t>
  </si>
  <si>
    <t>Katetr drenážní lumbální EDM 80 cm W/Tip 46419</t>
  </si>
  <si>
    <t>ZD618</t>
  </si>
  <si>
    <t>Katetr drenážní komorový se sběrným vakem Exakta 27581</t>
  </si>
  <si>
    <t>KF770</t>
  </si>
  <si>
    <t>set boreholeport FV042T</t>
  </si>
  <si>
    <t>ZA376</t>
  </si>
  <si>
    <t>Katetr drenážní komorový se sběrným vakem EDS III with Ventricular 82-1730</t>
  </si>
  <si>
    <t>ZG340</t>
  </si>
  <si>
    <t>Katetr drenážní komorový s ATB úzký 1,5 mm 82-1745</t>
  </si>
  <si>
    <t>ZD404</t>
  </si>
  <si>
    <t>Katetr drenáží lumbální Codman s mandrenem 82-1707</t>
  </si>
  <si>
    <t>KF242</t>
  </si>
  <si>
    <t>shunt VP FV441T</t>
  </si>
  <si>
    <t>ZB033</t>
  </si>
  <si>
    <t>Šití dafilon modrý 3/0 bal. á 36 ks C0935468</t>
  </si>
  <si>
    <t>ZB175</t>
  </si>
  <si>
    <t>Šití maxon zelený 1 bal. á 12 ks GMM873L</t>
  </si>
  <si>
    <t>ZB649</t>
  </si>
  <si>
    <t>Šití nurolon černý 3/0 bal. á 12 ks W6540</t>
  </si>
  <si>
    <t>ZC076</t>
  </si>
  <si>
    <t>Šití silon braided white bal. á 20 ks SB2057</t>
  </si>
  <si>
    <t>ZC295</t>
  </si>
  <si>
    <t>Šití silon braided white bal. á 20 ks SB2059</t>
  </si>
  <si>
    <t>ZC679</t>
  </si>
  <si>
    <t>Šití vicryl plus 2/0 bal. á 36 ks VCP9900H</t>
  </si>
  <si>
    <t>ZD222</t>
  </si>
  <si>
    <t>Šití dafilon modrý 3/0 bal. á 36 ks C0932469</t>
  </si>
  <si>
    <t>ZE802</t>
  </si>
  <si>
    <t>Šití vicryl plus 2/0 bal. á 36 ks VCP9360H</t>
  </si>
  <si>
    <t>ZF429</t>
  </si>
  <si>
    <t>Šití prolen bl 5/0 bal. á 12 ks W8710</t>
  </si>
  <si>
    <t>ZB204</t>
  </si>
  <si>
    <t>Jehla chirurgická G11</t>
  </si>
  <si>
    <t>ZB468</t>
  </si>
  <si>
    <t>Jehla chirurgická G14</t>
  </si>
  <si>
    <t>ZB480</t>
  </si>
  <si>
    <t>Jehla chirurgická G10</t>
  </si>
  <si>
    <t>ZE993</t>
  </si>
  <si>
    <t>Rukavice operační ansell sensi - touch vel. 6,5 bal. á 40 párů 8050152</t>
  </si>
  <si>
    <t>ZK683</t>
  </si>
  <si>
    <t>Rukavice operační gammex PF sensitive vel. 7,0 353194</t>
  </si>
  <si>
    <t>ZL070</t>
  </si>
  <si>
    <t>Rukavice operační gammex bez pudru PF EnLite vel. 6,0 353382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</si>
  <si>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</si>
  <si>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</si>
  <si>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</si>
  <si>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</si>
  <si>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ZJ291</t>
  </si>
  <si>
    <t>Systém neurostimulační Synchromed II-20 ml 8637-20</t>
  </si>
  <si>
    <t>KH669</t>
  </si>
  <si>
    <t>chronOS Putty 2,5cc sterilní 710.802S</t>
  </si>
  <si>
    <t>ZA275</t>
  </si>
  <si>
    <t>Neuro-patch   6 x   8 cm 1064029</t>
  </si>
  <si>
    <t>ZA276</t>
  </si>
  <si>
    <t>Neuro-patch   4 x   5 cm á 2 ks 1064045</t>
  </si>
  <si>
    <t>ZB153</t>
  </si>
  <si>
    <t>Vosk kostní Knochenwasch 2,5G 1029754</t>
  </si>
  <si>
    <t>ZE191</t>
  </si>
  <si>
    <t>Náhrada dury 5 x 5 cm 61100</t>
  </si>
  <si>
    <t>KE459</t>
  </si>
  <si>
    <t>chronos strips  50 x 25 x 3 mm 07.801.100S</t>
  </si>
  <si>
    <t>KE629</t>
  </si>
  <si>
    <t>inspace   8 mm 04.630.008S</t>
  </si>
  <si>
    <t>KH673</t>
  </si>
  <si>
    <t>plivioPore 11 mm sterilní 495.041S</t>
  </si>
  <si>
    <t>KH822</t>
  </si>
  <si>
    <t>ceSpace PEEK 16 x 7,0 mm FJ427P</t>
  </si>
  <si>
    <t>KH875</t>
  </si>
  <si>
    <t>ceSeSpacePEEK 16 x 5,0mm FJ425P</t>
  </si>
  <si>
    <t>KH674</t>
  </si>
  <si>
    <t>plivioPore 12 mm sterilní 495.042S</t>
  </si>
  <si>
    <t>KA086</t>
  </si>
  <si>
    <t>granule chron stratec 710.025S</t>
  </si>
  <si>
    <t>KH741</t>
  </si>
  <si>
    <t>ceSpace PEEK 16 x 6,0 mm FJ426P</t>
  </si>
  <si>
    <t>KI277</t>
  </si>
  <si>
    <t>KI276</t>
  </si>
  <si>
    <t>implantát kostní pro vertebroplastiku perkutánní, sada 07.702.016S</t>
  </si>
  <si>
    <t>KF068</t>
  </si>
  <si>
    <t>inplantát oracle 08.809.211S</t>
  </si>
  <si>
    <t>KI341</t>
  </si>
  <si>
    <t>implantát kostní NANOSTIM - hydroxid tekutý s aplikátorem 1cc 8470010</t>
  </si>
  <si>
    <t>Spotřeba zdravotnického materiálu - orientační přehled</t>
  </si>
  <si>
    <t>ON Data</t>
  </si>
  <si>
    <t>506 - Pracoviště neurochirurgie</t>
  </si>
  <si>
    <t>708 - Pracoviště anesteziologicko - resuscitační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</si>
  <si>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</si>
  <si>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</si>
  <si>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</si>
  <si>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506</t>
  </si>
  <si>
    <t>1</t>
  </si>
  <si>
    <t>0000502</t>
  </si>
  <si>
    <t>MESOCAIN 1%</t>
  </si>
  <si>
    <t>V</t>
  </si>
  <si>
    <t>09237</t>
  </si>
  <si>
    <t>OŠETŘENÍ A PŘEVAZ RÁNY VČETNĚ OŠETŘENÍ KOŽNÍCH A P</t>
  </si>
  <si>
    <t>09551</t>
  </si>
  <si>
    <t>SIGNÁLNÍ VÝKON - INFORMACE O VYDÁNÍ ROZHODNUTÍ O U</t>
  </si>
  <si>
    <t>10156</t>
  </si>
  <si>
    <t>Uvolneni karpalniho tunelu</t>
  </si>
  <si>
    <t>29510</t>
  </si>
  <si>
    <t>OBSTŘIK PERIFERNÍHO NERVU</t>
  </si>
  <si>
    <t>56023</t>
  </si>
  <si>
    <t>KONTROLNÍ VYŠETŘENÍ NEUROCHIRURGEM</t>
  </si>
  <si>
    <t>61247</t>
  </si>
  <si>
    <t>OPERACE KARPÁLNÍHO TUNELU</t>
  </si>
  <si>
    <t>80111</t>
  </si>
  <si>
    <t>APLIKACE ANALGETICKÝCH SMĚSÍ DO KONTINUÁLNÍCH KATÉ</t>
  </si>
  <si>
    <t>09547</t>
  </si>
  <si>
    <t>REGULAČNÍ POPLATEK -- POJIŠTĚNEC OD ÚHRADY POPLATK</t>
  </si>
  <si>
    <t>09567</t>
  </si>
  <si>
    <t>(VZP) ZÁKROK NA LEVÉ STRANĚ</t>
  </si>
  <si>
    <t>09543</t>
  </si>
  <si>
    <t>REGULAČNÍ POPLATEK ZA NÁVŠTĚVU -- POPLATEK UHRAZEN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</si>
  <si>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</si>
  <si>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</si>
  <si>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</si>
  <si>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</si>
  <si>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</si>
  <si>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</si>
  <si>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09545</t>
  </si>
  <si>
    <t>REGULAČNÍ POPLATEK ZA POHOTOVOSTNÍ SLUŽBU -- POPLA</t>
  </si>
  <si>
    <t>61115</t>
  </si>
  <si>
    <t xml:space="preserve">REVIZE, EXCIZE A SUTURA PORANĚNÍ KŮŽE A PODKOŽÍ A </t>
  </si>
  <si>
    <t>51811</t>
  </si>
  <si>
    <t>ABSCES NEBO HEMATOM SUBKUTANNÍ, PILONIDÁLNÍ, INTRA</t>
  </si>
  <si>
    <t>80023</t>
  </si>
  <si>
    <t>KONTROLNÍ VYŠETŘENÍ ALGEZIOLOGEM</t>
  </si>
  <si>
    <t>09569</t>
  </si>
  <si>
    <t>(VZP) ZÁKROK NA PRAVÉ STRANĚ</t>
  </si>
  <si>
    <t>708</t>
  </si>
  <si>
    <t>09550</t>
  </si>
  <si>
    <t>SIGNÁLNÍ VÝKON - INFORMACE O VYDÁNÍ ROZHODNUTÍ O D</t>
  </si>
  <si>
    <t>78023</t>
  </si>
  <si>
    <t>KONTROLNÍ VYŠETŘENÍ ANESTEZIOLOGEM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</si>
  <si>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</si>
  <si>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</si>
  <si>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</si>
  <si>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</si>
  <si>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</si>
  <si>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</si>
  <si>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</si>
  <si>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</si>
  <si>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</si>
  <si>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</si>
  <si>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</si>
  <si>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</si>
  <si>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</si>
  <si>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</si>
  <si>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</si>
  <si>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</si>
  <si>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 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</si>
  <si>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</si>
  <si>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</si>
  <si>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</si>
  <si>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</si>
  <si>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</si>
  <si>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</si>
  <si>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</si>
  <si>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</si>
  <si>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</si>
  <si>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</si>
  <si>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5F1</t>
  </si>
  <si>
    <t>54320</t>
  </si>
  <si>
    <t xml:space="preserve">ENDARTEREKTOMIE KAROTICKÁ A OSTATNÍCH PERIFERNÍCH </t>
  </si>
  <si>
    <t>57235</t>
  </si>
  <si>
    <t>TORAKOTOMIE PROSTÁ NEBO S BIOPSIÍ, EVAKUACÍ HEMATO</t>
  </si>
  <si>
    <t>54230</t>
  </si>
  <si>
    <t>ŽILNÍ REKONSTRUKCE PRO POSTTROMBOTICKÝ SYNDROM</t>
  </si>
  <si>
    <t>5F6</t>
  </si>
  <si>
    <t>0004234</t>
  </si>
  <si>
    <t>0008807</t>
  </si>
  <si>
    <t>0008808</t>
  </si>
  <si>
    <t>0015669</t>
  </si>
  <si>
    <t>0016600</t>
  </si>
  <si>
    <t>0020605</t>
  </si>
  <si>
    <t>COLOMYCIN INJEKCE 1000000 IU</t>
  </si>
  <si>
    <t>0046475</t>
  </si>
  <si>
    <t>0053922</t>
  </si>
  <si>
    <t>CIPHIN PRO INFUSIONE 200 MG/100 ML</t>
  </si>
  <si>
    <t>0058092</t>
  </si>
  <si>
    <t>CEFAZOLIN SANDOZ 1 G</t>
  </si>
  <si>
    <t>0065989</t>
  </si>
  <si>
    <t>0066137</t>
  </si>
  <si>
    <t>0072972</t>
  </si>
  <si>
    <t>0076360</t>
  </si>
  <si>
    <t>0092289</t>
  </si>
  <si>
    <t>EDICIN 0,5 G</t>
  </si>
  <si>
    <t>0096414</t>
  </si>
  <si>
    <t>GENTAMICIN LEK 80 MG/2 ML</t>
  </si>
  <si>
    <t>0164350</t>
  </si>
  <si>
    <t>TAZOCIN 4 G/0,5 G</t>
  </si>
  <si>
    <t>0004334</t>
  </si>
  <si>
    <t>2</t>
  </si>
  <si>
    <t>0007917</t>
  </si>
  <si>
    <t>Erytrocyty bez buffy coatu</t>
  </si>
  <si>
    <t>0007955</t>
  </si>
  <si>
    <t>Erytrocyty deleukotizované</t>
  </si>
  <si>
    <t>0207921</t>
  </si>
  <si>
    <t>Plazma čerstvá zmrazená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</si>
  <si>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</si>
  <si>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</si>
  <si>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</si>
  <si>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</si>
  <si>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</si>
  <si>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</si>
  <si>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</si>
  <si>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</si>
  <si>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</si>
  <si>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</si>
  <si>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</si>
  <si>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</si>
  <si>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</si>
  <si>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</si>
  <si>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</si>
  <si>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</si>
  <si>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</si>
  <si>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</si>
  <si>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</si>
  <si>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</si>
  <si>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0059098</t>
  </si>
  <si>
    <t>KLIP PERM.MOZK.ANEURY.FE740K.50.60</t>
  </si>
  <si>
    <t>0059128</t>
  </si>
  <si>
    <t>KLIP PERMANENTNÍ MOZKOVÝ ANEURYSMATICKÝ FE780K</t>
  </si>
  <si>
    <t>0059587</t>
  </si>
  <si>
    <t>LEPIDLO TKÁŇOVÉ FLOSEAL</t>
  </si>
  <si>
    <t>0064470</t>
  </si>
  <si>
    <t xml:space="preserve">IMPLANTÁT SPINÁLNÍ SYSTÉM MIS VIPER SATABILIZAČNÍ </t>
  </si>
  <si>
    <t>0065317</t>
  </si>
  <si>
    <t>IMPLANTÁT KRANIOFACIÁLNÍ FIXACE SKELETU</t>
  </si>
  <si>
    <t>0065323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</si>
  <si>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</si>
  <si>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</si>
  <si>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</si>
  <si>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</si>
  <si>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</si>
  <si>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0067177</t>
  </si>
  <si>
    <t>SYSTÉM IMPLANTABILNI NEUROSTIMULAČNÍ          ELEK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</si>
  <si>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</si>
  <si>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</si>
  <si>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</si>
  <si>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</si>
  <si>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</si>
  <si>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</si>
  <si>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</si>
  <si>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</si>
  <si>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</si>
  <si>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</si>
  <si>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</si>
  <si>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</si>
  <si>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0067892</t>
  </si>
  <si>
    <t>IMPLANTÁT SPINÁL.NÁHRADA OBRATLOVÁ        HRUDNÍ/B</t>
  </si>
  <si>
    <t>0068128</t>
  </si>
  <si>
    <t>IMPLANTÁT SPINÁL.SYSTÉM USS UNIVERZÁLNÍ   HRUDNÍ B</t>
  </si>
  <si>
    <t>0068278</t>
  </si>
  <si>
    <t xml:space="preserve">IMPLANTÁT SPINÁLNÍ SYSTÉM  DYNESYS STABILIZAČNÍ   </t>
  </si>
  <si>
    <t>0068280</t>
  </si>
  <si>
    <t>0068281</t>
  </si>
  <si>
    <t>0068353</t>
  </si>
  <si>
    <t>0068662</t>
  </si>
  <si>
    <t>IMPLANTÁT SPINÁLNÍ SYSTÉM TSLP           HRUDNÍ BE</t>
  </si>
  <si>
    <t>0068665</t>
  </si>
  <si>
    <t>0068666</t>
  </si>
  <si>
    <t>IMPLANTÁT SPINÁLNÍ SYSTÉM VECTRA                 K</t>
  </si>
  <si>
    <t>0068667</t>
  </si>
  <si>
    <t>0068670</t>
  </si>
  <si>
    <t>0068679</t>
  </si>
  <si>
    <t xml:space="preserve">IMPLANTÁT SPINÁL.SYSTÉM FIXAČNÍ CDH LEGACY 5,5 TI </t>
  </si>
  <si>
    <t>0069080</t>
  </si>
  <si>
    <t>IMPLANTÁT KOSTNÍ UMĚLÁ NÁHRADA TKÁNĚ  CHRONOS</t>
  </si>
  <si>
    <t>0069089</t>
  </si>
  <si>
    <t>0069195</t>
  </si>
  <si>
    <t>IMPLANTÁT KOSTNÍ UMĚLÁ NÁHRADA ŠTĚPU CONDUIT VSTŘE</t>
  </si>
  <si>
    <t>0069201</t>
  </si>
  <si>
    <t>IMPLANTÁT SPINÁLNÍ SYSTÉM S4                    BE</t>
  </si>
  <si>
    <t>0069202</t>
  </si>
  <si>
    <t>0069209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</si>
  <si>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</si>
  <si>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</si>
  <si>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</si>
  <si>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</si>
  <si>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</si>
  <si>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</si>
  <si>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0069527</t>
  </si>
  <si>
    <t>IMPLANTÁT SPINÁL.NÁHRADA MEZIOBRATLOVÁ           B</t>
  </si>
  <si>
    <t>0069597</t>
  </si>
  <si>
    <t>SYSTÉM HYDROCEPHALNÍ DRENÁŽNÍ-SHUNT</t>
  </si>
  <si>
    <t>0069678</t>
  </si>
  <si>
    <t xml:space="preserve">IMPLANTÁT SPINÁL.SYSTÉM FIXAČNÍ CDH LEGACY 5.5 TI </t>
  </si>
  <si>
    <t>0069787</t>
  </si>
  <si>
    <t>IMPLANTÁT SPINÁLNÍ INTERSPINÓZNÍ DIAM</t>
  </si>
  <si>
    <t>0069861</t>
  </si>
  <si>
    <t>IMPLANTÁT SPINÁL.NÁHRADA MEZIOBRAT.PYRAMESH TI KRK</t>
  </si>
  <si>
    <t>0069872</t>
  </si>
  <si>
    <t>0069873</t>
  </si>
  <si>
    <t>0069883</t>
  </si>
  <si>
    <t>IMPLANTÁT SPINÁLNÍ SYSTÉM FIXAČNÍ TENOR TI HRUDNÍ/</t>
  </si>
  <si>
    <t>0069902</t>
  </si>
  <si>
    <t>IMPLANTÁT SPINÁLNÍ SYSTÉM TSRH-3D TI      HRUDNÍ/B</t>
  </si>
  <si>
    <t>0069903</t>
  </si>
  <si>
    <t>0069904</t>
  </si>
  <si>
    <t>0069909</t>
  </si>
  <si>
    <t>0091802</t>
  </si>
  <si>
    <t>IMPLANTÁT KOSTNÍ UMĚLÁ NÁHRADA ŠTĚPU  CHRONOS STRI</t>
  </si>
  <si>
    <t>0091804</t>
  </si>
  <si>
    <t>0095660</t>
  </si>
  <si>
    <t>SYSTÉM ZEVNÍ DRENÁŽNÍ LIKVOROVÝ DOČASNÝ CODMAN</t>
  </si>
  <si>
    <t>0095861</t>
  </si>
  <si>
    <t>IMPLANTÁT SPINÁLNÍ SYSTÉM PANGEA         HRUDNÍ/BE</t>
  </si>
  <si>
    <t>0095934</t>
  </si>
  <si>
    <t>IMPLANTÁT SPINÁL.SYSTÉM FIXAČNÍ CDH LEGACY MAST TI</t>
  </si>
  <si>
    <t>0096060</t>
  </si>
  <si>
    <t>IMPLANTÁT SPINÁLNÍ SYSTÉM TRINICA SELECT STABILIZA</t>
  </si>
  <si>
    <t>0096268</t>
  </si>
  <si>
    <t>IMPLANTÁT SPINÁL.SYSTÉM IN-SPACE INTERSPINÓZNÍ   B</t>
  </si>
  <si>
    <t>0096274</t>
  </si>
  <si>
    <t>0096275</t>
  </si>
  <si>
    <t>IMPLANTÁT SPINÁLNÍ SYSTÉM CLICK X        HRUDNÍ/BE</t>
  </si>
  <si>
    <t>0096317</t>
  </si>
  <si>
    <t>IMPLANTÁT KOSTNÍ UMĚLÁ NÁHRADA DURÁLNÍ S KOLAGENEM</t>
  </si>
  <si>
    <t>0096318</t>
  </si>
  <si>
    <t>0096462</t>
  </si>
  <si>
    <t>SYSTÉM IMPLANTABILNÍ NEUROSTIMULAČNÍ PRIME ADVANCE</t>
  </si>
  <si>
    <t>0096893</t>
  </si>
  <si>
    <t>IMPLANTÁT SPINÁLNÍ SYSTÉM SPIRIT         HRUDNÍ/BE</t>
  </si>
  <si>
    <t>0096970</t>
  </si>
  <si>
    <t>IMPLANTÁT KOSTNÍ PRO VERTEBROPLASTIKU PERKUTÁNNÍ</t>
  </si>
  <si>
    <t>0161019</t>
  </si>
  <si>
    <t>0161607</t>
  </si>
  <si>
    <t>IMPLANTÁT SPINÁL.NÁHRADA MEZIOBRATLOVÁ     HRUDNÍ/</t>
  </si>
  <si>
    <t>0161676</t>
  </si>
  <si>
    <t>IMPLANTÁT SPINÁLNÍ SYSTÉM MIS VIPER STABILIZAČNÍ B</t>
  </si>
  <si>
    <t>0161944</t>
  </si>
  <si>
    <t>IMPLANTÁT SPINÁLNÍ FIXAČNÍ SYSTÉM MATRIX 5.5 HRUD/</t>
  </si>
  <si>
    <t>0161946</t>
  </si>
  <si>
    <t>0161951</t>
  </si>
  <si>
    <t>0161952</t>
  </si>
  <si>
    <t>0161954</t>
  </si>
  <si>
    <t>0192491</t>
  </si>
  <si>
    <t>IMPLANTÁT SPINÁLNÍ FIXAČNÍ SYSTÉM REVERE HRUDNÍ BE</t>
  </si>
  <si>
    <t>0192493</t>
  </si>
  <si>
    <t>0192495</t>
  </si>
  <si>
    <t>0192688</t>
  </si>
  <si>
    <t>IMPLANTÁT SPINÁLNÍ MINIINVAZIVNÍ SYSTÉM FIXAČNÍ VI</t>
  </si>
  <si>
    <t>0192689</t>
  </si>
  <si>
    <t>0193258</t>
  </si>
  <si>
    <t>IMPLANTÁT SPINÁLNÍ NÁHRADA MEZIOBRATLOVÁ TM BEDERN</t>
  </si>
  <si>
    <t>0083612</t>
  </si>
  <si>
    <t>IMPLANTÁT KRANIÁLNÍ FIXAČNÍ CRANIOFIX2</t>
  </si>
  <si>
    <t>0091800</t>
  </si>
  <si>
    <t>IMPLANTÁT KOSTNÍ UMĚLÁ NÁHRADA TKÁNĚ  NANOSTIM</t>
  </si>
  <si>
    <t>0192516</t>
  </si>
  <si>
    <t>IMPLANTÁT SPINÁLNÍ NÁHR.MEZIOBR.SUSTAIN BEDERNÍ PŘ</t>
  </si>
  <si>
    <t>0192525</t>
  </si>
  <si>
    <t>IMPLANTÁT SPINÁLNÍ NÁHR.TĚLA OBRAT.XPAND HRUD.BED.</t>
  </si>
  <si>
    <t>0096913</t>
  </si>
  <si>
    <t>IMPLANTÁT SPINÁL.NÁHRADA OBRATLOVÁ HYDROLIFT 2   H</t>
  </si>
  <si>
    <t>0151883</t>
  </si>
  <si>
    <t>SÍŤKA KÝLNÍ  SMH2 2030 S</t>
  </si>
  <si>
    <t>0151832</t>
  </si>
  <si>
    <t>IMPLANTÁT SPINÁLNÍ AVENUE-L,NÁHRADA MEZIOBRAT.,KLE</t>
  </si>
  <si>
    <t>0191946</t>
  </si>
  <si>
    <t>DRÁT VODÍCÍ PRO PTCA, PRO VIA</t>
  </si>
  <si>
    <t>0096719</t>
  </si>
  <si>
    <t>0096972</t>
  </si>
  <si>
    <t xml:space="preserve">IMPLANTÁT SPINÁL.NÁHRADA MEZIOBRATLOVÁ ZERO-P     </t>
  </si>
  <si>
    <t>0096973</t>
  </si>
  <si>
    <t>0166185</t>
  </si>
  <si>
    <t>IMPLANTÁT PRO KYFOPLASTIKU PERKUTÁNNÍ VBS S/M/L 2B</t>
  </si>
  <si>
    <t>0113361</t>
  </si>
  <si>
    <t>IMPLANTÁT SPINÁLNÍ SYSTÉM FACET WEDGE BEDERNÍ PÁTE</t>
  </si>
  <si>
    <t>0113362</t>
  </si>
  <si>
    <t>IMPLANTÁT SPINÁLNÍ SYSTÉM FACET WEDGE BEDERNÍ ZADN</t>
  </si>
  <si>
    <t>0069219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</si>
  <si>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</si>
  <si>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</si>
  <si>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</si>
  <si>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</si>
  <si>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</si>
  <si>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</si>
  <si>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</si>
  <si>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</si>
  <si>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56153</t>
  </si>
  <si>
    <t>EXTRA - INTRAKRANIÁLNÍ ANASTOMÓZA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</si>
  <si>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</si>
  <si>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</si>
  <si>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</si>
  <si>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</si>
  <si>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</si>
  <si>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</si>
  <si>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</si>
  <si>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</si>
  <si>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56178</t>
  </si>
  <si>
    <t>PRODLOUŽENÍ VÝKONU KRANIOTOMIE A RESEKCE, PŘÍPADNĚ</t>
  </si>
  <si>
    <t>56239</t>
  </si>
  <si>
    <t>ODSTRANĚNÍ STIMULAČNÍ MÍŠNÍ ELEKTRODY</t>
  </si>
  <si>
    <t>56244</t>
  </si>
  <si>
    <t>DEKOMPRESE NEBO BIOPSIE INTRAMEDULÁRNÍHO TUMORU MÍ</t>
  </si>
  <si>
    <t>56249</t>
  </si>
  <si>
    <t>ODSTRANĚNÍ EXTRADURÁLNÍHO TUMORU MÍCHY PŘEDNÍM NEB</t>
  </si>
  <si>
    <t>56324</t>
  </si>
  <si>
    <t>DEKOMPRESE OSTATNÍCH VELKÝCH A STŘEDNÍCH NERVŮ</t>
  </si>
  <si>
    <t>56413</t>
  </si>
  <si>
    <t>MIKROCHIRURGICKÁ SUTURA NERVU PŘÍMÁ BEZ AUTOTRANSP</t>
  </si>
  <si>
    <t>56419</t>
  </si>
  <si>
    <t>POUŽITÍ OPERAČNÍHO MIKROSKOPU Á 15 MINUT</t>
  </si>
  <si>
    <t>56423</t>
  </si>
  <si>
    <t>STEREOTAKTICKÁ IMPLANTACE HLUBOKÝCH MOZKOVÝCH ELEK</t>
  </si>
  <si>
    <t>61137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</si>
  <si>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</si>
  <si>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</si>
  <si>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</si>
  <si>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</si>
  <si>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</si>
  <si>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</si>
  <si>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</si>
  <si>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</si>
  <si>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</si>
  <si>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</si>
  <si>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</si>
  <si>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</si>
  <si>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</si>
  <si>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</si>
  <si>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</si>
  <si>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</si>
  <si>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</si>
  <si>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71627</t>
  </si>
  <si>
    <t>ZADNÍ TAMPONÁDA NOSNÍ PRO EPISTAXI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</si>
  <si>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</si>
  <si>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</si>
  <si>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</si>
  <si>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</si>
  <si>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</si>
  <si>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</si>
  <si>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89311</t>
  </si>
  <si>
    <t xml:space="preserve">INTERVENČNÍ VÝKON ŘÍZENÝ RDG METODOU (SKIASKOPIE, </t>
  </si>
  <si>
    <t>09544</t>
  </si>
  <si>
    <t>REGULAČNÍ POPLATEK ZA KAŽDÝ DEN LŮŽKOVÉ PÉČE -- PO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</si>
  <si>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</si>
  <si>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</si>
  <si>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</si>
  <si>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</si>
  <si>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</si>
  <si>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</si>
  <si>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</si>
  <si>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</si>
  <si>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</si>
  <si>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</si>
  <si>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</si>
  <si>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</si>
  <si>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</si>
  <si>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</si>
  <si>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</si>
  <si>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</si>
  <si>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</si>
  <si>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</si>
  <si>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</si>
  <si>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</si>
  <si>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56021</t>
  </si>
  <si>
    <t>KOMPLEXNÍ VYŠETŘENÍ NEUROCHIRURGEM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</si>
  <si>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</si>
  <si>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</si>
  <si>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</si>
  <si>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</si>
  <si>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</si>
  <si>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</si>
  <si>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</si>
  <si>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</si>
  <si>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</si>
  <si>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</si>
  <si>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</si>
  <si>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</si>
  <si>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</si>
  <si>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</si>
  <si>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</si>
  <si>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</si>
  <si>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80099</t>
  </si>
  <si>
    <t>signalni  kod misni stimulace se dvema elektrodami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</si>
  <si>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</si>
  <si>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</si>
  <si>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</si>
  <si>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</si>
  <si>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</si>
  <si>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</si>
  <si>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</si>
  <si>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</si>
  <si>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56171</t>
  </si>
  <si>
    <t>PERKUTÁNNÍ VÝKON NA GASSER. GANGLIU NEBO KOŘENĚ</t>
  </si>
  <si>
    <t>66317</t>
  </si>
  <si>
    <t>REVIZNÍ OPERACE PÁTEŘE - PŘEDNÍ - ZADNÍ - ODSTRANĚ</t>
  </si>
  <si>
    <t>56411</t>
  </si>
  <si>
    <t>BIOPSIE NEBO ODBĚR NERVU, EXHAIRESA VĚTVÍ N. V.</t>
  </si>
  <si>
    <t>56247</t>
  </si>
  <si>
    <t>ČÁSTEČNÉ NEBO TOTÁLNÍ ODSTRANĚNÍ EXTRADURÁLNÍHO TU</t>
  </si>
  <si>
    <t>56251</t>
  </si>
  <si>
    <t>ČÁSTEČNÉ NEBO TOTÁLNÍ ODSTRANĚNÍ INTRADURÁLNÍHO TU</t>
  </si>
  <si>
    <t>56117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</si>
  <si>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</si>
  <si>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</si>
  <si>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</si>
  <si>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</si>
  <si>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</si>
  <si>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>80115</t>
  </si>
  <si>
    <t>IMPLANTACE NEUROSTIMULAČNÍHO ZAŘÍZENÍ (SYSTÉMU) PR</t>
  </si>
  <si>
    <t>56157</t>
  </si>
  <si>
    <t>KRANIOTOMIE PRO SUPRATENTORIÁLNÍ SPONTÁNNÍ INTRACE</t>
  </si>
  <si>
    <t>61145</t>
  </si>
  <si>
    <t>ODBĚR KORIOTUKOVÉHO ŠTĚPU</t>
  </si>
  <si>
    <t>66915</t>
  </si>
  <si>
    <t>DEKOMPRESE FASCIÁLNÍHO LOŽE</t>
  </si>
  <si>
    <t>56125</t>
  </si>
  <si>
    <t>OPERAČNÍ REVIZE NEBO ZAVEDENÍ DRENÁŽE MOZKOMÍŠNÍHO</t>
  </si>
  <si>
    <t>56221</t>
  </si>
  <si>
    <t>LAMINEKTOMIE PRO INTRADURÁLNÍ NEUROLÝZU NEBO NEOBV</t>
  </si>
  <si>
    <t>56147</t>
  </si>
  <si>
    <t>OŠETŘENÍ KOMPLIKOVANÉ ZLOMENINY LEBKY S (BEZ) REPA</t>
  </si>
  <si>
    <t>80113</t>
  </si>
  <si>
    <t>IMPLANTACE NEUROSTIMULAČNÍHO ZAŘÍZENÍ PRO STIMULAC</t>
  </si>
  <si>
    <t>56141</t>
  </si>
  <si>
    <t>HYPOFYZEKTOMIE TRANSSFENOIDÁLNÍ PROSTÁ</t>
  </si>
  <si>
    <t>56227</t>
  </si>
  <si>
    <t>DEKOMPRESIVNÍ OPERACE V OBLASTI KRANIOCERVIKÁLNÍHO</t>
  </si>
  <si>
    <t>66537</t>
  </si>
  <si>
    <t>RESEKCE KOSTRČE</t>
  </si>
  <si>
    <t>5T6</t>
  </si>
  <si>
    <t>0005113</t>
  </si>
  <si>
    <t>0011785</t>
  </si>
  <si>
    <t>AMIKIN 1 G</t>
  </si>
  <si>
    <t>0056801</t>
  </si>
  <si>
    <t>0076353</t>
  </si>
  <si>
    <t>FORTUM 1 G</t>
  </si>
  <si>
    <t>0076354</t>
  </si>
  <si>
    <t>FORTUM 2 G</t>
  </si>
  <si>
    <t>0083050</t>
  </si>
  <si>
    <t>0083417</t>
  </si>
  <si>
    <t>MERONEM 1 G</t>
  </si>
  <si>
    <t>0083487</t>
  </si>
  <si>
    <t>MERONEM 500 MG</t>
  </si>
  <si>
    <t>0130149</t>
  </si>
  <si>
    <t>0137499</t>
  </si>
  <si>
    <t>KLACID I.V.</t>
  </si>
  <si>
    <t>0142077</t>
  </si>
  <si>
    <t>TIENAM 500 MG/500 MG I.V.</t>
  </si>
  <si>
    <t>0147976</t>
  </si>
  <si>
    <t>MEROPENEM HOSPIRA 500 MG</t>
  </si>
  <si>
    <t>0162187</t>
  </si>
  <si>
    <t>0007905</t>
  </si>
  <si>
    <t>Erytrocyty z odběru plné krve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</si>
  <si>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</si>
  <si>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</si>
  <si>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</si>
  <si>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</si>
  <si>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</si>
  <si>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</si>
  <si>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0407942</t>
  </si>
  <si>
    <t>Příplatek za ozáření</t>
  </si>
  <si>
    <t>0007964</t>
  </si>
  <si>
    <t>Erytrocyty z aferézy deleukotizované</t>
  </si>
  <si>
    <t>0026140</t>
  </si>
  <si>
    <t>KANYLA TRACHEOSTOMICKÁ S NÍZKOTLAKOU MANŽETOU</t>
  </si>
  <si>
    <t>0043968</t>
  </si>
  <si>
    <t>ČIDLO PRO MĚŘENÍ NITROLEBNÍHO TLAKU NEUROVENT</t>
  </si>
  <si>
    <t>0043979</t>
  </si>
  <si>
    <t>0043984</t>
  </si>
  <si>
    <t>0050306</t>
  </si>
  <si>
    <t>ČIDLO PRO MĚŘENÍ NITROLEBNÍHO TLAKU CODMAN</t>
  </si>
  <si>
    <t>0054517</t>
  </si>
  <si>
    <t>0054553</t>
  </si>
  <si>
    <t>0059046</t>
  </si>
  <si>
    <t>KLIP PER.MOZK.ANE.FE602K.04.12.13.22.24.42.44.52..</t>
  </si>
  <si>
    <t>0059080</t>
  </si>
  <si>
    <t>KLIP PERM.MOZK.ANEURY.FE694K.713.14.16.17.24.26.44</t>
  </si>
  <si>
    <t>0067017</t>
  </si>
  <si>
    <t xml:space="preserve">IMPLANTÁT SPINÁLNÍ SYSTÉM CERVIFIX                </t>
  </si>
  <si>
    <t>0067161</t>
  </si>
  <si>
    <t>IMPLANTÁT ORBITÁLNÍ PDS ZX5,ZX6,ZX8 VSTŘEBATELNÝ</t>
  </si>
  <si>
    <t>0067417</t>
  </si>
  <si>
    <t>0068308</t>
  </si>
  <si>
    <t>SYSTÉM IMPLANTABILNÍ NEUROSTIMULAČNÍ          ELEK</t>
  </si>
  <si>
    <t>0069208</t>
  </si>
  <si>
    <t>0069283</t>
  </si>
  <si>
    <t xml:space="preserve">IMPLANTÁT SPINÁLNÍ SYSTÉM AXON                    </t>
  </si>
  <si>
    <t>0069284</t>
  </si>
  <si>
    <t>0163059</t>
  </si>
  <si>
    <t xml:space="preserve">IMPLANTÁT MAXILLOFACIÁLNÍ STŘEDNÍ OBLIČEJOVÁ ETÁŽ </t>
  </si>
  <si>
    <t>0163075</t>
  </si>
  <si>
    <t>0163241</t>
  </si>
  <si>
    <t>0163243</t>
  </si>
  <si>
    <t>0163249</t>
  </si>
  <si>
    <t>0163251</t>
  </si>
  <si>
    <t>0163258</t>
  </si>
  <si>
    <t>0163261</t>
  </si>
  <si>
    <t>0165002</t>
  </si>
  <si>
    <t>SYSTÉM IMPLANTAB.NEUROSTIMULAČNÍ ACTIVA RC DOBÍJIT</t>
  </si>
  <si>
    <t>00651</t>
  </si>
  <si>
    <t>OD TYPU 51 - PRO NEMOCNICE TYPU 3, (KATEGORIE 6) -</t>
  </si>
  <si>
    <t>00655</t>
  </si>
  <si>
    <t>OD TYPU 55 - PRO NEMOCNICE TYPU 3, (KATEGORIE 6) -</t>
  </si>
  <si>
    <t>71717</t>
  </si>
  <si>
    <t>TRACHEOTOMIE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</si>
  <si>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</si>
  <si>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</si>
  <si>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</si>
  <si>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</si>
  <si>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</si>
  <si>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</si>
  <si>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</si>
  <si>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</si>
  <si>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</si>
  <si>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</si>
  <si>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</si>
  <si>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</si>
  <si>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</si>
  <si>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</si>
  <si>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</si>
  <si>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</si>
  <si>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90905</t>
  </si>
  <si>
    <t>6F5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</si>
  <si>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</si>
  <si>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</si>
  <si>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</si>
  <si>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</si>
  <si>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</si>
  <si>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</si>
  <si>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</si>
  <si>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</si>
  <si>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6F6</t>
  </si>
  <si>
    <t>66133</t>
  </si>
  <si>
    <t>UDRŽOVÁNÍ PROPLACHOVÉ LAVÁŽE ZA JEDEN DEN</t>
  </si>
  <si>
    <t>66879</t>
  </si>
  <si>
    <t>OTEVŘENÁ SPONGIOPLASTIKA</t>
  </si>
  <si>
    <t>78310</t>
  </si>
  <si>
    <t xml:space="preserve">NEODKLADNÁ KARDIOPULMONÁLNÍ RESUSCITACE ROZŠÍŘENÁ </t>
  </si>
  <si>
    <t>78320</t>
  </si>
  <si>
    <t>7F1</t>
  </si>
  <si>
    <t>71213</t>
  </si>
  <si>
    <t>ENDOSKOPIE PARANASÁLNÍ DUTINY</t>
  </si>
  <si>
    <t>71641</t>
  </si>
  <si>
    <t>SUBMUKÓZNÍ RESEKCE NOSNÍ PŘEPÁŽKY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</si>
  <si>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</si>
  <si>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</si>
  <si>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</si>
  <si>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</si>
  <si>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</si>
  <si>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</si>
  <si>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</si>
  <si>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</si>
  <si>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71614</t>
  </si>
  <si>
    <t>ANEMIZACE S ODSÁVÁNÍM Z VEDLEJŠÍCH NOSNÍCH DUTIN</t>
  </si>
  <si>
    <t>71635</t>
  </si>
  <si>
    <t>MUKOTOMIE NEBO KONCHEKTOMIE</t>
  </si>
  <si>
    <t>809</t>
  </si>
  <si>
    <t>07</t>
  </si>
  <si>
    <t>08</t>
  </si>
  <si>
    <t>09</t>
  </si>
  <si>
    <t>10</t>
  </si>
  <si>
    <t>13</t>
  </si>
  <si>
    <t>14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</si>
  <si>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</si>
  <si>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</si>
  <si>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</si>
  <si>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</si>
  <si>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</si>
  <si>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</si>
  <si>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</si>
  <si>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</si>
  <si>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</si>
  <si>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</si>
  <si>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</si>
  <si>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</si>
  <si>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</si>
  <si>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</si>
  <si>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CC                                      </t>
  </si>
  <si>
    <t>00051</t>
  </si>
  <si>
    <t xml:space="preserve">DLOUHODOBÁ MECHANICKÁ VENTILACE &gt; 96 HODIN (5-10 DNÍ) BEZ CC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</si>
  <si>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</si>
  <si>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</si>
  <si>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</si>
  <si>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</si>
  <si>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</si>
  <si>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</si>
  <si>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</si>
  <si>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</si>
  <si>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</si>
  <si>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</si>
  <si>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</si>
  <si>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</si>
  <si>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</si>
  <si>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</si>
  <si>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00181</t>
  </si>
  <si>
    <t xml:space="preserve">IMPLANTACE NEUROSTIMULÁTORU BEZ CC               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</si>
  <si>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</si>
  <si>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</si>
  <si>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</si>
  <si>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</si>
  <si>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</si>
  <si>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</si>
  <si>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</si>
  <si>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</si>
  <si>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</si>
  <si>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</si>
  <si>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</si>
  <si>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</si>
  <si>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</si>
  <si>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BEZ CC                                   </t>
  </si>
  <si>
    <t>01311</t>
  </si>
  <si>
    <t xml:space="preserve">MALIGNÍ ONEMOCNĚNÍ. NĚKTERÉ INFEKCE A DEGENERATIVNÍ PORUCHY NERVOVÉHO SYSTÉMU BEZ CC                </t>
  </si>
  <si>
    <t>01313</t>
  </si>
  <si>
    <t xml:space="preserve">MALIGNÍ ONEMOCNĚNÍ. NĚKTERÉ INFEKCE A DEGENERATIVNÍ PORUCHY NERVOVÉHO SYSTÉMU S MCC                 </t>
  </si>
  <si>
    <t>01331</t>
  </si>
  <si>
    <t xml:space="preserve">NETRAUMATICKÉ INTRAKRANIÁLNÍ KRVÁCENÍ BEZ CC                                                        </t>
  </si>
  <si>
    <t>01351</t>
  </si>
  <si>
    <t xml:space="preserve">NESPECIFICKÁ CÉVNÍ MOZKOVÁ PŘÍHODA A PRECEREBRÁLNÍ OKLUZE BEZ INFARKTU BEZ CC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</si>
  <si>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</si>
  <si>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</si>
  <si>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</si>
  <si>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</si>
  <si>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</si>
  <si>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</si>
  <si>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</si>
  <si>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</si>
  <si>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01461</t>
  </si>
  <si>
    <t xml:space="preserve">JINÉ PORUCHY NERVOVÉHO SYSTÉMU BEZ CC                                                               </t>
  </si>
  <si>
    <t>04323</t>
  </si>
  <si>
    <t xml:space="preserve">PLICNÍ EMBOLIE S MCC                                                     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</si>
  <si>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</si>
  <si>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</si>
  <si>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</si>
  <si>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</si>
  <si>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</si>
  <si>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</si>
  <si>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08053</t>
  </si>
  <si>
    <t xml:space="preserve">REKONSTRUKČNÍ VÝKONY KRANIÁLNÍCH A OBLIČEJOVÝCH KOSTÍ S MCC              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</si>
  <si>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</si>
  <si>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</si>
  <si>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</si>
  <si>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</si>
  <si>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08171</t>
  </si>
  <si>
    <t xml:space="preserve">JINÉ VÝKONY PŘI PORUCHÁCH A ONEMOCNĚNÍCH MUSKULOSKELETÁLNÍHO SYSTÉMU A POJIVOVÉ TKÁNĚ BEZ CC        </t>
  </si>
  <si>
    <t>08371</t>
  </si>
  <si>
    <t xml:space="preserve">KONZERVATIVNÍ LÉČBA PROBLÉMŮ SE ZÁDY BEZ CC                                                         </t>
  </si>
  <si>
    <t>08411</t>
  </si>
  <si>
    <t xml:space="preserve">JINÉ PORUCHY MUSKULOSKELETÁLNÍHO SYSTÉMU A POJIVOVÉ TKÁNĚ BEZ CC                                    </t>
  </si>
  <si>
    <t>10011</t>
  </si>
  <si>
    <t xml:space="preserve">VÝKONY NA NADLEDVINKÁCH A PODVĚSKU MOZKOVÉM BEZ CC                                                  </t>
  </si>
  <si>
    <t>23011</t>
  </si>
  <si>
    <t xml:space="preserve">OPERAČNÍ VÝKON S DIAGNÓZOU JINÉHO KONTAKTU SE ZDRAVOTNICKÝMI SLUŽBAMI BEZ CC                        </t>
  </si>
  <si>
    <t>23012</t>
  </si>
  <si>
    <t xml:space="preserve">OPERAČNÍ VÝKON S DIAGNÓZOU JINÉHO KONTAKTU SE ZDRAVOTNICKÝMI SLUŽBAMI S CC                          </t>
  </si>
  <si>
    <t>25012</t>
  </si>
  <si>
    <t xml:space="preserve">KRANIOTOMIE. VELKÝ VÝKON NA PÁTEŘI. KYČLI A KONČ. PŘI MNOHOČETNÉM ZÁVAŽNÉM TRAUMATU S CC            </t>
  </si>
  <si>
    <t>25013</t>
  </si>
  <si>
    <t xml:space="preserve">KRANIOTOMIE. VELKÝ VÝKON NA PÁTEŘI. KYČLI A KONČ. PŘI MNOHOČETNÉM ZÁVAŽNÉM TRAUMATU S MCC           </t>
  </si>
  <si>
    <t>25023</t>
  </si>
  <si>
    <t xml:space="preserve">JINÉ VÝKONY PŘI MNOHOČETNÉM ZÁVAŽNÉM TRAUMATU S MCC                                                 </t>
  </si>
  <si>
    <t>25053</t>
  </si>
  <si>
    <t>DLOUHODOBÁ MECHANICKÁ VENTILACE PŘI POLYTRAUMATU &gt; 240 HODIN (11-21 DNÍ) S EKONOMICKY NÁROČNÝM VÝKON</t>
  </si>
  <si>
    <t>25063</t>
  </si>
  <si>
    <t xml:space="preserve">DLOUHODOBÁ MECHANICKÁ VENTILACE PŘI POLYTRAUMATU S KRANIOTOMIÍ &gt; 96 HODIN S MCC                     </t>
  </si>
  <si>
    <t>25071</t>
  </si>
  <si>
    <t>DLOUHODOBÁ MECHANICKÁ VENTILACE PŘI POLYTRAUMATU &gt; 96 HODIN (5-10 DNÍ) S EKONOMICKY NÁROČNÝM VÝKONEM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</si>
  <si>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</si>
  <si>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</si>
  <si>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</si>
  <si>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</si>
  <si>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Porovnání jednotlivých IR DRG skupin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</si>
  <si>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</si>
  <si>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</si>
  <si>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</si>
  <si>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</si>
  <si>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</si>
  <si>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 xml:space="preserve">44 -  </t>
  </si>
  <si>
    <t>816</t>
  </si>
  <si>
    <t>94119</t>
  </si>
  <si>
    <t>IZOLACE A UCHOVÁNÍ LIDSKÉ DNA (RNA)</t>
  </si>
  <si>
    <t>94115</t>
  </si>
  <si>
    <t>IN SITU HYBRIDIZACE LIDSKÉ DNA SE ZNAČENOU SONDOU</t>
  </si>
  <si>
    <t>94123</t>
  </si>
  <si>
    <t>PCR ANALÝZA LIDSKÉ DNA</t>
  </si>
  <si>
    <t>205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</si>
  <si>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</si>
  <si>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</si>
  <si>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</si>
  <si>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</si>
  <si>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</si>
  <si>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</si>
  <si>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89201</t>
  </si>
  <si>
    <t>SKIASKOPIE NA OPERAČNÍM ČI ZÁKROKOVÉM SÁLE MOBILNÍ</t>
  </si>
  <si>
    <t>87435</t>
  </si>
  <si>
    <t>STANDARDNÍ CYTOLOGICKÉ BARVENÍ,  ZA 4-10  PREPARÁT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</si>
  <si>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</si>
  <si>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</si>
  <si>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</si>
  <si>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</si>
  <si>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</si>
  <si>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</si>
  <si>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</si>
  <si>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</si>
  <si>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</si>
  <si>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</si>
  <si>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</si>
  <si>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</si>
  <si>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</si>
  <si>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</si>
  <si>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</si>
  <si>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</si>
  <si>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</si>
  <si>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</si>
  <si>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</si>
  <si>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</si>
  <si>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</si>
  <si>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</si>
  <si>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</si>
  <si>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</si>
  <si>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</si>
  <si>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</si>
  <si>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</si>
  <si>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</si>
  <si>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</si>
  <si>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</si>
  <si>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</si>
  <si>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</si>
  <si>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</si>
  <si>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</si>
  <si>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</si>
  <si>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</si>
  <si>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</si>
  <si>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</si>
  <si>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</si>
  <si>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</si>
  <si>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</si>
  <si>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</si>
  <si>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</si>
  <si>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</si>
  <si>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</si>
  <si>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</si>
  <si>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</si>
  <si>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</si>
  <si>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</si>
  <si>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</si>
  <si>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</si>
  <si>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</si>
  <si>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</si>
  <si>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</si>
  <si>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</si>
  <si>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81451</t>
  </si>
  <si>
    <t>HEMOGLOBIN VOLNÝ V PLAZMĚ</t>
  </si>
  <si>
    <t>81527</t>
  </si>
  <si>
    <t>CHOLESTEROL LDL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</si>
  <si>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</si>
  <si>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</si>
  <si>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</si>
  <si>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</si>
  <si>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</si>
  <si>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</si>
  <si>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81721</t>
  </si>
  <si>
    <t>IMUNOTURBIDIMETRICKÉ A/NEBO IMUNONEFELOMETRICKÉ ST</t>
  </si>
  <si>
    <t>81731</t>
  </si>
  <si>
    <t>STANOVENÍ NATRIURETICKÝCH PEPTIDŮ V SÉRU A V PLAZM</t>
  </si>
  <si>
    <t>87421</t>
  </si>
  <si>
    <t>CYTOLOGICKÉ NÁTĚRY SEDIMENTU CENTRIFUGOVANÉ TEKUTI</t>
  </si>
  <si>
    <t>87433</t>
  </si>
  <si>
    <t>STANDARDNÍ CYTOLOGICKÉ BARVENÍ,  ZA 1-3 PREPARÁTY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</si>
  <si>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</si>
  <si>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</si>
  <si>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</si>
  <si>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</si>
  <si>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</si>
  <si>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</si>
  <si>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</si>
  <si>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</si>
  <si>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</si>
  <si>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</si>
  <si>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</si>
  <si>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</si>
  <si>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</si>
  <si>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</si>
  <si>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</si>
  <si>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</si>
  <si>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</si>
  <si>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</si>
  <si>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</si>
  <si>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</si>
  <si>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</si>
  <si>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</si>
  <si>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93247</t>
  </si>
  <si>
    <t>OSTEÁZA (KOSTNÍ FRAKCE ALKALICKÉ FOSFATÁZY)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</si>
  <si>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</si>
  <si>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</si>
  <si>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</si>
  <si>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</si>
  <si>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</si>
  <si>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</si>
  <si>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</si>
  <si>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</si>
  <si>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</si>
  <si>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</si>
  <si>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</si>
  <si>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</si>
  <si>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</si>
  <si>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</si>
  <si>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</si>
  <si>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</si>
  <si>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</si>
  <si>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</si>
  <si>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</si>
  <si>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</si>
  <si>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</si>
  <si>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</si>
  <si>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</si>
  <si>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</si>
  <si>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81699</t>
  </si>
  <si>
    <t>STANOVENÍ IGF - I (INSULIN - LIKE GROWTH FACTOR)</t>
  </si>
  <si>
    <t>81169</t>
  </si>
  <si>
    <t>KREATININ STATIM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</si>
  <si>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</si>
  <si>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</si>
  <si>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</si>
  <si>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</si>
  <si>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</si>
  <si>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</si>
  <si>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</si>
  <si>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</si>
  <si>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</si>
  <si>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</si>
  <si>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</si>
  <si>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</si>
  <si>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</si>
  <si>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</si>
  <si>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</si>
  <si>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</si>
  <si>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</si>
  <si>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</si>
  <si>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</si>
  <si>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</si>
  <si>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</si>
  <si>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</si>
  <si>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</si>
  <si>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</si>
  <si>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</si>
  <si>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</si>
  <si>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</si>
  <si>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</si>
  <si>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</si>
  <si>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</si>
  <si>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</si>
  <si>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</si>
  <si>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</si>
  <si>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</si>
  <si>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</si>
  <si>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</si>
  <si>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</si>
  <si>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</si>
  <si>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</si>
  <si>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</si>
  <si>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</si>
  <si>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</si>
  <si>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</si>
  <si>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</si>
  <si>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</si>
  <si>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</si>
  <si>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81675</t>
  </si>
  <si>
    <t>MIKROALBUMINURIE</t>
  </si>
  <si>
    <t>81123</t>
  </si>
  <si>
    <t>BILIRUBIN KONJUGOVANÝ STATIM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</si>
  <si>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</si>
  <si>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</si>
  <si>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</si>
  <si>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</si>
  <si>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</si>
  <si>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</si>
  <si>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</si>
  <si>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</si>
  <si>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93169</t>
  </si>
  <si>
    <t>OSTEOKALCIN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</si>
  <si>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</si>
  <si>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</si>
  <si>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</si>
  <si>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</si>
  <si>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</si>
  <si>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</si>
  <si>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</si>
  <si>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</si>
  <si>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</si>
  <si>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</si>
  <si>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81679</t>
  </si>
  <si>
    <t>1,25-DIHYDROXYVITAMIN D (1,25 (OH)2D)</t>
  </si>
  <si>
    <t>93139</t>
  </si>
  <si>
    <t>ADRENOKORTIKOTROPIN (ACTH)</t>
  </si>
  <si>
    <t>34</t>
  </si>
  <si>
    <t>0002918</t>
  </si>
  <si>
    <t>MULTIHANCE</t>
  </si>
  <si>
    <t>0002920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</si>
  <si>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</si>
  <si>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</si>
  <si>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</si>
  <si>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</si>
  <si>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</si>
  <si>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</si>
  <si>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</si>
  <si>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0065978</t>
  </si>
  <si>
    <t>DOTAREM</t>
  </si>
  <si>
    <t>0077019</t>
  </si>
  <si>
    <t>ULTRAVIST 370</t>
  </si>
  <si>
    <t>0038471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</si>
  <si>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</si>
  <si>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</si>
  <si>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</si>
  <si>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</si>
  <si>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</si>
  <si>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</si>
  <si>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</si>
  <si>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</si>
  <si>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</si>
  <si>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</si>
  <si>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</si>
  <si>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</si>
  <si>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</si>
  <si>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</si>
  <si>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</si>
  <si>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0057769</t>
  </si>
  <si>
    <t>DILATÁTOR COPE-SADDEKNI SFA ACCESS</t>
  </si>
  <si>
    <t>0057823</t>
  </si>
  <si>
    <t>KATETR ANGIOGRAFICKÝ TORCON,PRŮMĚR 4.1 AŽ 7 FRENCH</t>
  </si>
  <si>
    <t>0057844</t>
  </si>
  <si>
    <t>TĚLÍSKO EMBOLIZAČNÍ TORNADO</t>
  </si>
  <si>
    <t>0057999</t>
  </si>
  <si>
    <t>SPIRÁLA GDC</t>
  </si>
  <si>
    <t>0058503</t>
  </si>
  <si>
    <t>KATETR PERIFERNĺ DILATAČNĺ VIATRAC - PTA</t>
  </si>
  <si>
    <t>0059345</t>
  </si>
  <si>
    <t>INDEFLÁTOR 622510</t>
  </si>
  <si>
    <t>0059569</t>
  </si>
  <si>
    <t>SPIRÁLA EMBOLIZAČNÍ - PERIFER.,INTRAKR.-DETECHABLE</t>
  </si>
  <si>
    <t>0059795</t>
  </si>
  <si>
    <t>DRÁT VODÍCÍ ANGIODYN J3 FC-FS 150-0,35</t>
  </si>
  <si>
    <t>0059797</t>
  </si>
  <si>
    <t>DRÁT VODÍCÍ ANGIODYN J3 MC-FS 200-0,35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</si>
  <si>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</si>
  <si>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</si>
  <si>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</si>
  <si>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</si>
  <si>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</si>
  <si>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</si>
  <si>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</si>
  <si>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</si>
  <si>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</si>
  <si>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</si>
  <si>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</si>
  <si>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</si>
  <si>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0094736</t>
  </si>
  <si>
    <t>STENT PERIFERNÍ EPIC,SAMOEXPANDIBILNÍ,NITINOL</t>
  </si>
  <si>
    <t>0141644</t>
  </si>
  <si>
    <t>STENT INTRAKRANIÁLNÍ SOLITAIRE AB,SAMOEXPANDIBILNÍ</t>
  </si>
  <si>
    <t>0051244</t>
  </si>
  <si>
    <t>KATETR VODÍCÍ GUIDER</t>
  </si>
  <si>
    <t>0058980</t>
  </si>
  <si>
    <t>0056362</t>
  </si>
  <si>
    <t>ZAVADĚČ FLEXOR CHECK-FLO II RADIOOP.ZNAČKA</t>
  </si>
  <si>
    <t>0059984</t>
  </si>
  <si>
    <t>MIKROKATETR - NEUROVASKULÁRNÍ - REBAR, APOLLO ONYX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</si>
  <si>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</si>
  <si>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</si>
  <si>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</si>
  <si>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</si>
  <si>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</si>
  <si>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</si>
  <si>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</si>
  <si>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</si>
  <si>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</si>
  <si>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</si>
  <si>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</si>
  <si>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</si>
  <si>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</si>
  <si>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</si>
  <si>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</si>
  <si>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</si>
  <si>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</si>
  <si>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</si>
  <si>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</si>
  <si>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</si>
  <si>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</si>
  <si>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</si>
  <si>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</si>
  <si>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</si>
  <si>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</si>
  <si>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</si>
  <si>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</si>
  <si>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</si>
  <si>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</si>
  <si>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</si>
  <si>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</si>
  <si>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</si>
  <si>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</si>
  <si>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</si>
  <si>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</si>
  <si>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</si>
  <si>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</si>
  <si>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</si>
  <si>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</si>
  <si>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</si>
  <si>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</si>
  <si>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</si>
  <si>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</si>
  <si>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</si>
  <si>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</si>
  <si>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</si>
  <si>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</si>
  <si>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</si>
  <si>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</si>
  <si>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</si>
  <si>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</si>
  <si>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</si>
  <si>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</si>
  <si>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</si>
  <si>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</si>
  <si>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</si>
  <si>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</si>
  <si>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</si>
  <si>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</si>
  <si>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</si>
  <si>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</si>
  <si>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</si>
  <si>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</si>
  <si>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</si>
  <si>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</si>
  <si>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</si>
  <si>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</si>
  <si>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</si>
  <si>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</si>
  <si>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</si>
  <si>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</si>
  <si>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</si>
  <si>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</si>
  <si>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</si>
  <si>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</si>
  <si>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</si>
  <si>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</si>
  <si>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</si>
  <si>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</si>
  <si>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</si>
  <si>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</si>
  <si>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</si>
  <si>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</si>
  <si>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</si>
  <si>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</si>
  <si>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</si>
  <si>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</si>
  <si>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</si>
  <si>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</si>
  <si>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</si>
  <si>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</si>
  <si>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</si>
  <si>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</si>
  <si>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</si>
  <si>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</si>
  <si>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</si>
  <si>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</si>
  <si>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</si>
  <si>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</si>
  <si>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</si>
  <si>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</si>
  <si>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</si>
  <si>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</si>
  <si>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</si>
  <si>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</si>
  <si>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</si>
  <si>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</si>
  <si>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</si>
  <si>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</si>
  <si>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</si>
  <si>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</si>
  <si>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</si>
  <si>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</si>
  <si>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</si>
  <si>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</si>
  <si>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</si>
  <si>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</si>
  <si>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</si>
  <si>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</si>
  <si>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</si>
  <si>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</si>
  <si>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</si>
  <si>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</si>
  <si>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94199</t>
  </si>
  <si>
    <t>AMPLIFIKACE METODOU PCR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</si>
  <si>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</si>
  <si>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</si>
  <si>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</si>
  <si>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</si>
  <si>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</si>
  <si>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</si>
  <si>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813</t>
  </si>
  <si>
    <t>91197</t>
  </si>
  <si>
    <t>STANOVENÍ CYTOKINU ELISA</t>
  </si>
  <si>
    <t>91427</t>
  </si>
  <si>
    <t>IZOLACE MONONUKLEÁRŮ Z PERIFERNÍ KRVE GRADIENTOVOU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</si>
  <si>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</si>
  <si>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</si>
  <si>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</si>
  <si>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</si>
  <si>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</si>
  <si>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</si>
  <si>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</si>
  <si>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</si>
  <si>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</si>
  <si>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</si>
  <si>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</si>
  <si>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</si>
  <si>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</si>
  <si>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</si>
  <si>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</si>
  <si>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</si>
  <si>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</si>
  <si>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</si>
  <si>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</si>
  <si>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</si>
  <si>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</si>
  <si>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</si>
  <si>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</si>
  <si>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</si>
  <si>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</si>
  <si>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</si>
  <si>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</si>
  <si>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</si>
  <si>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</si>
  <si>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</si>
  <si>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</si>
  <si>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82115</t>
  </si>
  <si>
    <t>PRŮKAZ VIROVÉHO ANTIGENU V BIOLOGICKÉM MATERIÁLU N</t>
  </si>
  <si>
    <t>44</t>
  </si>
  <si>
    <t>Zdravotní výkony (vybraných odborností) vyžádané pro pacienty hospitalizované na vlastním pracovišti - orientační přehled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</si>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</sst>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72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2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2" fontId="31" fillId="3" borderId="30" xfId="81" applyNumberFormat="1" applyFont="1" applyFill="1" applyBorder="1"/>
    <xf numFmtId="172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5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4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7" xfId="26" applyNumberFormat="1" applyFont="1" applyFill="1" applyBorder="1"/>
    <xf numFmtId="9" fontId="32" fillId="0" borderId="28" xfId="26" applyNumberFormat="1" applyFont="1" applyFill="1" applyBorder="1"/>
    <xf numFmtId="171" fontId="32" fillId="0" borderId="51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9" xfId="26" applyNumberFormat="1" applyFont="1" applyFill="1" applyBorder="1"/>
    <xf numFmtId="171" fontId="32" fillId="0" borderId="24" xfId="26" applyNumberFormat="1" applyFont="1" applyFill="1" applyBorder="1"/>
    <xf numFmtId="9" fontId="32" fillId="0" borderId="25" xfId="26" applyNumberFormat="1" applyFont="1" applyFill="1" applyBorder="1"/>
    <xf numFmtId="171" fontId="32" fillId="0" borderId="53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4" borderId="22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9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8" fontId="34" fillId="2" borderId="23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8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8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9" xfId="26" applyNumberFormat="1" applyFont="1" applyFill="1" applyBorder="1"/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8" fontId="34" fillId="3" borderId="23" xfId="86" applyNumberFormat="1" applyFont="1" applyFill="1" applyBorder="1" applyAlignment="1">
      <alignment horizontal="right"/>
    </xf>
    <xf numFmtId="168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8" fontId="34" fillId="4" borderId="23" xfId="26" applyNumberFormat="1" applyFont="1" applyFill="1" applyBorder="1" applyAlignment="1">
      <alignment horizontal="center"/>
    </xf>
    <xf numFmtId="3" fontId="34" fillId="4" borderId="29" xfId="26" applyNumberFormat="1" applyFont="1" applyFill="1" applyBorder="1"/>
    <xf numFmtId="3" fontId="34" fillId="4" borderId="30" xfId="26" applyNumberFormat="1" applyFont="1" applyFill="1" applyBorder="1"/>
    <xf numFmtId="168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8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50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2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4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5" fontId="34" fillId="0" borderId="79" xfId="53" applyNumberFormat="1" applyFont="1" applyFill="1" applyBorder="1"/>
    <xf numFmtId="165" fontId="34" fillId="0" borderId="80" xfId="53" applyNumberFormat="1" applyFont="1" applyFill="1" applyBorder="1"/>
    <xf numFmtId="9" fontId="34" fillId="0" borderId="81" xfId="83" applyNumberFormat="1" applyFont="1" applyFill="1" applyBorder="1"/>
    <xf numFmtId="170" fontId="34" fillId="0" borderId="79" xfId="53" applyNumberFormat="1" applyFont="1" applyFill="1" applyBorder="1"/>
    <xf numFmtId="170" fontId="34" fillId="0" borderId="80" xfId="5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4" xfId="26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2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4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4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9" fontId="5" fillId="0" borderId="0" xfId="26" applyNumberFormat="1" applyFont="1" applyFill="1"/>
    <xf numFmtId="167" fontId="3" fillId="2" borderId="33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50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8" xfId="26" applyNumberFormat="1" applyFont="1" applyFill="1" applyBorder="1"/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8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8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4" xfId="0" applyFont="1" applyFill="1" applyBorder="1" applyAlignment="1"/>
    <xf numFmtId="0" fontId="35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7" xfId="0" applyNumberFormat="1" applyFont="1" applyFill="1" applyBorder="1"/>
    <xf numFmtId="3" fontId="42" fillId="2" borderId="59" xfId="0" applyNumberFormat="1" applyFont="1" applyFill="1" applyBorder="1"/>
    <xf numFmtId="9" fontId="42" fillId="2" borderId="67" xfId="0" applyNumberFormat="1" applyFont="1" applyFill="1" applyBorder="1"/>
    <xf numFmtId="0" fontId="53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3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7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4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70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70" fontId="42" fillId="0" borderId="31" xfId="0" applyNumberFormat="1" applyFont="1" applyFill="1" applyBorder="1" applyAlignment="1"/>
    <xf numFmtId="9" fontId="42" fillId="0" borderId="56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4" xfId="0" applyNumberFormat="1" applyFont="1" applyFill="1" applyBorder="1" applyAlignment="1"/>
    <xf numFmtId="9" fontId="35" fillId="0" borderId="54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4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9" fontId="3" fillId="0" borderId="47" xfId="26" applyNumberFormat="1" applyFont="1" applyFill="1" applyBorder="1" applyAlignment="1">
      <alignment vertical="center"/>
    </xf>
    <xf numFmtId="167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7" xfId="0" applyNumberFormat="1" applyFont="1" applyFill="1" applyBorder="1"/>
    <xf numFmtId="3" fontId="59" fillId="9" borderId="88" xfId="0" applyNumberFormat="1" applyFont="1" applyFill="1" applyBorder="1"/>
    <xf numFmtId="3" fontId="59" fillId="9" borderId="87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0" fontId="42" fillId="2" borderId="92" xfId="0" applyFont="1" applyFill="1" applyBorder="1" applyAlignment="1">
      <alignment horizontal="center" vertical="center"/>
    </xf>
    <xf numFmtId="0" fontId="42" fillId="2" borderId="93" xfId="0" applyFont="1" applyFill="1" applyBorder="1" applyAlignment="1">
      <alignment horizontal="center" vertical="center"/>
    </xf>
    <xf numFmtId="3" fontId="61" fillId="2" borderId="94" xfId="0" applyNumberFormat="1" applyFont="1" applyFill="1" applyBorder="1" applyAlignment="1">
      <alignment horizontal="center" vertical="center" wrapText="1"/>
    </xf>
    <xf numFmtId="0" fontId="61" fillId="2" borderId="95" xfId="0" applyFont="1" applyFill="1" applyBorder="1" applyAlignment="1">
      <alignment horizontal="center" vertical="center" wrapText="1"/>
    </xf>
    <xf numFmtId="0" fontId="61" fillId="2" borderId="96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/>
    <xf numFmtId="0" fontId="42" fillId="2" borderId="99" xfId="0" applyFont="1" applyFill="1" applyBorder="1" applyAlignment="1">
      <alignment horizontal="left" indent="1"/>
    </xf>
    <xf numFmtId="0" fontId="42" fillId="2" borderId="105" xfId="0" applyFont="1" applyFill="1" applyBorder="1" applyAlignment="1">
      <alignment horizontal="left" indent="1"/>
    </xf>
    <xf numFmtId="0" fontId="42" fillId="4" borderId="97" xfId="0" applyFont="1" applyFill="1" applyBorder="1" applyAlignment="1"/>
    <xf numFmtId="0" fontId="42" fillId="4" borderId="99" xfId="0" applyFont="1" applyFill="1" applyBorder="1" applyAlignment="1">
      <alignment horizontal="left" indent="1"/>
    </xf>
    <xf numFmtId="0" fontId="42" fillId="4" borderId="110" xfId="0" applyFont="1" applyFill="1" applyBorder="1" applyAlignment="1">
      <alignment horizontal="left" indent="1"/>
    </xf>
    <xf numFmtId="0" fontId="35" fillId="2" borderId="99" xfId="0" quotePrefix="1" applyFont="1" applyFill="1" applyBorder="1" applyAlignment="1">
      <alignment horizontal="left" indent="2"/>
    </xf>
    <xf numFmtId="0" fontId="35" fillId="2" borderId="105" xfId="0" quotePrefix="1" applyFont="1" applyFill="1" applyBorder="1" applyAlignment="1">
      <alignment horizontal="left" indent="2"/>
    </xf>
    <xf numFmtId="0" fontId="42" fillId="2" borderId="97" xfId="0" applyFont="1" applyFill="1" applyBorder="1" applyAlignment="1">
      <alignment horizontal="left" indent="1"/>
    </xf>
    <xf numFmtId="0" fontId="42" fillId="2" borderId="110" xfId="0" applyFont="1" applyFill="1" applyBorder="1" applyAlignment="1">
      <alignment horizontal="left" indent="1"/>
    </xf>
    <xf numFmtId="0" fontId="42" fillId="4" borderId="105" xfId="0" applyFont="1" applyFill="1" applyBorder="1" applyAlignment="1">
      <alignment horizontal="left" indent="1"/>
    </xf>
    <xf numFmtId="0" fontId="35" fillId="0" borderId="115" xfId="0" applyFont="1" applyBorder="1"/>
    <xf numFmtId="3" fontId="35" fillId="0" borderId="115" xfId="0" applyNumberFormat="1" applyFont="1" applyBorder="1"/>
    <xf numFmtId="0" fontId="42" fillId="4" borderId="89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4" xfId="0" applyNumberFormat="1" applyFont="1" applyFill="1" applyBorder="1" applyAlignment="1">
      <alignment horizontal="center" vertical="center"/>
    </xf>
    <xf numFmtId="3" fontId="61" fillId="2" borderId="112" xfId="0" applyNumberFormat="1" applyFont="1" applyFill="1" applyBorder="1" applyAlignment="1">
      <alignment horizontal="center" vertical="center" wrapText="1"/>
    </xf>
    <xf numFmtId="174" fontId="42" fillId="4" borderId="98" xfId="0" applyNumberFormat="1" applyFont="1" applyFill="1" applyBorder="1" applyAlignment="1"/>
    <xf numFmtId="174" fontId="42" fillId="4" borderId="91" xfId="0" applyNumberFormat="1" applyFont="1" applyFill="1" applyBorder="1" applyAlignment="1"/>
    <xf numFmtId="174" fontId="42" fillId="4" borderId="92" xfId="0" applyNumberFormat="1" applyFont="1" applyFill="1" applyBorder="1" applyAlignment="1"/>
    <xf numFmtId="174" fontId="42" fillId="4" borderId="93" xfId="0" applyNumberFormat="1" applyFont="1" applyFill="1" applyBorder="1" applyAlignment="1"/>
    <xf numFmtId="174" fontId="42" fillId="0" borderId="100" xfId="0" applyNumberFormat="1" applyFont="1" applyBorder="1"/>
    <xf numFmtId="174" fontId="35" fillId="0" borderId="104" xfId="0" applyNumberFormat="1" applyFont="1" applyBorder="1"/>
    <xf numFmtId="174" fontId="35" fillId="0" borderId="102" xfId="0" applyNumberFormat="1" applyFont="1" applyBorder="1"/>
    <xf numFmtId="174" fontId="35" fillId="0" borderId="103" xfId="0" applyNumberFormat="1" applyFont="1" applyBorder="1"/>
    <xf numFmtId="174" fontId="42" fillId="0" borderId="111" xfId="0" applyNumberFormat="1" applyFont="1" applyBorder="1"/>
    <xf numFmtId="174" fontId="35" fillId="0" borderId="112" xfId="0" applyNumberFormat="1" applyFont="1" applyBorder="1"/>
    <xf numFmtId="174" fontId="35" fillId="0" borderId="95" xfId="0" applyNumberFormat="1" applyFont="1" applyBorder="1"/>
    <xf numFmtId="174" fontId="35" fillId="0" borderId="96" xfId="0" applyNumberFormat="1" applyFont="1" applyBorder="1"/>
    <xf numFmtId="174" fontId="42" fillId="2" borderId="113" xfId="0" applyNumberFormat="1" applyFont="1" applyFill="1" applyBorder="1" applyAlignment="1"/>
    <xf numFmtId="174" fontId="42" fillId="2" borderId="91" xfId="0" applyNumberFormat="1" applyFont="1" applyFill="1" applyBorder="1" applyAlignment="1"/>
    <xf numFmtId="174" fontId="42" fillId="2" borderId="92" xfId="0" applyNumberFormat="1" applyFont="1" applyFill="1" applyBorder="1" applyAlignment="1"/>
    <xf numFmtId="174" fontId="42" fillId="2" borderId="93" xfId="0" applyNumberFormat="1" applyFont="1" applyFill="1" applyBorder="1" applyAlignment="1"/>
    <xf numFmtId="174" fontId="42" fillId="0" borderId="106" xfId="0" applyNumberFormat="1" applyFont="1" applyBorder="1"/>
    <xf numFmtId="174" fontId="35" fillId="0" borderId="107" xfId="0" applyNumberFormat="1" applyFont="1" applyBorder="1"/>
    <xf numFmtId="174" fontId="35" fillId="0" borderId="108" xfId="0" applyNumberFormat="1" applyFont="1" applyBorder="1"/>
    <xf numFmtId="174" fontId="35" fillId="0" borderId="109" xfId="0" applyNumberFormat="1" applyFont="1" applyBorder="1"/>
    <xf numFmtId="174" fontId="42" fillId="0" borderId="98" xfId="0" applyNumberFormat="1" applyFont="1" applyBorder="1"/>
    <xf numFmtId="174" fontId="35" fillId="0" borderId="114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174" fontId="35" fillId="0" borderId="101" xfId="0" applyNumberFormat="1" applyFont="1" applyBorder="1"/>
    <xf numFmtId="174" fontId="35" fillId="0" borderId="94" xfId="0" applyNumberFormat="1" applyFont="1" applyBorder="1"/>
    <xf numFmtId="175" fontId="42" fillId="2" borderId="98" xfId="0" applyNumberFormat="1" applyFont="1" applyFill="1" applyBorder="1" applyAlignment="1"/>
    <xf numFmtId="175" fontId="35" fillId="2" borderId="91" xfId="0" applyNumberFormat="1" applyFont="1" applyFill="1" applyBorder="1" applyAlignment="1"/>
    <xf numFmtId="175" fontId="35" fillId="2" borderId="92" xfId="0" applyNumberFormat="1" applyFont="1" applyFill="1" applyBorder="1" applyAlignment="1"/>
    <xf numFmtId="175" fontId="35" fillId="2" borderId="93" xfId="0" applyNumberFormat="1" applyFont="1" applyFill="1" applyBorder="1" applyAlignment="1"/>
    <xf numFmtId="175" fontId="42" fillId="0" borderId="100" xfId="0" applyNumberFormat="1" applyFont="1" applyBorder="1"/>
    <xf numFmtId="175" fontId="35" fillId="0" borderId="101" xfId="0" applyNumberFormat="1" applyFont="1" applyBorder="1"/>
    <xf numFmtId="175" fontId="35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175" fontId="42" fillId="0" borderId="106" xfId="0" applyNumberFormat="1" applyFont="1" applyBorder="1"/>
    <xf numFmtId="175" fontId="35" fillId="0" borderId="107" xfId="0" applyNumberFormat="1" applyFont="1" applyBorder="1"/>
    <xf numFmtId="175" fontId="35" fillId="0" borderId="108" xfId="0" applyNumberFormat="1" applyFont="1" applyBorder="1"/>
    <xf numFmtId="175" fontId="35" fillId="0" borderId="109" xfId="0" applyNumberFormat="1" applyFont="1" applyBorder="1"/>
    <xf numFmtId="0" fontId="28" fillId="2" borderId="20" xfId="1" applyFill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2" xfId="81" applyFont="1" applyFill="1" applyBorder="1" applyAlignment="1">
      <alignment horizontal="center"/>
    </xf>
    <xf numFmtId="0" fontId="34" fillId="2" borderId="53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7" xfId="53" applyNumberFormat="1" applyFont="1" applyFill="1" applyBorder="1" applyAlignment="1">
      <alignment horizontal="right"/>
    </xf>
    <xf numFmtId="165" fontId="32" fillId="2" borderId="32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8" xfId="0" applyFont="1" applyFill="1" applyBorder="1" applyAlignment="1"/>
    <xf numFmtId="3" fontId="31" fillId="2" borderId="60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4" xfId="0" applyFont="1" applyFill="1" applyBorder="1" applyAlignment="1">
      <alignment horizontal="left"/>
    </xf>
    <xf numFmtId="0" fontId="35" fillId="2" borderId="58" xfId="0" applyFont="1" applyFill="1" applyBorder="1" applyAlignment="1">
      <alignment horizontal="left"/>
    </xf>
    <xf numFmtId="0" fontId="42" fillId="2" borderId="60" xfId="0" applyFont="1" applyFill="1" applyBorder="1" applyAlignment="1">
      <alignment horizontal="left"/>
    </xf>
    <xf numFmtId="3" fontId="42" fillId="2" borderId="60" xfId="0" applyNumberFormat="1" applyFont="1" applyFill="1" applyBorder="1" applyAlignment="1">
      <alignment horizontal="left"/>
    </xf>
    <xf numFmtId="3" fontId="35" fillId="2" borderId="55" xfId="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1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74" fontId="35" fillId="0" borderId="95" xfId="0" applyNumberFormat="1" applyFont="1" applyBorder="1" applyAlignment="1"/>
    <xf numFmtId="0" fontId="2" fillId="0" borderId="2" xfId="26" applyFont="1" applyFill="1" applyBorder="1" applyAlignment="1"/>
    <xf numFmtId="0" fontId="0" fillId="0" borderId="2" xfId="0" applyBorder="1" applyAlignment="1"/>
    <xf numFmtId="167" fontId="42" fillId="2" borderId="9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174" fontId="35" fillId="0" borderId="102" xfId="0" applyNumberFormat="1" applyFont="1" applyBorder="1" applyAlignment="1"/>
    <xf numFmtId="174" fontId="42" fillId="4" borderId="92" xfId="0" applyNumberFormat="1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4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55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5" xfId="0" applyFont="1" applyFill="1" applyBorder="1" applyAlignment="1">
      <alignment horizontal="center"/>
    </xf>
    <xf numFmtId="9" fontId="46" fillId="2" borderId="55" xfId="0" applyNumberFormat="1" applyFont="1" applyFill="1" applyBorder="1" applyAlignment="1">
      <alignment horizontal="center" vertical="top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5" xfId="0" applyNumberFormat="1" applyFont="1" applyFill="1" applyBorder="1" applyAlignment="1">
      <alignment horizontal="center"/>
    </xf>
    <xf numFmtId="0" fontId="46" fillId="2" borderId="55" xfId="0" applyNumberFormat="1" applyFont="1" applyFill="1" applyBorder="1" applyAlignment="1">
      <alignment horizontal="center" vertical="top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8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3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54" xfId="26" applyNumberFormat="1" applyFont="1" applyFill="1" applyBorder="1" applyAlignment="1">
      <alignment horizontal="right" vertical="top"/>
    </xf>
    <xf numFmtId="3" fontId="34" fillId="4" borderId="69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4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3" borderId="33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4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0" fontId="35" fillId="0" borderId="54" xfId="0" applyFont="1" applyFill="1" applyBorder="1" applyAlignment="1">
      <alignment horizontal="right" vertical="top"/>
    </xf>
    <xf numFmtId="3" fontId="3" fillId="2" borderId="69" xfId="27" applyNumberFormat="1" applyFont="1" applyFill="1" applyBorder="1" applyAlignment="1">
      <alignment horizontal="center"/>
    </xf>
    <xf numFmtId="0" fontId="35" fillId="2" borderId="54" xfId="14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4" xfId="26" applyFont="1" applyFill="1" applyBorder="1" applyAlignment="1">
      <alignment horizontal="center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5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4" xfId="26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169" fontId="3" fillId="2" borderId="33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7" xfId="76" applyNumberFormat="1" applyFont="1" applyFill="1" applyBorder="1" applyAlignment="1">
      <alignment horizontal="center" vertical="center"/>
    </xf>
    <xf numFmtId="3" fontId="34" fillId="2" borderId="59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8" xfId="0" applyNumberFormat="1" applyFont="1" applyFill="1" applyBorder="1" applyAlignment="1">
      <alignment horizontal="right" vertical="top"/>
    </xf>
    <xf numFmtId="3" fontId="36" fillId="10" borderId="119" xfId="0" applyNumberFormat="1" applyFont="1" applyFill="1" applyBorder="1" applyAlignment="1">
      <alignment horizontal="right" vertical="top"/>
    </xf>
    <xf numFmtId="176" fontId="36" fillId="10" borderId="120" xfId="0" applyNumberFormat="1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176" fontId="36" fillId="10" borderId="121" xfId="0" applyNumberFormat="1" applyFont="1" applyFill="1" applyBorder="1" applyAlignment="1">
      <alignment horizontal="right" vertical="top"/>
    </xf>
    <xf numFmtId="3" fontId="38" fillId="10" borderId="123" xfId="0" applyNumberFormat="1" applyFont="1" applyFill="1" applyBorder="1" applyAlignment="1">
      <alignment horizontal="right" vertical="top"/>
    </xf>
    <xf numFmtId="3" fontId="38" fillId="10" borderId="124" xfId="0" applyNumberFormat="1" applyFont="1" applyFill="1" applyBorder="1" applyAlignment="1">
      <alignment horizontal="right" vertical="top"/>
    </xf>
    <xf numFmtId="0" fontId="38" fillId="10" borderId="125" xfId="0" applyFont="1" applyFill="1" applyBorder="1" applyAlignment="1">
      <alignment horizontal="right" vertical="top"/>
    </xf>
    <xf numFmtId="3" fontId="38" fillId="0" borderId="123" xfId="0" applyNumberFormat="1" applyFont="1" applyBorder="1" applyAlignment="1">
      <alignment horizontal="right" vertical="top"/>
    </xf>
    <xf numFmtId="0" fontId="38" fillId="10" borderId="126" xfId="0" applyFont="1" applyFill="1" applyBorder="1" applyAlignment="1">
      <alignment horizontal="right" vertical="top"/>
    </xf>
    <xf numFmtId="0" fontId="36" fillId="10" borderId="120" xfId="0" applyFont="1" applyFill="1" applyBorder="1" applyAlignment="1">
      <alignment horizontal="right" vertical="top"/>
    </xf>
    <xf numFmtId="0" fontId="36" fillId="10" borderId="121" xfId="0" applyFont="1" applyFill="1" applyBorder="1" applyAlignment="1">
      <alignment horizontal="right" vertical="top"/>
    </xf>
    <xf numFmtId="176" fontId="38" fillId="10" borderId="125" xfId="0" applyNumberFormat="1" applyFont="1" applyFill="1" applyBorder="1" applyAlignment="1">
      <alignment horizontal="right" vertical="top"/>
    </xf>
    <xf numFmtId="176" fontId="38" fillId="10" borderId="126" xfId="0" applyNumberFormat="1" applyFont="1" applyFill="1" applyBorder="1" applyAlignment="1">
      <alignment horizontal="right" vertical="top"/>
    </xf>
    <xf numFmtId="3" fontId="38" fillId="0" borderId="127" xfId="0" applyNumberFormat="1" applyFont="1" applyBorder="1" applyAlignment="1">
      <alignment horizontal="right" vertical="top"/>
    </xf>
    <xf numFmtId="3" fontId="38" fillId="0" borderId="128" xfId="0" applyNumberFormat="1" applyFont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176" fontId="38" fillId="10" borderId="130" xfId="0" applyNumberFormat="1" applyFont="1" applyFill="1" applyBorder="1" applyAlignment="1">
      <alignment horizontal="right" vertical="top"/>
    </xf>
    <xf numFmtId="0" fontId="40" fillId="11" borderId="117" xfId="0" applyFont="1" applyFill="1" applyBorder="1" applyAlignment="1">
      <alignment vertical="top"/>
    </xf>
    <xf numFmtId="0" fontId="40" fillId="11" borderId="117" xfId="0" applyFont="1" applyFill="1" applyBorder="1" applyAlignment="1">
      <alignment vertical="top" indent="2"/>
    </xf>
    <xf numFmtId="0" fontId="40" fillId="11" borderId="117" xfId="0" applyFont="1" applyFill="1" applyBorder="1" applyAlignment="1">
      <alignment vertical="top" indent="4"/>
    </xf>
    <xf numFmtId="0" fontId="41" fillId="11" borderId="122" xfId="0" applyFont="1" applyFill="1" applyBorder="1" applyAlignment="1">
      <alignment vertical="top" indent="6"/>
    </xf>
    <xf numFmtId="0" fontId="40" fillId="11" borderId="117" xfId="0" applyFont="1" applyFill="1" applyBorder="1" applyAlignment="1">
      <alignment vertical="top" indent="8"/>
    </xf>
    <xf numFmtId="0" fontId="41" fillId="11" borderId="122" xfId="0" applyFont="1" applyFill="1" applyBorder="1" applyAlignment="1">
      <alignment vertical="top" indent="2"/>
    </xf>
    <xf numFmtId="0" fontId="40" fillId="11" borderId="117" xfId="0" applyFont="1" applyFill="1" applyBorder="1" applyAlignment="1">
      <alignment vertical="top" indent="6"/>
    </xf>
    <xf numFmtId="0" fontId="41" fillId="11" borderId="122" xfId="0" applyFont="1" applyFill="1" applyBorder="1" applyAlignment="1">
      <alignment vertical="top" indent="4"/>
    </xf>
    <xf numFmtId="0" fontId="35" fillId="11" borderId="117" xfId="0" applyFont="1" applyFill="1" applyBorder="1"/>
    <xf numFmtId="0" fontId="41" fillId="11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4" fillId="2" borderId="131" xfId="53" applyNumberFormat="1" applyFont="1" applyFill="1" applyBorder="1" applyAlignment="1">
      <alignment horizontal="left"/>
    </xf>
    <xf numFmtId="165" fontId="34" fillId="2" borderId="132" xfId="53" applyNumberFormat="1" applyFont="1" applyFill="1" applyBorder="1" applyAlignment="1">
      <alignment horizontal="left"/>
    </xf>
    <xf numFmtId="165" fontId="34" fillId="2" borderId="65" xfId="53" applyNumberFormat="1" applyFont="1" applyFill="1" applyBorder="1" applyAlignment="1">
      <alignment horizontal="left"/>
    </xf>
    <xf numFmtId="3" fontId="34" fillId="2" borderId="65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35" fillId="0" borderId="101" xfId="0" applyFont="1" applyFill="1" applyBorder="1"/>
    <xf numFmtId="0" fontId="35" fillId="0" borderId="102" xfId="0" applyFont="1" applyFill="1" applyBorder="1"/>
    <xf numFmtId="165" fontId="35" fillId="0" borderId="102" xfId="0" applyNumberFormat="1" applyFont="1" applyFill="1" applyBorder="1"/>
    <xf numFmtId="165" fontId="35" fillId="0" borderId="102" xfId="0" applyNumberFormat="1" applyFont="1" applyFill="1" applyBorder="1" applyAlignment="1">
      <alignment horizontal="right"/>
    </xf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94" xfId="0" applyFont="1" applyFill="1" applyBorder="1"/>
    <xf numFmtId="0" fontId="35" fillId="0" borderId="95" xfId="0" applyFont="1" applyFill="1" applyBorder="1"/>
    <xf numFmtId="165" fontId="35" fillId="0" borderId="95" xfId="0" applyNumberFormat="1" applyFont="1" applyFill="1" applyBorder="1"/>
    <xf numFmtId="165" fontId="35" fillId="0" borderId="95" xfId="0" applyNumberFormat="1" applyFont="1" applyFill="1" applyBorder="1" applyAlignment="1">
      <alignment horizontal="right"/>
    </xf>
    <xf numFmtId="3" fontId="35" fillId="0" borderId="95" xfId="0" applyNumberFormat="1" applyFont="1" applyFill="1" applyBorder="1"/>
    <xf numFmtId="3" fontId="35" fillId="0" borderId="96" xfId="0" applyNumberFormat="1" applyFont="1" applyFill="1" applyBorder="1"/>
    <xf numFmtId="0" fontId="42" fillId="2" borderId="131" xfId="0" applyFont="1" applyFill="1" applyBorder="1"/>
    <xf numFmtId="3" fontId="42" fillId="2" borderId="133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3" fontId="35" fillId="0" borderId="108" xfId="0" applyNumberFormat="1" applyFont="1" applyFill="1" applyBorder="1"/>
    <xf numFmtId="9" fontId="35" fillId="0" borderId="108" xfId="0" applyNumberFormat="1" applyFont="1" applyFill="1" applyBorder="1"/>
    <xf numFmtId="3" fontId="35" fillId="0" borderId="109" xfId="0" applyNumberFormat="1" applyFont="1" applyFill="1" applyBorder="1"/>
    <xf numFmtId="0" fontId="42" fillId="11" borderId="22" xfId="0" applyFont="1" applyFill="1" applyBorder="1"/>
    <xf numFmtId="3" fontId="42" fillId="11" borderId="30" xfId="0" applyNumberFormat="1" applyFont="1" applyFill="1" applyBorder="1"/>
    <xf numFmtId="9" fontId="42" fillId="11" borderId="30" xfId="0" applyNumberFormat="1" applyFont="1" applyFill="1" applyBorder="1"/>
    <xf numFmtId="3" fontId="42" fillId="11" borderId="23" xfId="0" applyNumberFormat="1" applyFont="1" applyFill="1" applyBorder="1"/>
    <xf numFmtId="0" fontId="42" fillId="0" borderId="91" xfId="0" applyFont="1" applyFill="1" applyBorder="1"/>
    <xf numFmtId="0" fontId="42" fillId="0" borderId="101" xfId="0" applyFont="1" applyFill="1" applyBorder="1"/>
    <xf numFmtId="0" fontId="42" fillId="0" borderId="134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2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42" fillId="11" borderId="136" xfId="0" applyFont="1" applyFill="1" applyBorder="1"/>
    <xf numFmtId="0" fontId="42" fillId="11" borderId="137" xfId="0" applyFont="1" applyFill="1" applyBorder="1"/>
    <xf numFmtId="0" fontId="42" fillId="11" borderId="138" xfId="0" applyFont="1" applyFill="1" applyBorder="1"/>
    <xf numFmtId="3" fontId="3" fillId="2" borderId="108" xfId="80" applyNumberFormat="1" applyFont="1" applyFill="1" applyBorder="1"/>
    <xf numFmtId="0" fontId="3" fillId="2" borderId="108" xfId="80" applyFont="1" applyFill="1" applyBorder="1"/>
    <xf numFmtId="3" fontId="35" fillId="0" borderId="91" xfId="0" applyNumberFormat="1" applyFont="1" applyFill="1" applyBorder="1"/>
    <xf numFmtId="0" fontId="35" fillId="0" borderId="11" xfId="0" applyFont="1" applyFill="1" applyBorder="1"/>
    <xf numFmtId="3" fontId="35" fillId="0" borderId="94" xfId="0" applyNumberFormat="1" applyFont="1" applyFill="1" applyBorder="1"/>
    <xf numFmtId="0" fontId="35" fillId="0" borderId="26" xfId="0" applyFont="1" applyFill="1" applyBorder="1"/>
    <xf numFmtId="3" fontId="35" fillId="0" borderId="26" xfId="0" applyNumberFormat="1" applyFont="1" applyFill="1" applyBorder="1"/>
    <xf numFmtId="3" fontId="35" fillId="0" borderId="116" xfId="0" applyNumberFormat="1" applyFont="1" applyFill="1" applyBorder="1"/>
    <xf numFmtId="3" fontId="35" fillId="0" borderId="17" xfId="0" applyNumberFormat="1" applyFont="1" applyFill="1" applyBorder="1"/>
    <xf numFmtId="3" fontId="35" fillId="0" borderId="64" xfId="0" applyNumberFormat="1" applyFont="1" applyFill="1" applyBorder="1"/>
    <xf numFmtId="9" fontId="3" fillId="2" borderId="108" xfId="80" applyNumberFormat="1" applyFont="1" applyFill="1" applyBorder="1"/>
    <xf numFmtId="9" fontId="3" fillId="2" borderId="16" xfId="80" applyNumberFormat="1" applyFont="1" applyFill="1" applyBorder="1"/>
    <xf numFmtId="0" fontId="35" fillId="0" borderId="10" xfId="0" applyFont="1" applyFill="1" applyBorder="1"/>
    <xf numFmtId="9" fontId="35" fillId="0" borderId="93" xfId="0" applyNumberFormat="1" applyFont="1" applyFill="1" applyBorder="1"/>
    <xf numFmtId="9" fontId="35" fillId="0" borderId="11" xfId="0" applyNumberFormat="1" applyFont="1" applyFill="1" applyBorder="1"/>
    <xf numFmtId="9" fontId="35" fillId="0" borderId="26" xfId="0" applyNumberFormat="1" applyFont="1" applyFill="1" applyBorder="1"/>
    <xf numFmtId="9" fontId="35" fillId="0" borderId="25" xfId="0" applyNumberFormat="1" applyFont="1" applyFill="1" applyBorder="1"/>
    <xf numFmtId="0" fontId="35" fillId="0" borderId="136" xfId="0" applyFont="1" applyFill="1" applyBorder="1"/>
    <xf numFmtId="0" fontId="35" fillId="0" borderId="9" xfId="0" applyFont="1" applyFill="1" applyBorder="1"/>
    <xf numFmtId="0" fontId="35" fillId="0" borderId="52" xfId="0" applyFont="1" applyFill="1" applyBorder="1"/>
    <xf numFmtId="3" fontId="35" fillId="0" borderId="114" xfId="0" applyNumberFormat="1" applyFont="1" applyFill="1" applyBorder="1"/>
    <xf numFmtId="3" fontId="35" fillId="0" borderId="13" xfId="0" applyNumberFormat="1" applyFont="1" applyFill="1" applyBorder="1"/>
    <xf numFmtId="3" fontId="35" fillId="0" borderId="35" xfId="0" applyNumberFormat="1" applyFont="1" applyFill="1" applyBorder="1"/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80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5" fontId="35" fillId="0" borderId="32" xfId="0" applyNumberFormat="1" applyFont="1" applyFill="1" applyBorder="1"/>
    <xf numFmtId="166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1" xfId="0" applyFont="1" applyFill="1" applyBorder="1" applyAlignment="1">
      <alignment horizontal="right"/>
    </xf>
    <xf numFmtId="0" fontId="35" fillId="0" borderId="11" xfId="0" applyFont="1" applyFill="1" applyBorder="1" applyAlignment="1">
      <alignment horizontal="left"/>
    </xf>
    <xf numFmtId="165" fontId="35" fillId="0" borderId="11" xfId="0" applyNumberFormat="1" applyFont="1" applyFill="1" applyBorder="1"/>
    <xf numFmtId="166" fontId="35" fillId="0" borderId="11" xfId="0" applyNumberFormat="1" applyFont="1" applyFill="1" applyBorder="1"/>
    <xf numFmtId="0" fontId="35" fillId="0" borderId="26" xfId="0" applyFont="1" applyFill="1" applyBorder="1" applyAlignment="1">
      <alignment horizontal="right"/>
    </xf>
    <xf numFmtId="0" fontId="35" fillId="0" borderId="26" xfId="0" applyFont="1" applyFill="1" applyBorder="1" applyAlignment="1">
      <alignment horizontal="left"/>
    </xf>
    <xf numFmtId="165" fontId="35" fillId="0" borderId="26" xfId="0" applyNumberFormat="1" applyFont="1" applyFill="1" applyBorder="1"/>
    <xf numFmtId="166" fontId="35" fillId="0" borderId="26" xfId="0" applyNumberFormat="1" applyFont="1" applyFill="1" applyBorder="1"/>
    <xf numFmtId="0" fontId="42" fillId="2" borderId="57" xfId="0" applyFont="1" applyFill="1" applyBorder="1"/>
    <xf numFmtId="3" fontId="35" fillId="0" borderId="28" xfId="0" applyNumberFormat="1" applyFont="1" applyFill="1" applyBorder="1"/>
    <xf numFmtId="3" fontId="35" fillId="0" borderId="12" xfId="0" applyNumberFormat="1" applyFont="1" applyFill="1" applyBorder="1"/>
    <xf numFmtId="3" fontId="35" fillId="0" borderId="25" xfId="0" applyNumberFormat="1" applyFont="1" applyFill="1" applyBorder="1"/>
    <xf numFmtId="3" fontId="35" fillId="0" borderId="16" xfId="0" applyNumberFormat="1" applyFont="1" applyFill="1" applyBorder="1"/>
    <xf numFmtId="0" fontId="42" fillId="0" borderId="27" xfId="0" applyFont="1" applyFill="1" applyBorder="1"/>
    <xf numFmtId="0" fontId="42" fillId="0" borderId="10" xfId="0" applyFont="1" applyFill="1" applyBorder="1"/>
    <xf numFmtId="0" fontId="42" fillId="0" borderId="14" xfId="0" applyFont="1" applyFill="1" applyBorder="1"/>
    <xf numFmtId="0" fontId="42" fillId="2" borderId="59" xfId="0" applyFont="1" applyFill="1" applyBorder="1"/>
    <xf numFmtId="165" fontId="34" fillId="2" borderId="57" xfId="53" applyNumberFormat="1" applyFont="1" applyFill="1" applyBorder="1" applyAlignment="1">
      <alignment horizontal="left"/>
    </xf>
    <xf numFmtId="165" fontId="34" fillId="2" borderId="59" xfId="53" applyNumberFormat="1" applyFont="1" applyFill="1" applyBorder="1" applyAlignment="1">
      <alignment horizontal="left"/>
    </xf>
    <xf numFmtId="165" fontId="35" fillId="0" borderId="32" xfId="0" applyNumberFormat="1" applyFont="1" applyFill="1" applyBorder="1" applyAlignment="1">
      <alignment horizontal="right"/>
    </xf>
    <xf numFmtId="165" fontId="35" fillId="0" borderId="11" xfId="0" applyNumberFormat="1" applyFont="1" applyFill="1" applyBorder="1" applyAlignment="1">
      <alignment horizontal="right"/>
    </xf>
    <xf numFmtId="165" fontId="35" fillId="0" borderId="26" xfId="0" applyNumberFormat="1" applyFont="1" applyFill="1" applyBorder="1" applyAlignment="1">
      <alignment horizontal="right"/>
    </xf>
    <xf numFmtId="174" fontId="42" fillId="4" borderId="32" xfId="0" applyNumberFormat="1" applyFont="1" applyFill="1" applyBorder="1" applyAlignment="1">
      <alignment horizontal="center"/>
    </xf>
    <xf numFmtId="174" fontId="35" fillId="0" borderId="11" xfId="0" applyNumberFormat="1" applyFont="1" applyBorder="1" applyAlignment="1"/>
    <xf numFmtId="174" fontId="35" fillId="0" borderId="26" xfId="0" applyNumberFormat="1" applyFont="1" applyBorder="1" applyAlignment="1"/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0" fontId="34" fillId="2" borderId="19" xfId="26" applyNumberFormat="1" applyFont="1" applyFill="1" applyBorder="1" applyAlignment="1">
      <alignment horizontal="right"/>
    </xf>
    <xf numFmtId="170" fontId="35" fillId="0" borderId="32" xfId="0" applyNumberFormat="1" applyFont="1" applyFill="1" applyBorder="1"/>
    <xf numFmtId="170" fontId="35" fillId="0" borderId="26" xfId="0" applyNumberFormat="1" applyFont="1" applyFill="1" applyBorder="1"/>
    <xf numFmtId="0" fontId="42" fillId="0" borderId="94" xfId="0" applyFont="1" applyFill="1" applyBorder="1"/>
    <xf numFmtId="0" fontId="64" fillId="0" borderId="0" xfId="0" applyFont="1" applyFill="1"/>
    <xf numFmtId="0" fontId="65" fillId="0" borderId="0" xfId="0" applyFont="1" applyFill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170" fontId="35" fillId="0" borderId="11" xfId="0" applyNumberFormat="1" applyFont="1" applyFill="1" applyBorder="1"/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7" fontId="5" fillId="0" borderId="135" xfId="0" applyNumberFormat="1" applyFont="1" applyBorder="1" applyAlignment="1">
      <alignment horizontal="right"/>
    </xf>
    <xf numFmtId="167" fontId="5" fillId="0" borderId="106" xfId="0" applyNumberFormat="1" applyFont="1" applyBorder="1" applyAlignment="1">
      <alignment horizontal="right"/>
    </xf>
    <xf numFmtId="3" fontId="12" fillId="0" borderId="135" xfId="0" applyNumberFormat="1" applyFont="1" applyBorder="1" applyAlignment="1">
      <alignment horizontal="right"/>
    </xf>
    <xf numFmtId="167" fontId="12" fillId="0" borderId="135" xfId="0" applyNumberFormat="1" applyFont="1" applyBorder="1" applyAlignment="1">
      <alignment horizontal="right"/>
    </xf>
    <xf numFmtId="167" fontId="12" fillId="0" borderId="106" xfId="0" applyNumberFormat="1" applyFont="1" applyBorder="1" applyAlignment="1">
      <alignment horizontal="right"/>
    </xf>
    <xf numFmtId="177" fontId="5" fillId="0" borderId="135" xfId="0" applyNumberFormat="1" applyFont="1" applyBorder="1" applyAlignment="1">
      <alignment horizontal="right"/>
    </xf>
    <xf numFmtId="3" fontId="5" fillId="0" borderId="135" xfId="0" applyNumberFormat="1" applyFont="1" applyBorder="1" applyAlignment="1">
      <alignment horizontal="right"/>
    </xf>
    <xf numFmtId="4" fontId="5" fillId="0" borderId="135" xfId="0" applyNumberFormat="1" applyFont="1" applyBorder="1" applyAlignment="1">
      <alignment horizontal="right"/>
    </xf>
    <xf numFmtId="3" fontId="5" fillId="0" borderId="135" xfId="0" applyNumberFormat="1" applyFont="1" applyBorder="1"/>
    <xf numFmtId="3" fontId="11" fillId="0" borderId="20" xfId="0" applyNumberFormat="1" applyFont="1" applyBorder="1" applyAlignment="1">
      <alignment horizontal="center"/>
    </xf>
    <xf numFmtId="167" fontId="5" fillId="0" borderId="19" xfId="0" applyNumberFormat="1" applyFont="1" applyBorder="1" applyAlignment="1">
      <alignment horizontal="right"/>
    </xf>
    <xf numFmtId="167" fontId="12" fillId="0" borderId="19" xfId="0" applyNumberFormat="1" applyFont="1" applyBorder="1" applyAlignment="1">
      <alignment horizontal="right"/>
    </xf>
    <xf numFmtId="3" fontId="11" fillId="0" borderId="34" xfId="0" applyNumberFormat="1" applyFont="1" applyBorder="1" applyAlignment="1">
      <alignment horizontal="center"/>
    </xf>
    <xf numFmtId="3" fontId="12" fillId="0" borderId="135" xfId="0" applyNumberFormat="1" applyFont="1" applyBorder="1"/>
    <xf numFmtId="167" fontId="12" fillId="0" borderId="135" xfId="0" applyNumberFormat="1" applyFont="1" applyBorder="1"/>
    <xf numFmtId="167" fontId="12" fillId="0" borderId="106" xfId="0" applyNumberFormat="1" applyFont="1" applyBorder="1"/>
    <xf numFmtId="167" fontId="11" fillId="0" borderId="106" xfId="0" applyNumberFormat="1" applyFont="1" applyBorder="1" applyAlignment="1">
      <alignment horizontal="right"/>
    </xf>
    <xf numFmtId="167" fontId="12" fillId="0" borderId="19" xfId="0" applyNumberFormat="1" applyFont="1" applyBorder="1"/>
    <xf numFmtId="3" fontId="35" fillId="0" borderId="135" xfId="0" applyNumberFormat="1" applyFont="1" applyBorder="1"/>
    <xf numFmtId="167" fontId="35" fillId="0" borderId="135" xfId="0" applyNumberFormat="1" applyFont="1" applyBorder="1"/>
    <xf numFmtId="167" fontId="35" fillId="0" borderId="106" xfId="0" applyNumberFormat="1" applyFont="1" applyBorder="1"/>
    <xf numFmtId="3" fontId="35" fillId="0" borderId="135" xfId="0" applyNumberFormat="1" applyFont="1" applyBorder="1" applyAlignment="1">
      <alignment horizontal="right"/>
    </xf>
    <xf numFmtId="0" fontId="5" fillId="0" borderId="135" xfId="0" applyFont="1" applyBorder="1"/>
    <xf numFmtId="9" fontId="35" fillId="0" borderId="135" xfId="0" applyNumberFormat="1" applyFont="1" applyBorder="1"/>
    <xf numFmtId="167" fontId="35" fillId="0" borderId="19" xfId="0" applyNumberFormat="1" applyFont="1" applyBorder="1"/>
    <xf numFmtId="49" fontId="3" fillId="2" borderId="34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9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 wrapText="1"/>
    </xf>
    <xf numFmtId="169" fontId="3" fillId="2" borderId="34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9" fontId="3" fillId="2" borderId="18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7" fontId="3" fillId="2" borderId="19" xfId="24" applyNumberFormat="1" applyFont="1" applyFill="1" applyBorder="1" applyAlignment="1">
      <alignment horizontal="left" vertical="center" wrapText="1"/>
    </xf>
    <xf numFmtId="3" fontId="35" fillId="0" borderId="54" xfId="0" applyNumberFormat="1" applyFont="1" applyBorder="1"/>
    <xf numFmtId="167" fontId="35" fillId="0" borderId="54" xfId="0" applyNumberFormat="1" applyFont="1" applyBorder="1"/>
    <xf numFmtId="167" fontId="35" fillId="0" borderId="55" xfId="0" applyNumberFormat="1" applyFont="1" applyBorder="1"/>
    <xf numFmtId="3" fontId="35" fillId="0" borderId="54" xfId="0" applyNumberFormat="1" applyFont="1" applyBorder="1" applyAlignment="1">
      <alignment horizontal="right"/>
    </xf>
    <xf numFmtId="167" fontId="5" fillId="0" borderId="54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3" fontId="12" fillId="0" borderId="54" xfId="0" applyNumberFormat="1" applyFont="1" applyBorder="1" applyAlignment="1">
      <alignment horizontal="right"/>
    </xf>
    <xf numFmtId="167" fontId="12" fillId="0" borderId="54" xfId="0" applyNumberFormat="1" applyFont="1" applyBorder="1" applyAlignment="1">
      <alignment horizontal="right"/>
    </xf>
    <xf numFmtId="167" fontId="12" fillId="0" borderId="55" xfId="0" applyNumberFormat="1" applyFont="1" applyBorder="1" applyAlignment="1">
      <alignment horizontal="right"/>
    </xf>
    <xf numFmtId="177" fontId="5" fillId="0" borderId="54" xfId="0" applyNumberFormat="1" applyFont="1" applyBorder="1" applyAlignment="1">
      <alignment horizontal="right"/>
    </xf>
    <xf numFmtId="3" fontId="5" fillId="0" borderId="54" xfId="0" applyNumberFormat="1" applyFont="1" applyBorder="1" applyAlignment="1">
      <alignment horizontal="right"/>
    </xf>
    <xf numFmtId="4" fontId="5" fillId="0" borderId="54" xfId="0" applyNumberFormat="1" applyFont="1" applyBorder="1" applyAlignment="1">
      <alignment horizontal="right"/>
    </xf>
    <xf numFmtId="0" fontId="5" fillId="0" borderId="54" xfId="0" applyFont="1" applyBorder="1"/>
    <xf numFmtId="3" fontId="5" fillId="0" borderId="54" xfId="0" applyNumberFormat="1" applyFont="1" applyBorder="1"/>
    <xf numFmtId="9" fontId="35" fillId="0" borderId="54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33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110" xfId="0" applyNumberFormat="1" applyFont="1" applyBorder="1" applyAlignment="1">
      <alignment horizontal="center"/>
    </xf>
    <xf numFmtId="3" fontId="35" fillId="0" borderId="49" xfId="0" applyNumberFormat="1" applyFont="1" applyBorder="1"/>
    <xf numFmtId="167" fontId="35" fillId="0" borderId="49" xfId="0" applyNumberFormat="1" applyFont="1" applyBorder="1"/>
    <xf numFmtId="167" fontId="35" fillId="0" borderId="53" xfId="0" applyNumberFormat="1" applyFont="1" applyBorder="1"/>
    <xf numFmtId="3" fontId="35" fillId="0" borderId="49" xfId="0" applyNumberFormat="1" applyFont="1" applyBorder="1" applyAlignment="1">
      <alignment horizontal="right"/>
    </xf>
    <xf numFmtId="167" fontId="5" fillId="0" borderId="49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12" fillId="0" borderId="49" xfId="0" applyNumberFormat="1" applyFont="1" applyBorder="1" applyAlignment="1">
      <alignment horizontal="right"/>
    </xf>
    <xf numFmtId="167" fontId="12" fillId="0" borderId="49" xfId="0" applyNumberFormat="1" applyFont="1" applyBorder="1" applyAlignment="1">
      <alignment horizontal="right"/>
    </xf>
    <xf numFmtId="167" fontId="12" fillId="0" borderId="53" xfId="0" applyNumberFormat="1" applyFont="1" applyBorder="1" applyAlignment="1">
      <alignment horizontal="right"/>
    </xf>
    <xf numFmtId="177" fontId="5" fillId="0" borderId="49" xfId="0" applyNumberFormat="1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  <xf numFmtId="4" fontId="5" fillId="0" borderId="49" xfId="0" applyNumberFormat="1" applyFont="1" applyBorder="1" applyAlignment="1">
      <alignment horizontal="right"/>
    </xf>
    <xf numFmtId="0" fontId="5" fillId="0" borderId="49" xfId="0" applyFont="1" applyBorder="1"/>
    <xf numFmtId="3" fontId="5" fillId="0" borderId="49" xfId="0" applyNumberFormat="1" applyFont="1" applyBorder="1"/>
    <xf numFmtId="9" fontId="35" fillId="0" borderId="49" xfId="0" applyNumberFormat="1" applyFont="1" applyBorder="1"/>
    <xf numFmtId="3" fontId="11" fillId="0" borderId="110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65" xfId="76" applyNumberFormat="1" applyFont="1" applyFill="1" applyBorder="1" applyAlignment="1">
      <alignment horizontal="center" vertical="center"/>
    </xf>
    <xf numFmtId="0" fontId="32" fillId="0" borderId="27" xfId="76" applyFont="1" applyFill="1" applyBorder="1"/>
    <xf numFmtId="0" fontId="32" fillId="0" borderId="10" xfId="76" applyFont="1" applyFill="1" applyBorder="1"/>
    <xf numFmtId="0" fontId="32" fillId="0" borderId="94" xfId="76" applyFont="1" applyFill="1" applyBorder="1"/>
    <xf numFmtId="0" fontId="32" fillId="0" borderId="62" xfId="76" applyFont="1" applyFill="1" applyBorder="1"/>
    <xf numFmtId="0" fontId="32" fillId="0" borderId="17" xfId="76" applyFont="1" applyFill="1" applyBorder="1"/>
    <xf numFmtId="0" fontId="32" fillId="0" borderId="64" xfId="76" applyFont="1" applyFill="1" applyBorder="1"/>
    <xf numFmtId="0" fontId="34" fillId="2" borderId="108" xfId="76" applyNumberFormat="1" applyFont="1" applyFill="1" applyBorder="1" applyAlignment="1">
      <alignment horizontal="left"/>
    </xf>
    <xf numFmtId="0" fontId="34" fillId="2" borderId="143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32" xfId="76" applyNumberFormat="1" applyFont="1" applyFill="1" applyBorder="1"/>
    <xf numFmtId="3" fontId="32" fillId="0" borderId="10" xfId="76" applyNumberFormat="1" applyFont="1" applyFill="1" applyBorder="1"/>
    <xf numFmtId="3" fontId="32" fillId="0" borderId="11" xfId="76" applyNumberFormat="1" applyFont="1" applyFill="1" applyBorder="1"/>
    <xf numFmtId="3" fontId="32" fillId="0" borderId="94" xfId="76" applyNumberFormat="1" applyFont="1" applyFill="1" applyBorder="1"/>
    <xf numFmtId="3" fontId="32" fillId="0" borderId="26" xfId="76" applyNumberFormat="1" applyFont="1" applyFill="1" applyBorder="1"/>
    <xf numFmtId="9" fontId="32" fillId="0" borderId="62" xfId="76" applyNumberFormat="1" applyFont="1" applyFill="1" applyBorder="1"/>
    <xf numFmtId="9" fontId="32" fillId="0" borderId="17" xfId="76" applyNumberFormat="1" applyFont="1" applyFill="1" applyBorder="1"/>
    <xf numFmtId="9" fontId="32" fillId="0" borderId="64" xfId="76" applyNumberFormat="1" applyFont="1" applyFill="1" applyBorder="1"/>
    <xf numFmtId="0" fontId="34" fillId="2" borderId="107" xfId="76" applyNumberFormat="1" applyFont="1" applyFill="1" applyBorder="1" applyAlignment="1">
      <alignment horizontal="left"/>
    </xf>
    <xf numFmtId="170" fontId="32" fillId="0" borderId="27" xfId="76" applyNumberFormat="1" applyFont="1" applyFill="1" applyBorder="1"/>
    <xf numFmtId="170" fontId="32" fillId="0" borderId="32" xfId="76" applyNumberFormat="1" applyFont="1" applyFill="1" applyBorder="1"/>
    <xf numFmtId="170" fontId="32" fillId="0" borderId="10" xfId="76" applyNumberFormat="1" applyFont="1" applyFill="1" applyBorder="1"/>
    <xf numFmtId="170" fontId="32" fillId="0" borderId="11" xfId="76" applyNumberFormat="1" applyFont="1" applyFill="1" applyBorder="1"/>
    <xf numFmtId="170" fontId="32" fillId="0" borderId="94" xfId="76" applyNumberFormat="1" applyFont="1" applyFill="1" applyBorder="1"/>
    <xf numFmtId="170" fontId="32" fillId="0" borderId="26" xfId="76" applyNumberFormat="1" applyFont="1" applyFill="1" applyBorder="1"/>
    <xf numFmtId="0" fontId="34" fillId="2" borderId="16" xfId="76" applyNumberFormat="1" applyFont="1" applyFill="1" applyBorder="1" applyAlignment="1">
      <alignment horizontal="left"/>
    </xf>
    <xf numFmtId="3" fontId="32" fillId="0" borderId="28" xfId="76" applyNumberFormat="1" applyFont="1" applyFill="1" applyBorder="1"/>
    <xf numFmtId="3" fontId="32" fillId="0" borderId="12" xfId="76" applyNumberFormat="1" applyFont="1" applyFill="1" applyBorder="1"/>
    <xf numFmtId="3" fontId="32" fillId="0" borderId="25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1.3183279544100723</c:v>
                </c:pt>
                <c:pt idx="1">
                  <c:v>1.6403173806620219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494784"/>
        <c:axId val="12112732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1.7990702489976789</c:v>
                </c:pt>
                <c:pt idx="1">
                  <c:v>1.7990702489976789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1275136"/>
        <c:axId val="1211276672"/>
      </c:scatterChart>
      <c:catAx>
        <c:axId val="104349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127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273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3494784"/>
        <c:crosses val="autoZero"/>
        <c:crossBetween val="between"/>
      </c:valAx>
      <c:valAx>
        <c:axId val="12112751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1276672"/>
        <c:crosses val="max"/>
        <c:crossBetween val="midCat"/>
      </c:valAx>
      <c:valAx>
        <c:axId val="1211276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112751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0.67464479832173163</c:v>
                </c:pt>
                <c:pt idx="1">
                  <c:v>0.67514423758042375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877184"/>
        <c:axId val="95887104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872576"/>
        <c:axId val="958894848"/>
      </c:scatterChart>
      <c:catAx>
        <c:axId val="122887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887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88710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28877184"/>
        <c:crosses val="autoZero"/>
        <c:crossBetween val="between"/>
      </c:valAx>
      <c:valAx>
        <c:axId val="958872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58894848"/>
        <c:crosses val="max"/>
        <c:crossBetween val="midCat"/>
      </c:valAx>
      <c:valAx>
        <c:axId val="95889484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5887257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60" bestFit="1" customWidth="1"/>
    <col min="2" max="2" width="98.6640625" style="260" customWidth="1"/>
    <col min="3" max="3" width="16.109375" style="51" hidden="1" customWidth="1"/>
    <col min="4" max="16384" width="8.88671875" style="260"/>
  </cols>
  <sheetData>
    <row r="1" spans="1:3" ht="18.600000000000001" customHeight="1" thickBot="1" x14ac:dyDescent="0.4">
      <c r="A1" s="462" t="s">
        <v>136</v>
      </c>
      <c r="B1" s="462"/>
    </row>
    <row r="2" spans="1:3" ht="14.4" customHeight="1" thickBot="1" x14ac:dyDescent="0.35">
      <c r="A2" s="389" t="s">
        <v>298</v>
      </c>
      <c r="B2" s="50"/>
    </row>
    <row r="3" spans="1:3" ht="14.4" customHeight="1" thickBot="1" x14ac:dyDescent="0.35">
      <c r="A3" s="458" t="s">
        <v>186</v>
      </c>
      <c r="B3" s="459"/>
    </row>
    <row r="4" spans="1:3" ht="14.4" customHeight="1" x14ac:dyDescent="0.3">
      <c r="A4" s="277" t="str">
        <f t="shared" ref="A4:A8" si="0">HYPERLINK("#'"&amp;C4&amp;"'!A1",C4)</f>
        <v>Motivace</v>
      </c>
      <c r="B4" s="182" t="s">
        <v>155</v>
      </c>
      <c r="C4" s="51" t="s">
        <v>156</v>
      </c>
    </row>
    <row r="5" spans="1:3" ht="14.4" customHeight="1" x14ac:dyDescent="0.3">
      <c r="A5" s="278" t="str">
        <f t="shared" si="0"/>
        <v>HI</v>
      </c>
      <c r="B5" s="183" t="s">
        <v>179</v>
      </c>
      <c r="C5" s="51" t="s">
        <v>140</v>
      </c>
    </row>
    <row r="6" spans="1:3" ht="14.4" customHeight="1" x14ac:dyDescent="0.3">
      <c r="A6" s="279" t="str">
        <f t="shared" si="0"/>
        <v>HI Graf</v>
      </c>
      <c r="B6" s="184" t="s">
        <v>132</v>
      </c>
      <c r="C6" s="51" t="s">
        <v>141</v>
      </c>
    </row>
    <row r="7" spans="1:3" ht="14.4" customHeight="1" x14ac:dyDescent="0.3">
      <c r="A7" s="279" t="str">
        <f t="shared" si="0"/>
        <v>Man Tab</v>
      </c>
      <c r="B7" s="184" t="s">
        <v>300</v>
      </c>
      <c r="C7" s="51" t="s">
        <v>142</v>
      </c>
    </row>
    <row r="8" spans="1:3" ht="14.4" customHeight="1" thickBot="1" x14ac:dyDescent="0.35">
      <c r="A8" s="280" t="str">
        <f t="shared" si="0"/>
        <v>HV</v>
      </c>
      <c r="B8" s="185" t="s">
        <v>64</v>
      </c>
      <c r="C8" s="51" t="s">
        <v>69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0" t="s">
        <v>137</v>
      </c>
      <c r="B10" s="459"/>
    </row>
    <row r="11" spans="1:3" ht="14.4" customHeight="1" x14ac:dyDescent="0.3">
      <c r="A11" s="281" t="str">
        <f t="shared" ref="A11:A22" si="1">HYPERLINK("#'"&amp;C11&amp;"'!A1",C11)</f>
        <v>Léky Žádanky</v>
      </c>
      <c r="B11" s="183" t="s">
        <v>180</v>
      </c>
      <c r="C11" s="51" t="s">
        <v>143</v>
      </c>
    </row>
    <row r="12" spans="1:3" ht="14.4" customHeight="1" x14ac:dyDescent="0.3">
      <c r="A12" s="279" t="str">
        <f t="shared" si="1"/>
        <v>LŽ Detail</v>
      </c>
      <c r="B12" s="184" t="s">
        <v>212</v>
      </c>
      <c r="C12" s="51" t="s">
        <v>144</v>
      </c>
    </row>
    <row r="13" spans="1:3" ht="28.8" customHeight="1" x14ac:dyDescent="0.3">
      <c r="A13" s="279" t="str">
        <f t="shared" si="1"/>
        <v>LŽ PL</v>
      </c>
      <c r="B13" s="659" t="s">
        <v>214</v>
      </c>
      <c r="C13" s="51" t="s">
        <v>191</v>
      </c>
    </row>
    <row r="14" spans="1:3" ht="14.4" customHeight="1" x14ac:dyDescent="0.3">
      <c r="A14" s="279" t="str">
        <f t="shared" si="1"/>
        <v>LŽ PL Detail</v>
      </c>
      <c r="B14" s="184" t="s">
        <v>1541</v>
      </c>
      <c r="C14" s="51" t="s">
        <v>193</v>
      </c>
    </row>
    <row r="15" spans="1:3" ht="14.4" customHeight="1" x14ac:dyDescent="0.3">
      <c r="A15" s="279" t="str">
        <f t="shared" si="1"/>
        <v>Léky Recepty</v>
      </c>
      <c r="B15" s="184" t="s">
        <v>181</v>
      </c>
      <c r="C15" s="51" t="s">
        <v>145</v>
      </c>
    </row>
    <row r="16" spans="1:3" ht="14.4" customHeight="1" x14ac:dyDescent="0.3">
      <c r="A16" s="279" t="str">
        <f t="shared" si="1"/>
        <v>LRp Lékaři</v>
      </c>
      <c r="B16" s="184" t="s">
        <v>196</v>
      </c>
      <c r="C16" s="51" t="s">
        <v>197</v>
      </c>
    </row>
    <row r="17" spans="1:3" ht="14.4" customHeight="1" x14ac:dyDescent="0.3">
      <c r="A17" s="279" t="str">
        <f t="shared" si="1"/>
        <v>LRp Detail</v>
      </c>
      <c r="B17" s="184" t="s">
        <v>1607</v>
      </c>
      <c r="C17" s="51" t="s">
        <v>146</v>
      </c>
    </row>
    <row r="18" spans="1:3" ht="28.8" customHeight="1" x14ac:dyDescent="0.3">
      <c r="A18" s="279" t="str">
        <f t="shared" si="1"/>
        <v>LRp PL</v>
      </c>
      <c r="B18" s="659" t="s">
        <v>1608</v>
      </c>
      <c r="C18" s="51" t="s">
        <v>192</v>
      </c>
    </row>
    <row r="19" spans="1:3" ht="14.4" customHeight="1" x14ac:dyDescent="0.3">
      <c r="A19" s="279" t="str">
        <f>HYPERLINK("#'"&amp;C19&amp;"'!A1",C19)</f>
        <v>LRp PL Detail</v>
      </c>
      <c r="B19" s="184" t="s">
        <v>1613</v>
      </c>
      <c r="C19" s="51" t="s">
        <v>194</v>
      </c>
    </row>
    <row r="20" spans="1:3" ht="14.4" customHeight="1" x14ac:dyDescent="0.3">
      <c r="A20" s="281" t="str">
        <f t="shared" si="1"/>
        <v>Materiál Žádanky</v>
      </c>
      <c r="B20" s="184" t="s">
        <v>182</v>
      </c>
      <c r="C20" s="51" t="s">
        <v>147</v>
      </c>
    </row>
    <row r="21" spans="1:3" ht="14.4" customHeight="1" x14ac:dyDescent="0.3">
      <c r="A21" s="279" t="str">
        <f t="shared" si="1"/>
        <v>MŽ Detail</v>
      </c>
      <c r="B21" s="184" t="s">
        <v>2223</v>
      </c>
      <c r="C21" s="51" t="s">
        <v>148</v>
      </c>
    </row>
    <row r="22" spans="1:3" ht="14.4" customHeight="1" thickBot="1" x14ac:dyDescent="0.35">
      <c r="A22" s="281" t="str">
        <f t="shared" si="1"/>
        <v>Osobní náklady</v>
      </c>
      <c r="B22" s="184" t="s">
        <v>134</v>
      </c>
      <c r="C22" s="51" t="s">
        <v>149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61" t="s">
        <v>138</v>
      </c>
      <c r="B24" s="459"/>
    </row>
    <row r="25" spans="1:3" ht="14.4" customHeight="1" x14ac:dyDescent="0.3">
      <c r="A25" s="282" t="str">
        <f t="shared" ref="A25:A34" si="2">HYPERLINK("#'"&amp;C25&amp;"'!A1",C25)</f>
        <v>ZV Vykáz.-A</v>
      </c>
      <c r="B25" s="183" t="s">
        <v>2229</v>
      </c>
      <c r="C25" s="51" t="s">
        <v>157</v>
      </c>
    </row>
    <row r="26" spans="1:3" ht="14.4" customHeight="1" x14ac:dyDescent="0.3">
      <c r="A26" s="279" t="str">
        <f t="shared" si="2"/>
        <v>ZV Vykáz.-A Detail</v>
      </c>
      <c r="B26" s="184" t="s">
        <v>2276</v>
      </c>
      <c r="C26" s="51" t="s">
        <v>158</v>
      </c>
    </row>
    <row r="27" spans="1:3" ht="14.4" customHeight="1" x14ac:dyDescent="0.3">
      <c r="A27" s="279" t="str">
        <f t="shared" si="2"/>
        <v>ZV Vykáz.-H</v>
      </c>
      <c r="B27" s="184" t="s">
        <v>161</v>
      </c>
      <c r="C27" s="51" t="s">
        <v>159</v>
      </c>
    </row>
    <row r="28" spans="1:3" ht="14.4" customHeight="1" x14ac:dyDescent="0.3">
      <c r="A28" s="279" t="str">
        <f t="shared" si="2"/>
        <v>ZV Vykáz.-H Detail</v>
      </c>
      <c r="B28" s="184" t="s">
        <v>2810</v>
      </c>
      <c r="C28" s="51" t="s">
        <v>160</v>
      </c>
    </row>
    <row r="29" spans="1:3" ht="14.4" customHeight="1" x14ac:dyDescent="0.3">
      <c r="A29" s="282" t="str">
        <f t="shared" si="2"/>
        <v>CaseMix</v>
      </c>
      <c r="B29" s="184" t="s">
        <v>139</v>
      </c>
      <c r="C29" s="51" t="s">
        <v>150</v>
      </c>
    </row>
    <row r="30" spans="1:3" ht="14.4" customHeight="1" x14ac:dyDescent="0.3">
      <c r="A30" s="279" t="str">
        <f t="shared" si="2"/>
        <v>ALOS</v>
      </c>
      <c r="B30" s="184" t="s">
        <v>118</v>
      </c>
      <c r="C30" s="51" t="s">
        <v>89</v>
      </c>
    </row>
    <row r="31" spans="1:3" ht="14.4" customHeight="1" x14ac:dyDescent="0.3">
      <c r="A31" s="279" t="str">
        <f t="shared" si="2"/>
        <v>Total</v>
      </c>
      <c r="B31" s="184" t="s">
        <v>2906</v>
      </c>
      <c r="C31" s="51" t="s">
        <v>151</v>
      </c>
    </row>
    <row r="32" spans="1:3" ht="14.4" customHeight="1" x14ac:dyDescent="0.3">
      <c r="A32" s="279" t="str">
        <f t="shared" si="2"/>
        <v>ZV Vyžád.</v>
      </c>
      <c r="B32" s="184" t="s">
        <v>162</v>
      </c>
      <c r="C32" s="51" t="s">
        <v>154</v>
      </c>
    </row>
    <row r="33" spans="1:3" ht="14.4" customHeight="1" x14ac:dyDescent="0.3">
      <c r="A33" s="279" t="str">
        <f t="shared" si="2"/>
        <v>ZV Vyžád. Detail</v>
      </c>
      <c r="B33" s="184" t="s">
        <v>3372</v>
      </c>
      <c r="C33" s="51" t="s">
        <v>153</v>
      </c>
    </row>
    <row r="34" spans="1:3" ht="14.4" customHeight="1" thickBot="1" x14ac:dyDescent="0.35">
      <c r="A34" s="280" t="str">
        <f t="shared" si="2"/>
        <v>OD TISS</v>
      </c>
      <c r="B34" s="185" t="s">
        <v>185</v>
      </c>
      <c r="C34" s="51" t="s">
        <v>152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60" bestFit="1" customWidth="1"/>
    <col min="2" max="2" width="8.88671875" style="260" bestFit="1" customWidth="1"/>
    <col min="3" max="3" width="7" style="260" bestFit="1" customWidth="1"/>
    <col min="4" max="4" width="53.44140625" style="260" bestFit="1" customWidth="1"/>
    <col min="5" max="5" width="28.44140625" style="260" bestFit="1" customWidth="1"/>
    <col min="6" max="6" width="6.6640625" style="343" customWidth="1"/>
    <col min="7" max="7" width="10" style="343" customWidth="1"/>
    <col min="8" max="8" width="6.77734375" style="346" bestFit="1" customWidth="1"/>
    <col min="9" max="9" width="6.6640625" style="343" customWidth="1"/>
    <col min="10" max="10" width="10" style="343" customWidth="1"/>
    <col min="11" max="11" width="6.77734375" style="346" bestFit="1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1541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6</v>
      </c>
      <c r="G3" s="47">
        <f>SUBTOTAL(9,G6:G1048576)</f>
        <v>211.56</v>
      </c>
      <c r="H3" s="48">
        <f>IF(M3=0,0,G3/M3)</f>
        <v>1.0405624692053602E-3</v>
      </c>
      <c r="I3" s="47">
        <f>SUBTOTAL(9,I6:I1048576)</f>
        <v>1391.6</v>
      </c>
      <c r="J3" s="47">
        <f>SUBTOTAL(9,J6:J1048576)</f>
        <v>203101.55791550651</v>
      </c>
      <c r="K3" s="48">
        <f>IF(M3=0,0,J3/M3)</f>
        <v>0.99895943753079464</v>
      </c>
      <c r="L3" s="47">
        <f>SUBTOTAL(9,L6:L1048576)</f>
        <v>1397.6</v>
      </c>
      <c r="M3" s="49">
        <f>SUBTOTAL(9,M6:M1048576)</f>
        <v>203313.1179155065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642" t="s">
        <v>166</v>
      </c>
      <c r="B5" s="660" t="s">
        <v>167</v>
      </c>
      <c r="C5" s="660" t="s">
        <v>93</v>
      </c>
      <c r="D5" s="660" t="s">
        <v>168</v>
      </c>
      <c r="E5" s="660" t="s">
        <v>169</v>
      </c>
      <c r="F5" s="661" t="s">
        <v>31</v>
      </c>
      <c r="G5" s="661" t="s">
        <v>17</v>
      </c>
      <c r="H5" s="644" t="s">
        <v>170</v>
      </c>
      <c r="I5" s="643" t="s">
        <v>31</v>
      </c>
      <c r="J5" s="661" t="s">
        <v>17</v>
      </c>
      <c r="K5" s="644" t="s">
        <v>170</v>
      </c>
      <c r="L5" s="643" t="s">
        <v>31</v>
      </c>
      <c r="M5" s="662" t="s">
        <v>17</v>
      </c>
    </row>
    <row r="6" spans="1:13" ht="14.4" customHeight="1" x14ac:dyDescent="0.3">
      <c r="A6" s="624" t="s">
        <v>523</v>
      </c>
      <c r="B6" s="625" t="s">
        <v>1469</v>
      </c>
      <c r="C6" s="625" t="s">
        <v>765</v>
      </c>
      <c r="D6" s="625" t="s">
        <v>1470</v>
      </c>
      <c r="E6" s="625" t="s">
        <v>1471</v>
      </c>
      <c r="F6" s="628"/>
      <c r="G6" s="628"/>
      <c r="H6" s="646">
        <v>0</v>
      </c>
      <c r="I6" s="628">
        <v>2</v>
      </c>
      <c r="J6" s="628">
        <v>94.390113499441895</v>
      </c>
      <c r="K6" s="646">
        <v>1</v>
      </c>
      <c r="L6" s="628">
        <v>2</v>
      </c>
      <c r="M6" s="629">
        <v>94.390113499441895</v>
      </c>
    </row>
    <row r="7" spans="1:13" ht="14.4" customHeight="1" x14ac:dyDescent="0.3">
      <c r="A7" s="630" t="s">
        <v>523</v>
      </c>
      <c r="B7" s="631" t="s">
        <v>1469</v>
      </c>
      <c r="C7" s="631" t="s">
        <v>769</v>
      </c>
      <c r="D7" s="631" t="s">
        <v>1472</v>
      </c>
      <c r="E7" s="631" t="s">
        <v>1473</v>
      </c>
      <c r="F7" s="634"/>
      <c r="G7" s="634"/>
      <c r="H7" s="647">
        <v>0</v>
      </c>
      <c r="I7" s="634">
        <v>1</v>
      </c>
      <c r="J7" s="634">
        <v>71.379876336597306</v>
      </c>
      <c r="K7" s="647">
        <v>1</v>
      </c>
      <c r="L7" s="634">
        <v>1</v>
      </c>
      <c r="M7" s="635">
        <v>71.379876336597306</v>
      </c>
    </row>
    <row r="8" spans="1:13" ht="14.4" customHeight="1" x14ac:dyDescent="0.3">
      <c r="A8" s="630" t="s">
        <v>523</v>
      </c>
      <c r="B8" s="631" t="s">
        <v>1474</v>
      </c>
      <c r="C8" s="631" t="s">
        <v>784</v>
      </c>
      <c r="D8" s="631" t="s">
        <v>785</v>
      </c>
      <c r="E8" s="631" t="s">
        <v>786</v>
      </c>
      <c r="F8" s="634"/>
      <c r="G8" s="634"/>
      <c r="H8" s="647">
        <v>0</v>
      </c>
      <c r="I8" s="634">
        <v>4</v>
      </c>
      <c r="J8" s="634">
        <v>284.20000000000005</v>
      </c>
      <c r="K8" s="647">
        <v>1</v>
      </c>
      <c r="L8" s="634">
        <v>4</v>
      </c>
      <c r="M8" s="635">
        <v>284.20000000000005</v>
      </c>
    </row>
    <row r="9" spans="1:13" ht="14.4" customHeight="1" x14ac:dyDescent="0.3">
      <c r="A9" s="630" t="s">
        <v>523</v>
      </c>
      <c r="B9" s="631" t="s">
        <v>1475</v>
      </c>
      <c r="C9" s="631" t="s">
        <v>788</v>
      </c>
      <c r="D9" s="631" t="s">
        <v>789</v>
      </c>
      <c r="E9" s="631" t="s">
        <v>790</v>
      </c>
      <c r="F9" s="634"/>
      <c r="G9" s="634"/>
      <c r="H9" s="647">
        <v>0</v>
      </c>
      <c r="I9" s="634">
        <v>3</v>
      </c>
      <c r="J9" s="634">
        <v>1069.4971500439879</v>
      </c>
      <c r="K9" s="647">
        <v>1</v>
      </c>
      <c r="L9" s="634">
        <v>3</v>
      </c>
      <c r="M9" s="635">
        <v>1069.4971500439879</v>
      </c>
    </row>
    <row r="10" spans="1:13" ht="14.4" customHeight="1" x14ac:dyDescent="0.3">
      <c r="A10" s="630" t="s">
        <v>523</v>
      </c>
      <c r="B10" s="631" t="s">
        <v>1475</v>
      </c>
      <c r="C10" s="631" t="s">
        <v>792</v>
      </c>
      <c r="D10" s="631" t="s">
        <v>789</v>
      </c>
      <c r="E10" s="631" t="s">
        <v>793</v>
      </c>
      <c r="F10" s="634"/>
      <c r="G10" s="634"/>
      <c r="H10" s="647">
        <v>0</v>
      </c>
      <c r="I10" s="634">
        <v>5</v>
      </c>
      <c r="J10" s="634">
        <v>2069.998345186832</v>
      </c>
      <c r="K10" s="647">
        <v>1</v>
      </c>
      <c r="L10" s="634">
        <v>5</v>
      </c>
      <c r="M10" s="635">
        <v>2069.998345186832</v>
      </c>
    </row>
    <row r="11" spans="1:13" ht="14.4" customHeight="1" x14ac:dyDescent="0.3">
      <c r="A11" s="630" t="s">
        <v>523</v>
      </c>
      <c r="B11" s="631" t="s">
        <v>1475</v>
      </c>
      <c r="C11" s="631" t="s">
        <v>757</v>
      </c>
      <c r="D11" s="631" t="s">
        <v>758</v>
      </c>
      <c r="E11" s="631" t="s">
        <v>1476</v>
      </c>
      <c r="F11" s="634"/>
      <c r="G11" s="634"/>
      <c r="H11" s="647">
        <v>0</v>
      </c>
      <c r="I11" s="634">
        <v>2</v>
      </c>
      <c r="J11" s="634">
        <v>6900</v>
      </c>
      <c r="K11" s="647">
        <v>1</v>
      </c>
      <c r="L11" s="634">
        <v>2</v>
      </c>
      <c r="M11" s="635">
        <v>6900</v>
      </c>
    </row>
    <row r="12" spans="1:13" ht="14.4" customHeight="1" x14ac:dyDescent="0.3">
      <c r="A12" s="630" t="s">
        <v>523</v>
      </c>
      <c r="B12" s="631" t="s">
        <v>1477</v>
      </c>
      <c r="C12" s="631" t="s">
        <v>819</v>
      </c>
      <c r="D12" s="631" t="s">
        <v>820</v>
      </c>
      <c r="E12" s="631" t="s">
        <v>821</v>
      </c>
      <c r="F12" s="634"/>
      <c r="G12" s="634"/>
      <c r="H12" s="647">
        <v>0</v>
      </c>
      <c r="I12" s="634">
        <v>10</v>
      </c>
      <c r="J12" s="634">
        <v>458.49999999999994</v>
      </c>
      <c r="K12" s="647">
        <v>1</v>
      </c>
      <c r="L12" s="634">
        <v>10</v>
      </c>
      <c r="M12" s="635">
        <v>458.49999999999994</v>
      </c>
    </row>
    <row r="13" spans="1:13" ht="14.4" customHeight="1" x14ac:dyDescent="0.3">
      <c r="A13" s="630" t="s">
        <v>523</v>
      </c>
      <c r="B13" s="631" t="s">
        <v>1478</v>
      </c>
      <c r="C13" s="631" t="s">
        <v>831</v>
      </c>
      <c r="D13" s="631" t="s">
        <v>1479</v>
      </c>
      <c r="E13" s="631" t="s">
        <v>1480</v>
      </c>
      <c r="F13" s="634"/>
      <c r="G13" s="634"/>
      <c r="H13" s="647">
        <v>0</v>
      </c>
      <c r="I13" s="634">
        <v>1</v>
      </c>
      <c r="J13" s="634">
        <v>120.43000000000002</v>
      </c>
      <c r="K13" s="647">
        <v>1</v>
      </c>
      <c r="L13" s="634">
        <v>1</v>
      </c>
      <c r="M13" s="635">
        <v>120.43000000000002</v>
      </c>
    </row>
    <row r="14" spans="1:13" ht="14.4" customHeight="1" x14ac:dyDescent="0.3">
      <c r="A14" s="630" t="s">
        <v>523</v>
      </c>
      <c r="B14" s="631" t="s">
        <v>1481</v>
      </c>
      <c r="C14" s="631" t="s">
        <v>827</v>
      </c>
      <c r="D14" s="631" t="s">
        <v>1482</v>
      </c>
      <c r="E14" s="631" t="s">
        <v>821</v>
      </c>
      <c r="F14" s="634"/>
      <c r="G14" s="634"/>
      <c r="H14" s="647">
        <v>0</v>
      </c>
      <c r="I14" s="634">
        <v>198</v>
      </c>
      <c r="J14" s="634">
        <v>14894.378060795527</v>
      </c>
      <c r="K14" s="647">
        <v>1</v>
      </c>
      <c r="L14" s="634">
        <v>198</v>
      </c>
      <c r="M14" s="635">
        <v>14894.378060795527</v>
      </c>
    </row>
    <row r="15" spans="1:13" ht="14.4" customHeight="1" x14ac:dyDescent="0.3">
      <c r="A15" s="630" t="s">
        <v>523</v>
      </c>
      <c r="B15" s="631" t="s">
        <v>1483</v>
      </c>
      <c r="C15" s="631" t="s">
        <v>815</v>
      </c>
      <c r="D15" s="631" t="s">
        <v>1039</v>
      </c>
      <c r="E15" s="631" t="s">
        <v>1484</v>
      </c>
      <c r="F15" s="634"/>
      <c r="G15" s="634"/>
      <c r="H15" s="647">
        <v>0</v>
      </c>
      <c r="I15" s="634">
        <v>33</v>
      </c>
      <c r="J15" s="634">
        <v>2923.8</v>
      </c>
      <c r="K15" s="647">
        <v>1</v>
      </c>
      <c r="L15" s="634">
        <v>33</v>
      </c>
      <c r="M15" s="635">
        <v>2923.8</v>
      </c>
    </row>
    <row r="16" spans="1:13" ht="14.4" customHeight="1" x14ac:dyDescent="0.3">
      <c r="A16" s="630" t="s">
        <v>523</v>
      </c>
      <c r="B16" s="631" t="s">
        <v>1485</v>
      </c>
      <c r="C16" s="631" t="s">
        <v>823</v>
      </c>
      <c r="D16" s="631" t="s">
        <v>824</v>
      </c>
      <c r="E16" s="631" t="s">
        <v>1486</v>
      </c>
      <c r="F16" s="634"/>
      <c r="G16" s="634"/>
      <c r="H16" s="647">
        <v>0</v>
      </c>
      <c r="I16" s="634">
        <v>2</v>
      </c>
      <c r="J16" s="634">
        <v>114.74</v>
      </c>
      <c r="K16" s="647">
        <v>1</v>
      </c>
      <c r="L16" s="634">
        <v>2</v>
      </c>
      <c r="M16" s="635">
        <v>114.74</v>
      </c>
    </row>
    <row r="17" spans="1:13" ht="14.4" customHeight="1" x14ac:dyDescent="0.3">
      <c r="A17" s="630" t="s">
        <v>523</v>
      </c>
      <c r="B17" s="631" t="s">
        <v>1487</v>
      </c>
      <c r="C17" s="631" t="s">
        <v>772</v>
      </c>
      <c r="D17" s="631" t="s">
        <v>773</v>
      </c>
      <c r="E17" s="631" t="s">
        <v>1488</v>
      </c>
      <c r="F17" s="634"/>
      <c r="G17" s="634"/>
      <c r="H17" s="647">
        <v>0</v>
      </c>
      <c r="I17" s="634">
        <v>4</v>
      </c>
      <c r="J17" s="634">
        <v>275.43879387320243</v>
      </c>
      <c r="K17" s="647">
        <v>1</v>
      </c>
      <c r="L17" s="634">
        <v>4</v>
      </c>
      <c r="M17" s="635">
        <v>275.43879387320243</v>
      </c>
    </row>
    <row r="18" spans="1:13" ht="14.4" customHeight="1" x14ac:dyDescent="0.3">
      <c r="A18" s="630" t="s">
        <v>523</v>
      </c>
      <c r="B18" s="631" t="s">
        <v>1489</v>
      </c>
      <c r="C18" s="631" t="s">
        <v>753</v>
      </c>
      <c r="D18" s="631" t="s">
        <v>754</v>
      </c>
      <c r="E18" s="631" t="s">
        <v>755</v>
      </c>
      <c r="F18" s="634"/>
      <c r="G18" s="634"/>
      <c r="H18" s="647">
        <v>0</v>
      </c>
      <c r="I18" s="634">
        <v>2</v>
      </c>
      <c r="J18" s="634">
        <v>122.94</v>
      </c>
      <c r="K18" s="647">
        <v>1</v>
      </c>
      <c r="L18" s="634">
        <v>2</v>
      </c>
      <c r="M18" s="635">
        <v>122.94</v>
      </c>
    </row>
    <row r="19" spans="1:13" ht="14.4" customHeight="1" x14ac:dyDescent="0.3">
      <c r="A19" s="630" t="s">
        <v>523</v>
      </c>
      <c r="B19" s="631" t="s">
        <v>1489</v>
      </c>
      <c r="C19" s="631" t="s">
        <v>761</v>
      </c>
      <c r="D19" s="631" t="s">
        <v>762</v>
      </c>
      <c r="E19" s="631" t="s">
        <v>1490</v>
      </c>
      <c r="F19" s="634"/>
      <c r="G19" s="634"/>
      <c r="H19" s="647">
        <v>0</v>
      </c>
      <c r="I19" s="634">
        <v>2</v>
      </c>
      <c r="J19" s="634">
        <v>68.86</v>
      </c>
      <c r="K19" s="647">
        <v>1</v>
      </c>
      <c r="L19" s="634">
        <v>2</v>
      </c>
      <c r="M19" s="635">
        <v>68.86</v>
      </c>
    </row>
    <row r="20" spans="1:13" ht="14.4" customHeight="1" x14ac:dyDescent="0.3">
      <c r="A20" s="630" t="s">
        <v>523</v>
      </c>
      <c r="B20" s="631" t="s">
        <v>1491</v>
      </c>
      <c r="C20" s="631" t="s">
        <v>776</v>
      </c>
      <c r="D20" s="631" t="s">
        <v>777</v>
      </c>
      <c r="E20" s="631" t="s">
        <v>1492</v>
      </c>
      <c r="F20" s="634"/>
      <c r="G20" s="634"/>
      <c r="H20" s="647">
        <v>0</v>
      </c>
      <c r="I20" s="634">
        <v>1</v>
      </c>
      <c r="J20" s="634">
        <v>121.54</v>
      </c>
      <c r="K20" s="647">
        <v>1</v>
      </c>
      <c r="L20" s="634">
        <v>1</v>
      </c>
      <c r="M20" s="635">
        <v>121.54</v>
      </c>
    </row>
    <row r="21" spans="1:13" ht="14.4" customHeight="1" x14ac:dyDescent="0.3">
      <c r="A21" s="630" t="s">
        <v>523</v>
      </c>
      <c r="B21" s="631" t="s">
        <v>1493</v>
      </c>
      <c r="C21" s="631" t="s">
        <v>780</v>
      </c>
      <c r="D21" s="631" t="s">
        <v>781</v>
      </c>
      <c r="E21" s="631" t="s">
        <v>1494</v>
      </c>
      <c r="F21" s="634"/>
      <c r="G21" s="634"/>
      <c r="H21" s="647">
        <v>0</v>
      </c>
      <c r="I21" s="634">
        <v>1</v>
      </c>
      <c r="J21" s="634">
        <v>52.81</v>
      </c>
      <c r="K21" s="647">
        <v>1</v>
      </c>
      <c r="L21" s="634">
        <v>1</v>
      </c>
      <c r="M21" s="635">
        <v>52.81</v>
      </c>
    </row>
    <row r="22" spans="1:13" ht="14.4" customHeight="1" x14ac:dyDescent="0.3">
      <c r="A22" s="630" t="s">
        <v>527</v>
      </c>
      <c r="B22" s="631" t="s">
        <v>1469</v>
      </c>
      <c r="C22" s="631" t="s">
        <v>765</v>
      </c>
      <c r="D22" s="631" t="s">
        <v>1470</v>
      </c>
      <c r="E22" s="631" t="s">
        <v>1471</v>
      </c>
      <c r="F22" s="634"/>
      <c r="G22" s="634"/>
      <c r="H22" s="647">
        <v>0</v>
      </c>
      <c r="I22" s="634">
        <v>4</v>
      </c>
      <c r="J22" s="634">
        <v>188.6</v>
      </c>
      <c r="K22" s="647">
        <v>1</v>
      </c>
      <c r="L22" s="634">
        <v>4</v>
      </c>
      <c r="M22" s="635">
        <v>188.6</v>
      </c>
    </row>
    <row r="23" spans="1:13" ht="14.4" customHeight="1" x14ac:dyDescent="0.3">
      <c r="A23" s="630" t="s">
        <v>527</v>
      </c>
      <c r="B23" s="631" t="s">
        <v>1474</v>
      </c>
      <c r="C23" s="631" t="s">
        <v>784</v>
      </c>
      <c r="D23" s="631" t="s">
        <v>785</v>
      </c>
      <c r="E23" s="631" t="s">
        <v>786</v>
      </c>
      <c r="F23" s="634"/>
      <c r="G23" s="634"/>
      <c r="H23" s="647">
        <v>0</v>
      </c>
      <c r="I23" s="634">
        <v>4</v>
      </c>
      <c r="J23" s="634">
        <v>283.63999999999993</v>
      </c>
      <c r="K23" s="647">
        <v>1</v>
      </c>
      <c r="L23" s="634">
        <v>4</v>
      </c>
      <c r="M23" s="635">
        <v>283.63999999999993</v>
      </c>
    </row>
    <row r="24" spans="1:13" ht="14.4" customHeight="1" x14ac:dyDescent="0.3">
      <c r="A24" s="630" t="s">
        <v>527</v>
      </c>
      <c r="B24" s="631" t="s">
        <v>1475</v>
      </c>
      <c r="C24" s="631" t="s">
        <v>788</v>
      </c>
      <c r="D24" s="631" t="s">
        <v>789</v>
      </c>
      <c r="E24" s="631" t="s">
        <v>790</v>
      </c>
      <c r="F24" s="634"/>
      <c r="G24" s="634"/>
      <c r="H24" s="647">
        <v>0</v>
      </c>
      <c r="I24" s="634">
        <v>6</v>
      </c>
      <c r="J24" s="634">
        <v>2139</v>
      </c>
      <c r="K24" s="647">
        <v>1</v>
      </c>
      <c r="L24" s="634">
        <v>6</v>
      </c>
      <c r="M24" s="635">
        <v>2139</v>
      </c>
    </row>
    <row r="25" spans="1:13" ht="14.4" customHeight="1" x14ac:dyDescent="0.3">
      <c r="A25" s="630" t="s">
        <v>527</v>
      </c>
      <c r="B25" s="631" t="s">
        <v>1475</v>
      </c>
      <c r="C25" s="631" t="s">
        <v>792</v>
      </c>
      <c r="D25" s="631" t="s">
        <v>789</v>
      </c>
      <c r="E25" s="631" t="s">
        <v>793</v>
      </c>
      <c r="F25" s="634"/>
      <c r="G25" s="634"/>
      <c r="H25" s="647">
        <v>0</v>
      </c>
      <c r="I25" s="634">
        <v>8</v>
      </c>
      <c r="J25" s="634">
        <v>3311.998345186832</v>
      </c>
      <c r="K25" s="647">
        <v>1</v>
      </c>
      <c r="L25" s="634">
        <v>8</v>
      </c>
      <c r="M25" s="635">
        <v>3311.998345186832</v>
      </c>
    </row>
    <row r="26" spans="1:13" ht="14.4" customHeight="1" x14ac:dyDescent="0.3">
      <c r="A26" s="630" t="s">
        <v>527</v>
      </c>
      <c r="B26" s="631" t="s">
        <v>1475</v>
      </c>
      <c r="C26" s="631" t="s">
        <v>757</v>
      </c>
      <c r="D26" s="631" t="s">
        <v>758</v>
      </c>
      <c r="E26" s="631" t="s">
        <v>1476</v>
      </c>
      <c r="F26" s="634"/>
      <c r="G26" s="634"/>
      <c r="H26" s="647">
        <v>0</v>
      </c>
      <c r="I26" s="634">
        <v>2</v>
      </c>
      <c r="J26" s="634">
        <v>6900</v>
      </c>
      <c r="K26" s="647">
        <v>1</v>
      </c>
      <c r="L26" s="634">
        <v>2</v>
      </c>
      <c r="M26" s="635">
        <v>6900</v>
      </c>
    </row>
    <row r="27" spans="1:13" ht="14.4" customHeight="1" x14ac:dyDescent="0.3">
      <c r="A27" s="630" t="s">
        <v>527</v>
      </c>
      <c r="B27" s="631" t="s">
        <v>1475</v>
      </c>
      <c r="C27" s="631" t="s">
        <v>986</v>
      </c>
      <c r="D27" s="631" t="s">
        <v>987</v>
      </c>
      <c r="E27" s="631" t="s">
        <v>1495</v>
      </c>
      <c r="F27" s="634"/>
      <c r="G27" s="634"/>
      <c r="H27" s="647">
        <v>0</v>
      </c>
      <c r="I27" s="634">
        <v>1</v>
      </c>
      <c r="J27" s="634">
        <v>1964</v>
      </c>
      <c r="K27" s="647">
        <v>1</v>
      </c>
      <c r="L27" s="634">
        <v>1</v>
      </c>
      <c r="M27" s="635">
        <v>1964</v>
      </c>
    </row>
    <row r="28" spans="1:13" ht="14.4" customHeight="1" x14ac:dyDescent="0.3">
      <c r="A28" s="630" t="s">
        <v>527</v>
      </c>
      <c r="B28" s="631" t="s">
        <v>1496</v>
      </c>
      <c r="C28" s="631" t="s">
        <v>979</v>
      </c>
      <c r="D28" s="631" t="s">
        <v>1497</v>
      </c>
      <c r="E28" s="631" t="s">
        <v>730</v>
      </c>
      <c r="F28" s="634"/>
      <c r="G28" s="634"/>
      <c r="H28" s="647">
        <v>0</v>
      </c>
      <c r="I28" s="634">
        <v>1</v>
      </c>
      <c r="J28" s="634">
        <v>50.63</v>
      </c>
      <c r="K28" s="647">
        <v>1</v>
      </c>
      <c r="L28" s="634">
        <v>1</v>
      </c>
      <c r="M28" s="635">
        <v>50.63</v>
      </c>
    </row>
    <row r="29" spans="1:13" ht="14.4" customHeight="1" x14ac:dyDescent="0.3">
      <c r="A29" s="630" t="s">
        <v>527</v>
      </c>
      <c r="B29" s="631" t="s">
        <v>1498</v>
      </c>
      <c r="C29" s="631" t="s">
        <v>994</v>
      </c>
      <c r="D29" s="631" t="s">
        <v>995</v>
      </c>
      <c r="E29" s="631" t="s">
        <v>996</v>
      </c>
      <c r="F29" s="634"/>
      <c r="G29" s="634"/>
      <c r="H29" s="647">
        <v>0</v>
      </c>
      <c r="I29" s="634">
        <v>2</v>
      </c>
      <c r="J29" s="634">
        <v>205.09907484058499</v>
      </c>
      <c r="K29" s="647">
        <v>1</v>
      </c>
      <c r="L29" s="634">
        <v>2</v>
      </c>
      <c r="M29" s="635">
        <v>205.09907484058499</v>
      </c>
    </row>
    <row r="30" spans="1:13" ht="14.4" customHeight="1" x14ac:dyDescent="0.3">
      <c r="A30" s="630" t="s">
        <v>527</v>
      </c>
      <c r="B30" s="631" t="s">
        <v>1499</v>
      </c>
      <c r="C30" s="631" t="s">
        <v>976</v>
      </c>
      <c r="D30" s="631" t="s">
        <v>977</v>
      </c>
      <c r="E30" s="631" t="s">
        <v>652</v>
      </c>
      <c r="F30" s="634"/>
      <c r="G30" s="634"/>
      <c r="H30" s="647">
        <v>0</v>
      </c>
      <c r="I30" s="634">
        <v>1</v>
      </c>
      <c r="J30" s="634">
        <v>84.510403085584997</v>
      </c>
      <c r="K30" s="647">
        <v>1</v>
      </c>
      <c r="L30" s="634">
        <v>1</v>
      </c>
      <c r="M30" s="635">
        <v>84.510403085584997</v>
      </c>
    </row>
    <row r="31" spans="1:13" ht="14.4" customHeight="1" x14ac:dyDescent="0.3">
      <c r="A31" s="630" t="s">
        <v>527</v>
      </c>
      <c r="B31" s="631" t="s">
        <v>1500</v>
      </c>
      <c r="C31" s="631" t="s">
        <v>1002</v>
      </c>
      <c r="D31" s="631" t="s">
        <v>1003</v>
      </c>
      <c r="E31" s="631" t="s">
        <v>644</v>
      </c>
      <c r="F31" s="634"/>
      <c r="G31" s="634"/>
      <c r="H31" s="647">
        <v>0</v>
      </c>
      <c r="I31" s="634">
        <v>1</v>
      </c>
      <c r="J31" s="634">
        <v>63.87</v>
      </c>
      <c r="K31" s="647">
        <v>1</v>
      </c>
      <c r="L31" s="634">
        <v>1</v>
      </c>
      <c r="M31" s="635">
        <v>63.87</v>
      </c>
    </row>
    <row r="32" spans="1:13" ht="14.4" customHeight="1" x14ac:dyDescent="0.3">
      <c r="A32" s="630" t="s">
        <v>527</v>
      </c>
      <c r="B32" s="631" t="s">
        <v>1477</v>
      </c>
      <c r="C32" s="631" t="s">
        <v>819</v>
      </c>
      <c r="D32" s="631" t="s">
        <v>820</v>
      </c>
      <c r="E32" s="631" t="s">
        <v>821</v>
      </c>
      <c r="F32" s="634"/>
      <c r="G32" s="634"/>
      <c r="H32" s="647">
        <v>0</v>
      </c>
      <c r="I32" s="634">
        <v>40</v>
      </c>
      <c r="J32" s="634">
        <v>1834</v>
      </c>
      <c r="K32" s="647">
        <v>1</v>
      </c>
      <c r="L32" s="634">
        <v>40</v>
      </c>
      <c r="M32" s="635">
        <v>1834</v>
      </c>
    </row>
    <row r="33" spans="1:13" ht="14.4" customHeight="1" x14ac:dyDescent="0.3">
      <c r="A33" s="630" t="s">
        <v>527</v>
      </c>
      <c r="B33" s="631" t="s">
        <v>1478</v>
      </c>
      <c r="C33" s="631" t="s">
        <v>1030</v>
      </c>
      <c r="D33" s="631" t="s">
        <v>1501</v>
      </c>
      <c r="E33" s="631" t="s">
        <v>1502</v>
      </c>
      <c r="F33" s="634"/>
      <c r="G33" s="634"/>
      <c r="H33" s="647">
        <v>0</v>
      </c>
      <c r="I33" s="634">
        <v>3</v>
      </c>
      <c r="J33" s="634">
        <v>276</v>
      </c>
      <c r="K33" s="647">
        <v>1</v>
      </c>
      <c r="L33" s="634">
        <v>3</v>
      </c>
      <c r="M33" s="635">
        <v>276</v>
      </c>
    </row>
    <row r="34" spans="1:13" ht="14.4" customHeight="1" x14ac:dyDescent="0.3">
      <c r="A34" s="630" t="s">
        <v>527</v>
      </c>
      <c r="B34" s="631" t="s">
        <v>1478</v>
      </c>
      <c r="C34" s="631" t="s">
        <v>831</v>
      </c>
      <c r="D34" s="631" t="s">
        <v>1479</v>
      </c>
      <c r="E34" s="631" t="s">
        <v>1480</v>
      </c>
      <c r="F34" s="634"/>
      <c r="G34" s="634"/>
      <c r="H34" s="647">
        <v>0</v>
      </c>
      <c r="I34" s="634">
        <v>2</v>
      </c>
      <c r="J34" s="634">
        <v>240.62935746373017</v>
      </c>
      <c r="K34" s="647">
        <v>1</v>
      </c>
      <c r="L34" s="634">
        <v>2</v>
      </c>
      <c r="M34" s="635">
        <v>240.62935746373017</v>
      </c>
    </row>
    <row r="35" spans="1:13" ht="14.4" customHeight="1" x14ac:dyDescent="0.3">
      <c r="A35" s="630" t="s">
        <v>527</v>
      </c>
      <c r="B35" s="631" t="s">
        <v>1481</v>
      </c>
      <c r="C35" s="631" t="s">
        <v>827</v>
      </c>
      <c r="D35" s="631" t="s">
        <v>1482</v>
      </c>
      <c r="E35" s="631" t="s">
        <v>821</v>
      </c>
      <c r="F35" s="634"/>
      <c r="G35" s="634"/>
      <c r="H35" s="647">
        <v>0</v>
      </c>
      <c r="I35" s="634">
        <v>96</v>
      </c>
      <c r="J35" s="634">
        <v>7221.8482377406999</v>
      </c>
      <c r="K35" s="647">
        <v>1</v>
      </c>
      <c r="L35" s="634">
        <v>96</v>
      </c>
      <c r="M35" s="635">
        <v>7221.8482377406999</v>
      </c>
    </row>
    <row r="36" spans="1:13" ht="14.4" customHeight="1" x14ac:dyDescent="0.3">
      <c r="A36" s="630" t="s">
        <v>527</v>
      </c>
      <c r="B36" s="631" t="s">
        <v>1503</v>
      </c>
      <c r="C36" s="631" t="s">
        <v>1026</v>
      </c>
      <c r="D36" s="631" t="s">
        <v>1027</v>
      </c>
      <c r="E36" s="631" t="s">
        <v>1504</v>
      </c>
      <c r="F36" s="634"/>
      <c r="G36" s="634"/>
      <c r="H36" s="647">
        <v>0</v>
      </c>
      <c r="I36" s="634">
        <v>1</v>
      </c>
      <c r="J36" s="634">
        <v>153.59036289145985</v>
      </c>
      <c r="K36" s="647">
        <v>1</v>
      </c>
      <c r="L36" s="634">
        <v>1</v>
      </c>
      <c r="M36" s="635">
        <v>153.59036289145985</v>
      </c>
    </row>
    <row r="37" spans="1:13" ht="14.4" customHeight="1" x14ac:dyDescent="0.3">
      <c r="A37" s="630" t="s">
        <v>527</v>
      </c>
      <c r="B37" s="631" t="s">
        <v>1483</v>
      </c>
      <c r="C37" s="631" t="s">
        <v>815</v>
      </c>
      <c r="D37" s="631" t="s">
        <v>1039</v>
      </c>
      <c r="E37" s="631" t="s">
        <v>1484</v>
      </c>
      <c r="F37" s="634"/>
      <c r="G37" s="634"/>
      <c r="H37" s="647">
        <v>0</v>
      </c>
      <c r="I37" s="634">
        <v>3</v>
      </c>
      <c r="J37" s="634">
        <v>265.79999999999995</v>
      </c>
      <c r="K37" s="647">
        <v>1</v>
      </c>
      <c r="L37" s="634">
        <v>3</v>
      </c>
      <c r="M37" s="635">
        <v>265.79999999999995</v>
      </c>
    </row>
    <row r="38" spans="1:13" ht="14.4" customHeight="1" x14ac:dyDescent="0.3">
      <c r="A38" s="630" t="s">
        <v>527</v>
      </c>
      <c r="B38" s="631" t="s">
        <v>1483</v>
      </c>
      <c r="C38" s="631" t="s">
        <v>1038</v>
      </c>
      <c r="D38" s="631" t="s">
        <v>1039</v>
      </c>
      <c r="E38" s="631" t="s">
        <v>1040</v>
      </c>
      <c r="F38" s="634"/>
      <c r="G38" s="634"/>
      <c r="H38" s="647">
        <v>0</v>
      </c>
      <c r="I38" s="634">
        <v>9</v>
      </c>
      <c r="J38" s="634">
        <v>538.11</v>
      </c>
      <c r="K38" s="647">
        <v>1</v>
      </c>
      <c r="L38" s="634">
        <v>9</v>
      </c>
      <c r="M38" s="635">
        <v>538.11</v>
      </c>
    </row>
    <row r="39" spans="1:13" ht="14.4" customHeight="1" x14ac:dyDescent="0.3">
      <c r="A39" s="630" t="s">
        <v>527</v>
      </c>
      <c r="B39" s="631" t="s">
        <v>1505</v>
      </c>
      <c r="C39" s="631" t="s">
        <v>1034</v>
      </c>
      <c r="D39" s="631" t="s">
        <v>1035</v>
      </c>
      <c r="E39" s="631" t="s">
        <v>1506</v>
      </c>
      <c r="F39" s="634"/>
      <c r="G39" s="634"/>
      <c r="H39" s="647">
        <v>0</v>
      </c>
      <c r="I39" s="634">
        <v>5</v>
      </c>
      <c r="J39" s="634">
        <v>272.15099770715943</v>
      </c>
      <c r="K39" s="647">
        <v>1</v>
      </c>
      <c r="L39" s="634">
        <v>5</v>
      </c>
      <c r="M39" s="635">
        <v>272.15099770715943</v>
      </c>
    </row>
    <row r="40" spans="1:13" ht="14.4" customHeight="1" x14ac:dyDescent="0.3">
      <c r="A40" s="630" t="s">
        <v>527</v>
      </c>
      <c r="B40" s="631" t="s">
        <v>1487</v>
      </c>
      <c r="C40" s="631" t="s">
        <v>973</v>
      </c>
      <c r="D40" s="631" t="s">
        <v>773</v>
      </c>
      <c r="E40" s="631" t="s">
        <v>1507</v>
      </c>
      <c r="F40" s="634"/>
      <c r="G40" s="634"/>
      <c r="H40" s="647">
        <v>0</v>
      </c>
      <c r="I40" s="634">
        <v>1</v>
      </c>
      <c r="J40" s="634">
        <v>114.6</v>
      </c>
      <c r="K40" s="647">
        <v>1</v>
      </c>
      <c r="L40" s="634">
        <v>1</v>
      </c>
      <c r="M40" s="635">
        <v>114.6</v>
      </c>
    </row>
    <row r="41" spans="1:13" ht="14.4" customHeight="1" x14ac:dyDescent="0.3">
      <c r="A41" s="630" t="s">
        <v>527</v>
      </c>
      <c r="B41" s="631" t="s">
        <v>1508</v>
      </c>
      <c r="C41" s="631" t="s">
        <v>998</v>
      </c>
      <c r="D41" s="631" t="s">
        <v>999</v>
      </c>
      <c r="E41" s="631" t="s">
        <v>1000</v>
      </c>
      <c r="F41" s="634"/>
      <c r="G41" s="634"/>
      <c r="H41" s="647">
        <v>0</v>
      </c>
      <c r="I41" s="634">
        <v>1</v>
      </c>
      <c r="J41" s="634">
        <v>71.67</v>
      </c>
      <c r="K41" s="647">
        <v>1</v>
      </c>
      <c r="L41" s="634">
        <v>1</v>
      </c>
      <c r="M41" s="635">
        <v>71.67</v>
      </c>
    </row>
    <row r="42" spans="1:13" ht="14.4" customHeight="1" x14ac:dyDescent="0.3">
      <c r="A42" s="630" t="s">
        <v>527</v>
      </c>
      <c r="B42" s="631" t="s">
        <v>1489</v>
      </c>
      <c r="C42" s="631" t="s">
        <v>753</v>
      </c>
      <c r="D42" s="631" t="s">
        <v>754</v>
      </c>
      <c r="E42" s="631" t="s">
        <v>755</v>
      </c>
      <c r="F42" s="634"/>
      <c r="G42" s="634"/>
      <c r="H42" s="647">
        <v>0</v>
      </c>
      <c r="I42" s="634">
        <v>3</v>
      </c>
      <c r="J42" s="634">
        <v>184.41</v>
      </c>
      <c r="K42" s="647">
        <v>1</v>
      </c>
      <c r="L42" s="634">
        <v>3</v>
      </c>
      <c r="M42" s="635">
        <v>184.41</v>
      </c>
    </row>
    <row r="43" spans="1:13" ht="14.4" customHeight="1" x14ac:dyDescent="0.3">
      <c r="A43" s="630" t="s">
        <v>527</v>
      </c>
      <c r="B43" s="631" t="s">
        <v>1489</v>
      </c>
      <c r="C43" s="631" t="s">
        <v>983</v>
      </c>
      <c r="D43" s="631" t="s">
        <v>762</v>
      </c>
      <c r="E43" s="631" t="s">
        <v>1509</v>
      </c>
      <c r="F43" s="634"/>
      <c r="G43" s="634"/>
      <c r="H43" s="647">
        <v>0</v>
      </c>
      <c r="I43" s="634">
        <v>2</v>
      </c>
      <c r="J43" s="634">
        <v>198.42</v>
      </c>
      <c r="K43" s="647">
        <v>1</v>
      </c>
      <c r="L43" s="634">
        <v>2</v>
      </c>
      <c r="M43" s="635">
        <v>198.42</v>
      </c>
    </row>
    <row r="44" spans="1:13" ht="14.4" customHeight="1" x14ac:dyDescent="0.3">
      <c r="A44" s="630" t="s">
        <v>527</v>
      </c>
      <c r="B44" s="631" t="s">
        <v>1510</v>
      </c>
      <c r="C44" s="631" t="s">
        <v>990</v>
      </c>
      <c r="D44" s="631" t="s">
        <v>1511</v>
      </c>
      <c r="E44" s="631" t="s">
        <v>1512</v>
      </c>
      <c r="F44" s="634"/>
      <c r="G44" s="634"/>
      <c r="H44" s="647">
        <v>0</v>
      </c>
      <c r="I44" s="634">
        <v>1</v>
      </c>
      <c r="J44" s="634">
        <v>337.80435476769901</v>
      </c>
      <c r="K44" s="647">
        <v>1</v>
      </c>
      <c r="L44" s="634">
        <v>1</v>
      </c>
      <c r="M44" s="635">
        <v>337.80435476769901</v>
      </c>
    </row>
    <row r="45" spans="1:13" ht="14.4" customHeight="1" x14ac:dyDescent="0.3">
      <c r="A45" s="630" t="s">
        <v>527</v>
      </c>
      <c r="B45" s="631" t="s">
        <v>1491</v>
      </c>
      <c r="C45" s="631" t="s">
        <v>1009</v>
      </c>
      <c r="D45" s="631" t="s">
        <v>1010</v>
      </c>
      <c r="E45" s="631" t="s">
        <v>1513</v>
      </c>
      <c r="F45" s="634"/>
      <c r="G45" s="634"/>
      <c r="H45" s="647">
        <v>0</v>
      </c>
      <c r="I45" s="634">
        <v>1</v>
      </c>
      <c r="J45" s="634">
        <v>162.04</v>
      </c>
      <c r="K45" s="647">
        <v>1</v>
      </c>
      <c r="L45" s="634">
        <v>1</v>
      </c>
      <c r="M45" s="635">
        <v>162.04</v>
      </c>
    </row>
    <row r="46" spans="1:13" ht="14.4" customHeight="1" x14ac:dyDescent="0.3">
      <c r="A46" s="630" t="s">
        <v>527</v>
      </c>
      <c r="B46" s="631" t="s">
        <v>1514</v>
      </c>
      <c r="C46" s="631" t="s">
        <v>1005</v>
      </c>
      <c r="D46" s="631" t="s">
        <v>1515</v>
      </c>
      <c r="E46" s="631" t="s">
        <v>1516</v>
      </c>
      <c r="F46" s="634"/>
      <c r="G46" s="634"/>
      <c r="H46" s="647">
        <v>0</v>
      </c>
      <c r="I46" s="634">
        <v>1</v>
      </c>
      <c r="J46" s="634">
        <v>202.78</v>
      </c>
      <c r="K46" s="647">
        <v>1</v>
      </c>
      <c r="L46" s="634">
        <v>1</v>
      </c>
      <c r="M46" s="635">
        <v>202.78</v>
      </c>
    </row>
    <row r="47" spans="1:13" ht="14.4" customHeight="1" x14ac:dyDescent="0.3">
      <c r="A47" s="630" t="s">
        <v>527</v>
      </c>
      <c r="B47" s="631" t="s">
        <v>1493</v>
      </c>
      <c r="C47" s="631" t="s">
        <v>780</v>
      </c>
      <c r="D47" s="631" t="s">
        <v>781</v>
      </c>
      <c r="E47" s="631" t="s">
        <v>1494</v>
      </c>
      <c r="F47" s="634"/>
      <c r="G47" s="634"/>
      <c r="H47" s="647">
        <v>0</v>
      </c>
      <c r="I47" s="634">
        <v>1</v>
      </c>
      <c r="J47" s="634">
        <v>52.81</v>
      </c>
      <c r="K47" s="647">
        <v>1</v>
      </c>
      <c r="L47" s="634">
        <v>1</v>
      </c>
      <c r="M47" s="635">
        <v>52.81</v>
      </c>
    </row>
    <row r="48" spans="1:13" ht="14.4" customHeight="1" x14ac:dyDescent="0.3">
      <c r="A48" s="630" t="s">
        <v>527</v>
      </c>
      <c r="B48" s="631" t="s">
        <v>1517</v>
      </c>
      <c r="C48" s="631" t="s">
        <v>1013</v>
      </c>
      <c r="D48" s="631" t="s">
        <v>1014</v>
      </c>
      <c r="E48" s="631" t="s">
        <v>1518</v>
      </c>
      <c r="F48" s="634"/>
      <c r="G48" s="634"/>
      <c r="H48" s="647">
        <v>0</v>
      </c>
      <c r="I48" s="634">
        <v>1</v>
      </c>
      <c r="J48" s="634">
        <v>230.24000000000012</v>
      </c>
      <c r="K48" s="647">
        <v>1</v>
      </c>
      <c r="L48" s="634">
        <v>1</v>
      </c>
      <c r="M48" s="635">
        <v>230.24000000000012</v>
      </c>
    </row>
    <row r="49" spans="1:13" ht="14.4" customHeight="1" x14ac:dyDescent="0.3">
      <c r="A49" s="630" t="s">
        <v>531</v>
      </c>
      <c r="B49" s="631" t="s">
        <v>1519</v>
      </c>
      <c r="C49" s="631" t="s">
        <v>1091</v>
      </c>
      <c r="D49" s="631" t="s">
        <v>1092</v>
      </c>
      <c r="E49" s="631" t="s">
        <v>1093</v>
      </c>
      <c r="F49" s="634"/>
      <c r="G49" s="634"/>
      <c r="H49" s="647">
        <v>0</v>
      </c>
      <c r="I49" s="634">
        <v>19</v>
      </c>
      <c r="J49" s="634">
        <v>3188.6736852214817</v>
      </c>
      <c r="K49" s="647">
        <v>1</v>
      </c>
      <c r="L49" s="634">
        <v>19</v>
      </c>
      <c r="M49" s="635">
        <v>3188.6736852214817</v>
      </c>
    </row>
    <row r="50" spans="1:13" ht="14.4" customHeight="1" x14ac:dyDescent="0.3">
      <c r="A50" s="630" t="s">
        <v>531</v>
      </c>
      <c r="B50" s="631" t="s">
        <v>1474</v>
      </c>
      <c r="C50" s="631" t="s">
        <v>784</v>
      </c>
      <c r="D50" s="631" t="s">
        <v>785</v>
      </c>
      <c r="E50" s="631" t="s">
        <v>786</v>
      </c>
      <c r="F50" s="634"/>
      <c r="G50" s="634"/>
      <c r="H50" s="647">
        <v>0</v>
      </c>
      <c r="I50" s="634">
        <v>270</v>
      </c>
      <c r="J50" s="634">
        <v>19158.284269500422</v>
      </c>
      <c r="K50" s="647">
        <v>1</v>
      </c>
      <c r="L50" s="634">
        <v>270</v>
      </c>
      <c r="M50" s="635">
        <v>19158.284269500422</v>
      </c>
    </row>
    <row r="51" spans="1:13" ht="14.4" customHeight="1" x14ac:dyDescent="0.3">
      <c r="A51" s="630" t="s">
        <v>531</v>
      </c>
      <c r="B51" s="631" t="s">
        <v>1520</v>
      </c>
      <c r="C51" s="631" t="s">
        <v>1305</v>
      </c>
      <c r="D51" s="631" t="s">
        <v>1306</v>
      </c>
      <c r="E51" s="631" t="s">
        <v>1307</v>
      </c>
      <c r="F51" s="634"/>
      <c r="G51" s="634"/>
      <c r="H51" s="647">
        <v>0</v>
      </c>
      <c r="I51" s="634">
        <v>2</v>
      </c>
      <c r="J51" s="634">
        <v>761.03999999999985</v>
      </c>
      <c r="K51" s="647">
        <v>1</v>
      </c>
      <c r="L51" s="634">
        <v>2</v>
      </c>
      <c r="M51" s="635">
        <v>761.03999999999985</v>
      </c>
    </row>
    <row r="52" spans="1:13" ht="14.4" customHeight="1" x14ac:dyDescent="0.3">
      <c r="A52" s="630" t="s">
        <v>531</v>
      </c>
      <c r="B52" s="631" t="s">
        <v>1475</v>
      </c>
      <c r="C52" s="631" t="s">
        <v>788</v>
      </c>
      <c r="D52" s="631" t="s">
        <v>789</v>
      </c>
      <c r="E52" s="631" t="s">
        <v>790</v>
      </c>
      <c r="F52" s="634"/>
      <c r="G52" s="634"/>
      <c r="H52" s="647">
        <v>0</v>
      </c>
      <c r="I52" s="634">
        <v>4</v>
      </c>
      <c r="J52" s="634">
        <v>1425.9989713571956</v>
      </c>
      <c r="K52" s="647">
        <v>1</v>
      </c>
      <c r="L52" s="634">
        <v>4</v>
      </c>
      <c r="M52" s="635">
        <v>1425.9989713571956</v>
      </c>
    </row>
    <row r="53" spans="1:13" ht="14.4" customHeight="1" x14ac:dyDescent="0.3">
      <c r="A53" s="630" t="s">
        <v>531</v>
      </c>
      <c r="B53" s="631" t="s">
        <v>1475</v>
      </c>
      <c r="C53" s="631" t="s">
        <v>792</v>
      </c>
      <c r="D53" s="631" t="s">
        <v>789</v>
      </c>
      <c r="E53" s="631" t="s">
        <v>793</v>
      </c>
      <c r="F53" s="634"/>
      <c r="G53" s="634"/>
      <c r="H53" s="647">
        <v>0</v>
      </c>
      <c r="I53" s="634">
        <v>2</v>
      </c>
      <c r="J53" s="634">
        <v>828.00000000000023</v>
      </c>
      <c r="K53" s="647">
        <v>1</v>
      </c>
      <c r="L53" s="634">
        <v>2</v>
      </c>
      <c r="M53" s="635">
        <v>828.00000000000023</v>
      </c>
    </row>
    <row r="54" spans="1:13" ht="14.4" customHeight="1" x14ac:dyDescent="0.3">
      <c r="A54" s="630" t="s">
        <v>531</v>
      </c>
      <c r="B54" s="631" t="s">
        <v>1475</v>
      </c>
      <c r="C54" s="631" t="s">
        <v>757</v>
      </c>
      <c r="D54" s="631" t="s">
        <v>758</v>
      </c>
      <c r="E54" s="631" t="s">
        <v>1476</v>
      </c>
      <c r="F54" s="634"/>
      <c r="G54" s="634"/>
      <c r="H54" s="647">
        <v>0</v>
      </c>
      <c r="I54" s="634">
        <v>2</v>
      </c>
      <c r="J54" s="634">
        <v>6900</v>
      </c>
      <c r="K54" s="647">
        <v>1</v>
      </c>
      <c r="L54" s="634">
        <v>2</v>
      </c>
      <c r="M54" s="635">
        <v>6900</v>
      </c>
    </row>
    <row r="55" spans="1:13" ht="14.4" customHeight="1" x14ac:dyDescent="0.3">
      <c r="A55" s="630" t="s">
        <v>531</v>
      </c>
      <c r="B55" s="631" t="s">
        <v>1521</v>
      </c>
      <c r="C55" s="631" t="s">
        <v>1130</v>
      </c>
      <c r="D55" s="631" t="s">
        <v>1131</v>
      </c>
      <c r="E55" s="631" t="s">
        <v>1132</v>
      </c>
      <c r="F55" s="634"/>
      <c r="G55" s="634"/>
      <c r="H55" s="647">
        <v>0</v>
      </c>
      <c r="I55" s="634">
        <v>1</v>
      </c>
      <c r="J55" s="634">
        <v>101.06999999999998</v>
      </c>
      <c r="K55" s="647">
        <v>1</v>
      </c>
      <c r="L55" s="634">
        <v>1</v>
      </c>
      <c r="M55" s="635">
        <v>101.06999999999998</v>
      </c>
    </row>
    <row r="56" spans="1:13" ht="14.4" customHeight="1" x14ac:dyDescent="0.3">
      <c r="A56" s="630" t="s">
        <v>531</v>
      </c>
      <c r="B56" s="631" t="s">
        <v>1498</v>
      </c>
      <c r="C56" s="631" t="s">
        <v>994</v>
      </c>
      <c r="D56" s="631" t="s">
        <v>995</v>
      </c>
      <c r="E56" s="631" t="s">
        <v>996</v>
      </c>
      <c r="F56" s="634"/>
      <c r="G56" s="634"/>
      <c r="H56" s="647">
        <v>0</v>
      </c>
      <c r="I56" s="634">
        <v>3</v>
      </c>
      <c r="J56" s="634">
        <v>307.64946700692309</v>
      </c>
      <c r="K56" s="647">
        <v>1</v>
      </c>
      <c r="L56" s="634">
        <v>3</v>
      </c>
      <c r="M56" s="635">
        <v>307.64946700692309</v>
      </c>
    </row>
    <row r="57" spans="1:13" ht="14.4" customHeight="1" x14ac:dyDescent="0.3">
      <c r="A57" s="630" t="s">
        <v>531</v>
      </c>
      <c r="B57" s="631" t="s">
        <v>1522</v>
      </c>
      <c r="C57" s="631" t="s">
        <v>1309</v>
      </c>
      <c r="D57" s="631" t="s">
        <v>1523</v>
      </c>
      <c r="E57" s="631" t="s">
        <v>1524</v>
      </c>
      <c r="F57" s="634"/>
      <c r="G57" s="634"/>
      <c r="H57" s="647">
        <v>0</v>
      </c>
      <c r="I57" s="634">
        <v>10</v>
      </c>
      <c r="J57" s="634">
        <v>3715.1000000000004</v>
      </c>
      <c r="K57" s="647">
        <v>1</v>
      </c>
      <c r="L57" s="634">
        <v>10</v>
      </c>
      <c r="M57" s="635">
        <v>3715.1000000000004</v>
      </c>
    </row>
    <row r="58" spans="1:13" ht="14.4" customHeight="1" x14ac:dyDescent="0.3">
      <c r="A58" s="630" t="s">
        <v>531</v>
      </c>
      <c r="B58" s="631" t="s">
        <v>1477</v>
      </c>
      <c r="C58" s="631" t="s">
        <v>819</v>
      </c>
      <c r="D58" s="631" t="s">
        <v>820</v>
      </c>
      <c r="E58" s="631" t="s">
        <v>821</v>
      </c>
      <c r="F58" s="634"/>
      <c r="G58" s="634"/>
      <c r="H58" s="647">
        <v>0</v>
      </c>
      <c r="I58" s="634">
        <v>92</v>
      </c>
      <c r="J58" s="634">
        <v>4218.2055569007098</v>
      </c>
      <c r="K58" s="647">
        <v>1</v>
      </c>
      <c r="L58" s="634">
        <v>92</v>
      </c>
      <c r="M58" s="635">
        <v>4218.2055569007098</v>
      </c>
    </row>
    <row r="59" spans="1:13" ht="14.4" customHeight="1" x14ac:dyDescent="0.3">
      <c r="A59" s="630" t="s">
        <v>531</v>
      </c>
      <c r="B59" s="631" t="s">
        <v>1478</v>
      </c>
      <c r="C59" s="631" t="s">
        <v>1030</v>
      </c>
      <c r="D59" s="631" t="s">
        <v>1501</v>
      </c>
      <c r="E59" s="631" t="s">
        <v>1502</v>
      </c>
      <c r="F59" s="634"/>
      <c r="G59" s="634"/>
      <c r="H59" s="647">
        <v>0</v>
      </c>
      <c r="I59" s="634">
        <v>39.599999999999994</v>
      </c>
      <c r="J59" s="634">
        <v>4673.684799321577</v>
      </c>
      <c r="K59" s="647">
        <v>1</v>
      </c>
      <c r="L59" s="634">
        <v>39.599999999999994</v>
      </c>
      <c r="M59" s="635">
        <v>4673.684799321577</v>
      </c>
    </row>
    <row r="60" spans="1:13" ht="14.4" customHeight="1" x14ac:dyDescent="0.3">
      <c r="A60" s="630" t="s">
        <v>531</v>
      </c>
      <c r="B60" s="631" t="s">
        <v>1481</v>
      </c>
      <c r="C60" s="631" t="s">
        <v>1370</v>
      </c>
      <c r="D60" s="631" t="s">
        <v>1371</v>
      </c>
      <c r="E60" s="631" t="s">
        <v>1486</v>
      </c>
      <c r="F60" s="634"/>
      <c r="G60" s="634"/>
      <c r="H60" s="647">
        <v>0</v>
      </c>
      <c r="I60" s="634">
        <v>2</v>
      </c>
      <c r="J60" s="634">
        <v>276.44927666910763</v>
      </c>
      <c r="K60" s="647">
        <v>1</v>
      </c>
      <c r="L60" s="634">
        <v>2</v>
      </c>
      <c r="M60" s="635">
        <v>276.44927666910763</v>
      </c>
    </row>
    <row r="61" spans="1:13" ht="14.4" customHeight="1" x14ac:dyDescent="0.3">
      <c r="A61" s="630" t="s">
        <v>531</v>
      </c>
      <c r="B61" s="631" t="s">
        <v>1481</v>
      </c>
      <c r="C61" s="631" t="s">
        <v>827</v>
      </c>
      <c r="D61" s="631" t="s">
        <v>1482</v>
      </c>
      <c r="E61" s="631" t="s">
        <v>821</v>
      </c>
      <c r="F61" s="634"/>
      <c r="G61" s="634"/>
      <c r="H61" s="647">
        <v>0</v>
      </c>
      <c r="I61" s="634">
        <v>171</v>
      </c>
      <c r="J61" s="634">
        <v>12863.612470012707</v>
      </c>
      <c r="K61" s="647">
        <v>1</v>
      </c>
      <c r="L61" s="634">
        <v>171</v>
      </c>
      <c r="M61" s="635">
        <v>12863.612470012707</v>
      </c>
    </row>
    <row r="62" spans="1:13" ht="14.4" customHeight="1" x14ac:dyDescent="0.3">
      <c r="A62" s="630" t="s">
        <v>531</v>
      </c>
      <c r="B62" s="631" t="s">
        <v>1525</v>
      </c>
      <c r="C62" s="631" t="s">
        <v>1356</v>
      </c>
      <c r="D62" s="631" t="s">
        <v>1357</v>
      </c>
      <c r="E62" s="631" t="s">
        <v>1258</v>
      </c>
      <c r="F62" s="634">
        <v>6</v>
      </c>
      <c r="G62" s="634">
        <v>211.56</v>
      </c>
      <c r="H62" s="647">
        <v>1</v>
      </c>
      <c r="I62" s="634"/>
      <c r="J62" s="634"/>
      <c r="K62" s="647">
        <v>0</v>
      </c>
      <c r="L62" s="634">
        <v>6</v>
      </c>
      <c r="M62" s="635">
        <v>211.56</v>
      </c>
    </row>
    <row r="63" spans="1:13" ht="14.4" customHeight="1" x14ac:dyDescent="0.3">
      <c r="A63" s="630" t="s">
        <v>531</v>
      </c>
      <c r="B63" s="631" t="s">
        <v>1483</v>
      </c>
      <c r="C63" s="631" t="s">
        <v>815</v>
      </c>
      <c r="D63" s="631" t="s">
        <v>1039</v>
      </c>
      <c r="E63" s="631" t="s">
        <v>1484</v>
      </c>
      <c r="F63" s="634"/>
      <c r="G63" s="634"/>
      <c r="H63" s="647">
        <v>0</v>
      </c>
      <c r="I63" s="634">
        <v>26</v>
      </c>
      <c r="J63" s="634">
        <v>2303.6064500190341</v>
      </c>
      <c r="K63" s="647">
        <v>1</v>
      </c>
      <c r="L63" s="634">
        <v>26</v>
      </c>
      <c r="M63" s="635">
        <v>2303.6064500190341</v>
      </c>
    </row>
    <row r="64" spans="1:13" ht="14.4" customHeight="1" x14ac:dyDescent="0.3">
      <c r="A64" s="630" t="s">
        <v>531</v>
      </c>
      <c r="B64" s="631" t="s">
        <v>1505</v>
      </c>
      <c r="C64" s="631" t="s">
        <v>1034</v>
      </c>
      <c r="D64" s="631" t="s">
        <v>1035</v>
      </c>
      <c r="E64" s="631" t="s">
        <v>1506</v>
      </c>
      <c r="F64" s="634"/>
      <c r="G64" s="634"/>
      <c r="H64" s="647">
        <v>0</v>
      </c>
      <c r="I64" s="634">
        <v>33</v>
      </c>
      <c r="J64" s="634">
        <v>1796.1899999999996</v>
      </c>
      <c r="K64" s="647">
        <v>1</v>
      </c>
      <c r="L64" s="634">
        <v>33</v>
      </c>
      <c r="M64" s="635">
        <v>1796.1899999999996</v>
      </c>
    </row>
    <row r="65" spans="1:13" ht="14.4" customHeight="1" x14ac:dyDescent="0.3">
      <c r="A65" s="630" t="s">
        <v>531</v>
      </c>
      <c r="B65" s="631" t="s">
        <v>1526</v>
      </c>
      <c r="C65" s="631" t="s">
        <v>1373</v>
      </c>
      <c r="D65" s="631" t="s">
        <v>1527</v>
      </c>
      <c r="E65" s="631" t="s">
        <v>1528</v>
      </c>
      <c r="F65" s="634"/>
      <c r="G65" s="634"/>
      <c r="H65" s="647">
        <v>0</v>
      </c>
      <c r="I65" s="634">
        <v>3</v>
      </c>
      <c r="J65" s="634">
        <v>2661.8135807192348</v>
      </c>
      <c r="K65" s="647">
        <v>1</v>
      </c>
      <c r="L65" s="634">
        <v>3</v>
      </c>
      <c r="M65" s="635">
        <v>2661.8135807192348</v>
      </c>
    </row>
    <row r="66" spans="1:13" ht="14.4" customHeight="1" x14ac:dyDescent="0.3">
      <c r="A66" s="630" t="s">
        <v>531</v>
      </c>
      <c r="B66" s="631" t="s">
        <v>1529</v>
      </c>
      <c r="C66" s="631" t="s">
        <v>1377</v>
      </c>
      <c r="D66" s="631" t="s">
        <v>1530</v>
      </c>
      <c r="E66" s="631" t="s">
        <v>1531</v>
      </c>
      <c r="F66" s="634"/>
      <c r="G66" s="634"/>
      <c r="H66" s="647">
        <v>0</v>
      </c>
      <c r="I66" s="634">
        <v>46</v>
      </c>
      <c r="J66" s="634">
        <v>3437.0990024398779</v>
      </c>
      <c r="K66" s="647">
        <v>1</v>
      </c>
      <c r="L66" s="634">
        <v>46</v>
      </c>
      <c r="M66" s="635">
        <v>3437.0990024398779</v>
      </c>
    </row>
    <row r="67" spans="1:13" ht="14.4" customHeight="1" x14ac:dyDescent="0.3">
      <c r="A67" s="630" t="s">
        <v>531</v>
      </c>
      <c r="B67" s="631" t="s">
        <v>1487</v>
      </c>
      <c r="C67" s="631" t="s">
        <v>973</v>
      </c>
      <c r="D67" s="631" t="s">
        <v>773</v>
      </c>
      <c r="E67" s="631" t="s">
        <v>1507</v>
      </c>
      <c r="F67" s="634"/>
      <c r="G67" s="634"/>
      <c r="H67" s="647">
        <v>0</v>
      </c>
      <c r="I67" s="634">
        <v>2</v>
      </c>
      <c r="J67" s="634">
        <v>248.46</v>
      </c>
      <c r="K67" s="647">
        <v>1</v>
      </c>
      <c r="L67" s="634">
        <v>2</v>
      </c>
      <c r="M67" s="635">
        <v>248.46</v>
      </c>
    </row>
    <row r="68" spans="1:13" ht="14.4" customHeight="1" x14ac:dyDescent="0.3">
      <c r="A68" s="630" t="s">
        <v>531</v>
      </c>
      <c r="B68" s="631" t="s">
        <v>1532</v>
      </c>
      <c r="C68" s="631" t="s">
        <v>1313</v>
      </c>
      <c r="D68" s="631" t="s">
        <v>1314</v>
      </c>
      <c r="E68" s="631" t="s">
        <v>1315</v>
      </c>
      <c r="F68" s="634"/>
      <c r="G68" s="634"/>
      <c r="H68" s="647">
        <v>0</v>
      </c>
      <c r="I68" s="634">
        <v>26</v>
      </c>
      <c r="J68" s="634">
        <v>18794.85251781714</v>
      </c>
      <c r="K68" s="647">
        <v>1</v>
      </c>
      <c r="L68" s="634">
        <v>26</v>
      </c>
      <c r="M68" s="635">
        <v>18794.85251781714</v>
      </c>
    </row>
    <row r="69" spans="1:13" ht="14.4" customHeight="1" x14ac:dyDescent="0.3">
      <c r="A69" s="630" t="s">
        <v>531</v>
      </c>
      <c r="B69" s="631" t="s">
        <v>1533</v>
      </c>
      <c r="C69" s="631" t="s">
        <v>1294</v>
      </c>
      <c r="D69" s="631" t="s">
        <v>1295</v>
      </c>
      <c r="E69" s="631" t="s">
        <v>1296</v>
      </c>
      <c r="F69" s="634"/>
      <c r="G69" s="634"/>
      <c r="H69" s="647">
        <v>0</v>
      </c>
      <c r="I69" s="634">
        <v>6</v>
      </c>
      <c r="J69" s="634">
        <v>1598.0994516893177</v>
      </c>
      <c r="K69" s="647">
        <v>1</v>
      </c>
      <c r="L69" s="634">
        <v>6</v>
      </c>
      <c r="M69" s="635">
        <v>1598.0994516893177</v>
      </c>
    </row>
    <row r="70" spans="1:13" ht="14.4" customHeight="1" x14ac:dyDescent="0.3">
      <c r="A70" s="630" t="s">
        <v>531</v>
      </c>
      <c r="B70" s="631" t="s">
        <v>1533</v>
      </c>
      <c r="C70" s="631" t="s">
        <v>1298</v>
      </c>
      <c r="D70" s="631" t="s">
        <v>1295</v>
      </c>
      <c r="E70" s="631" t="s">
        <v>1299</v>
      </c>
      <c r="F70" s="634"/>
      <c r="G70" s="634"/>
      <c r="H70" s="647">
        <v>0</v>
      </c>
      <c r="I70" s="634">
        <v>4</v>
      </c>
      <c r="J70" s="634">
        <v>3560.3995023768407</v>
      </c>
      <c r="K70" s="647">
        <v>1</v>
      </c>
      <c r="L70" s="634">
        <v>4</v>
      </c>
      <c r="M70" s="635">
        <v>3560.3995023768407</v>
      </c>
    </row>
    <row r="71" spans="1:13" ht="14.4" customHeight="1" x14ac:dyDescent="0.3">
      <c r="A71" s="630" t="s">
        <v>531</v>
      </c>
      <c r="B71" s="631" t="s">
        <v>1489</v>
      </c>
      <c r="C71" s="631" t="s">
        <v>753</v>
      </c>
      <c r="D71" s="631" t="s">
        <v>754</v>
      </c>
      <c r="E71" s="631" t="s">
        <v>755</v>
      </c>
      <c r="F71" s="634"/>
      <c r="G71" s="634"/>
      <c r="H71" s="647">
        <v>0</v>
      </c>
      <c r="I71" s="634">
        <v>2</v>
      </c>
      <c r="J71" s="634">
        <v>122.94000000000001</v>
      </c>
      <c r="K71" s="647">
        <v>1</v>
      </c>
      <c r="L71" s="634">
        <v>2</v>
      </c>
      <c r="M71" s="635">
        <v>122.94000000000001</v>
      </c>
    </row>
    <row r="72" spans="1:13" ht="14.4" customHeight="1" x14ac:dyDescent="0.3">
      <c r="A72" s="630" t="s">
        <v>531</v>
      </c>
      <c r="B72" s="631" t="s">
        <v>1534</v>
      </c>
      <c r="C72" s="631" t="s">
        <v>1317</v>
      </c>
      <c r="D72" s="631" t="s">
        <v>1318</v>
      </c>
      <c r="E72" s="631" t="s">
        <v>1319</v>
      </c>
      <c r="F72" s="634"/>
      <c r="G72" s="634"/>
      <c r="H72" s="647">
        <v>0</v>
      </c>
      <c r="I72" s="634">
        <v>32</v>
      </c>
      <c r="J72" s="634">
        <v>32144.031314965243</v>
      </c>
      <c r="K72" s="647">
        <v>1</v>
      </c>
      <c r="L72" s="634">
        <v>32</v>
      </c>
      <c r="M72" s="635">
        <v>32144.031314965243</v>
      </c>
    </row>
    <row r="73" spans="1:13" ht="14.4" customHeight="1" x14ac:dyDescent="0.3">
      <c r="A73" s="630" t="s">
        <v>531</v>
      </c>
      <c r="B73" s="631" t="s">
        <v>1535</v>
      </c>
      <c r="C73" s="631" t="s">
        <v>1301</v>
      </c>
      <c r="D73" s="631" t="s">
        <v>1302</v>
      </c>
      <c r="E73" s="631" t="s">
        <v>1303</v>
      </c>
      <c r="F73" s="634"/>
      <c r="G73" s="634"/>
      <c r="H73" s="647">
        <v>0</v>
      </c>
      <c r="I73" s="634">
        <v>55</v>
      </c>
      <c r="J73" s="634">
        <v>8108.6350988421937</v>
      </c>
      <c r="K73" s="647">
        <v>1</v>
      </c>
      <c r="L73" s="634">
        <v>55</v>
      </c>
      <c r="M73" s="635">
        <v>8108.6350988421937</v>
      </c>
    </row>
    <row r="74" spans="1:13" ht="14.4" customHeight="1" x14ac:dyDescent="0.3">
      <c r="A74" s="630" t="s">
        <v>531</v>
      </c>
      <c r="B74" s="631" t="s">
        <v>1536</v>
      </c>
      <c r="C74" s="631" t="s">
        <v>1331</v>
      </c>
      <c r="D74" s="631" t="s">
        <v>1537</v>
      </c>
      <c r="E74" s="631" t="s">
        <v>1333</v>
      </c>
      <c r="F74" s="634"/>
      <c r="G74" s="634"/>
      <c r="H74" s="647">
        <v>0</v>
      </c>
      <c r="I74" s="634">
        <v>4</v>
      </c>
      <c r="J74" s="634">
        <v>216.47999999999996</v>
      </c>
      <c r="K74" s="647">
        <v>1</v>
      </c>
      <c r="L74" s="634">
        <v>4</v>
      </c>
      <c r="M74" s="635">
        <v>216.47999999999996</v>
      </c>
    </row>
    <row r="75" spans="1:13" ht="14.4" customHeight="1" x14ac:dyDescent="0.3">
      <c r="A75" s="630" t="s">
        <v>531</v>
      </c>
      <c r="B75" s="631" t="s">
        <v>1536</v>
      </c>
      <c r="C75" s="631" t="s">
        <v>1339</v>
      </c>
      <c r="D75" s="631" t="s">
        <v>1538</v>
      </c>
      <c r="E75" s="631" t="s">
        <v>1539</v>
      </c>
      <c r="F75" s="634"/>
      <c r="G75" s="634"/>
      <c r="H75" s="647">
        <v>0</v>
      </c>
      <c r="I75" s="634">
        <v>16</v>
      </c>
      <c r="J75" s="634">
        <v>3479.9990272280675</v>
      </c>
      <c r="K75" s="647">
        <v>1</v>
      </c>
      <c r="L75" s="634">
        <v>16</v>
      </c>
      <c r="M75" s="635">
        <v>3479.9990272280675</v>
      </c>
    </row>
    <row r="76" spans="1:13" ht="14.4" customHeight="1" x14ac:dyDescent="0.3">
      <c r="A76" s="630" t="s">
        <v>531</v>
      </c>
      <c r="B76" s="631" t="s">
        <v>1536</v>
      </c>
      <c r="C76" s="631" t="s">
        <v>1350</v>
      </c>
      <c r="D76" s="631" t="s">
        <v>1351</v>
      </c>
      <c r="E76" s="631" t="s">
        <v>1333</v>
      </c>
      <c r="F76" s="634"/>
      <c r="G76" s="634"/>
      <c r="H76" s="647">
        <v>0</v>
      </c>
      <c r="I76" s="634">
        <v>3</v>
      </c>
      <c r="J76" s="634">
        <v>147.74999999999997</v>
      </c>
      <c r="K76" s="647">
        <v>1</v>
      </c>
      <c r="L76" s="634">
        <v>3</v>
      </c>
      <c r="M76" s="635">
        <v>147.74999999999997</v>
      </c>
    </row>
    <row r="77" spans="1:13" ht="14.4" customHeight="1" x14ac:dyDescent="0.3">
      <c r="A77" s="630" t="s">
        <v>531</v>
      </c>
      <c r="B77" s="631" t="s">
        <v>1536</v>
      </c>
      <c r="C77" s="631" t="s">
        <v>1335</v>
      </c>
      <c r="D77" s="631" t="s">
        <v>1336</v>
      </c>
      <c r="E77" s="631" t="s">
        <v>1539</v>
      </c>
      <c r="F77" s="634"/>
      <c r="G77" s="634"/>
      <c r="H77" s="647">
        <v>0</v>
      </c>
      <c r="I77" s="634">
        <v>40</v>
      </c>
      <c r="J77" s="634">
        <v>8280</v>
      </c>
      <c r="K77" s="647">
        <v>1</v>
      </c>
      <c r="L77" s="634">
        <v>40</v>
      </c>
      <c r="M77" s="635">
        <v>8280</v>
      </c>
    </row>
    <row r="78" spans="1:13" ht="14.4" customHeight="1" x14ac:dyDescent="0.3">
      <c r="A78" s="630" t="s">
        <v>531</v>
      </c>
      <c r="B78" s="631" t="s">
        <v>1536</v>
      </c>
      <c r="C78" s="631" t="s">
        <v>1353</v>
      </c>
      <c r="D78" s="631" t="s">
        <v>1354</v>
      </c>
      <c r="E78" s="631" t="s">
        <v>1344</v>
      </c>
      <c r="F78" s="634"/>
      <c r="G78" s="634"/>
      <c r="H78" s="647">
        <v>0</v>
      </c>
      <c r="I78" s="634">
        <v>1</v>
      </c>
      <c r="J78" s="634">
        <v>148.06999999999994</v>
      </c>
      <c r="K78" s="647">
        <v>1</v>
      </c>
      <c r="L78" s="634">
        <v>1</v>
      </c>
      <c r="M78" s="635">
        <v>148.06999999999994</v>
      </c>
    </row>
    <row r="79" spans="1:13" ht="14.4" customHeight="1" x14ac:dyDescent="0.3">
      <c r="A79" s="630" t="s">
        <v>531</v>
      </c>
      <c r="B79" s="631" t="s">
        <v>1536</v>
      </c>
      <c r="C79" s="631" t="s">
        <v>1342</v>
      </c>
      <c r="D79" s="631" t="s">
        <v>1343</v>
      </c>
      <c r="E79" s="631" t="s">
        <v>1344</v>
      </c>
      <c r="F79" s="634"/>
      <c r="G79" s="634"/>
      <c r="H79" s="647">
        <v>0</v>
      </c>
      <c r="I79" s="634">
        <v>2</v>
      </c>
      <c r="J79" s="634">
        <v>296.14</v>
      </c>
      <c r="K79" s="647">
        <v>1</v>
      </c>
      <c r="L79" s="634">
        <v>2</v>
      </c>
      <c r="M79" s="635">
        <v>296.14</v>
      </c>
    </row>
    <row r="80" spans="1:13" ht="14.4" customHeight="1" thickBot="1" x14ac:dyDescent="0.35">
      <c r="A80" s="636" t="s">
        <v>531</v>
      </c>
      <c r="B80" s="637" t="s">
        <v>1536</v>
      </c>
      <c r="C80" s="637" t="s">
        <v>1346</v>
      </c>
      <c r="D80" s="637" t="s">
        <v>1540</v>
      </c>
      <c r="E80" s="637" t="s">
        <v>1344</v>
      </c>
      <c r="F80" s="640"/>
      <c r="G80" s="640"/>
      <c r="H80" s="648">
        <v>0</v>
      </c>
      <c r="I80" s="640">
        <v>1</v>
      </c>
      <c r="J80" s="640">
        <v>148.06999999999994</v>
      </c>
      <c r="K80" s="648">
        <v>1</v>
      </c>
      <c r="L80" s="640">
        <v>1</v>
      </c>
      <c r="M80" s="641">
        <v>148.06999999999994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60" customWidth="1"/>
    <col min="2" max="2" width="34.21875" style="260" customWidth="1"/>
    <col min="3" max="3" width="11.109375" style="260" bestFit="1" customWidth="1"/>
    <col min="4" max="4" width="7.33203125" style="260" bestFit="1" customWidth="1"/>
    <col min="5" max="5" width="11.109375" style="260" bestFit="1" customWidth="1"/>
    <col min="6" max="6" width="5.33203125" style="260" customWidth="1"/>
    <col min="7" max="7" width="7.33203125" style="260" bestFit="1" customWidth="1"/>
    <col min="8" max="8" width="5.33203125" style="260" customWidth="1"/>
    <col min="9" max="9" width="11.109375" style="260" customWidth="1"/>
    <col min="10" max="10" width="5.33203125" style="260" customWidth="1"/>
    <col min="11" max="11" width="7.33203125" style="260" customWidth="1"/>
    <col min="12" max="12" width="5.33203125" style="260" customWidth="1"/>
    <col min="13" max="13" width="0" style="260" hidden="1" customWidth="1"/>
    <col min="14" max="16384" width="8.88671875" style="260"/>
  </cols>
  <sheetData>
    <row r="1" spans="1:14" ht="18.600000000000001" customHeight="1" thickBot="1" x14ac:dyDescent="0.4">
      <c r="A1" s="494" t="s">
        <v>181</v>
      </c>
      <c r="B1" s="494"/>
      <c r="C1" s="494"/>
      <c r="D1" s="494"/>
      <c r="E1" s="494"/>
      <c r="F1" s="494"/>
      <c r="G1" s="494"/>
      <c r="H1" s="494"/>
      <c r="I1" s="463"/>
      <c r="J1" s="463"/>
      <c r="K1" s="463"/>
      <c r="L1" s="463"/>
    </row>
    <row r="2" spans="1:14" ht="14.4" customHeight="1" thickBot="1" x14ac:dyDescent="0.35">
      <c r="A2" s="389" t="s">
        <v>298</v>
      </c>
      <c r="B2" s="342"/>
      <c r="C2" s="342"/>
      <c r="D2" s="342"/>
      <c r="E2" s="342"/>
      <c r="F2" s="342"/>
      <c r="G2" s="342"/>
      <c r="H2" s="342"/>
    </row>
    <row r="3" spans="1:14" ht="14.4" customHeight="1" thickBot="1" x14ac:dyDescent="0.35">
      <c r="A3" s="275"/>
      <c r="B3" s="275"/>
      <c r="C3" s="505" t="s">
        <v>18</v>
      </c>
      <c r="D3" s="504"/>
      <c r="E3" s="504" t="s">
        <v>19</v>
      </c>
      <c r="F3" s="504"/>
      <c r="G3" s="504"/>
      <c r="H3" s="504"/>
      <c r="I3" s="504" t="s">
        <v>195</v>
      </c>
      <c r="J3" s="504"/>
      <c r="K3" s="504"/>
      <c r="L3" s="506"/>
    </row>
    <row r="4" spans="1:14" ht="14.4" customHeight="1" thickBot="1" x14ac:dyDescent="0.35">
      <c r="A4" s="106" t="s">
        <v>20</v>
      </c>
      <c r="B4" s="107" t="s">
        <v>21</v>
      </c>
      <c r="C4" s="108" t="s">
        <v>22</v>
      </c>
      <c r="D4" s="108" t="s">
        <v>23</v>
      </c>
      <c r="E4" s="108" t="s">
        <v>22</v>
      </c>
      <c r="F4" s="108" t="s">
        <v>5</v>
      </c>
      <c r="G4" s="108" t="s">
        <v>23</v>
      </c>
      <c r="H4" s="108" t="s">
        <v>5</v>
      </c>
      <c r="I4" s="108" t="s">
        <v>22</v>
      </c>
      <c r="J4" s="108" t="s">
        <v>5</v>
      </c>
      <c r="K4" s="108" t="s">
        <v>23</v>
      </c>
      <c r="L4" s="109" t="s">
        <v>5</v>
      </c>
    </row>
    <row r="5" spans="1:14" ht="14.4" customHeight="1" x14ac:dyDescent="0.3">
      <c r="A5" s="615">
        <v>6</v>
      </c>
      <c r="B5" s="616" t="s">
        <v>509</v>
      </c>
      <c r="C5" s="617">
        <v>127991.33</v>
      </c>
      <c r="D5" s="617">
        <v>92</v>
      </c>
      <c r="E5" s="617">
        <v>102873.45</v>
      </c>
      <c r="F5" s="618">
        <v>0.80375326985038753</v>
      </c>
      <c r="G5" s="617">
        <v>72</v>
      </c>
      <c r="H5" s="618">
        <v>0.78260869565217395</v>
      </c>
      <c r="I5" s="617">
        <v>25117.880000000005</v>
      </c>
      <c r="J5" s="618">
        <v>0.19624673014961252</v>
      </c>
      <c r="K5" s="617">
        <v>20</v>
      </c>
      <c r="L5" s="618">
        <v>0.21739130434782608</v>
      </c>
      <c r="M5" s="617" t="s">
        <v>77</v>
      </c>
      <c r="N5" s="283"/>
    </row>
    <row r="6" spans="1:14" ht="14.4" customHeight="1" x14ac:dyDescent="0.3">
      <c r="A6" s="615">
        <v>6</v>
      </c>
      <c r="B6" s="616" t="s">
        <v>1542</v>
      </c>
      <c r="C6" s="617">
        <v>2994.58</v>
      </c>
      <c r="D6" s="617">
        <v>8</v>
      </c>
      <c r="E6" s="617">
        <v>94.88</v>
      </c>
      <c r="F6" s="618">
        <v>3.1683908928798028E-2</v>
      </c>
      <c r="G6" s="617">
        <v>2</v>
      </c>
      <c r="H6" s="618">
        <v>0.25</v>
      </c>
      <c r="I6" s="617">
        <v>2899.7</v>
      </c>
      <c r="J6" s="618">
        <v>0.96831609107120198</v>
      </c>
      <c r="K6" s="617">
        <v>6</v>
      </c>
      <c r="L6" s="618">
        <v>0.75</v>
      </c>
      <c r="M6" s="617" t="s">
        <v>2</v>
      </c>
      <c r="N6" s="283"/>
    </row>
    <row r="7" spans="1:14" ht="14.4" customHeight="1" x14ac:dyDescent="0.3">
      <c r="A7" s="615">
        <v>6</v>
      </c>
      <c r="B7" s="616" t="s">
        <v>1543</v>
      </c>
      <c r="C7" s="617">
        <v>124996.75</v>
      </c>
      <c r="D7" s="617">
        <v>84</v>
      </c>
      <c r="E7" s="617">
        <v>102778.56999999999</v>
      </c>
      <c r="F7" s="618">
        <v>0.82224993849840089</v>
      </c>
      <c r="G7" s="617">
        <v>70</v>
      </c>
      <c r="H7" s="618">
        <v>0.83333333333333337</v>
      </c>
      <c r="I7" s="617">
        <v>22218.180000000004</v>
      </c>
      <c r="J7" s="618">
        <v>0.17775006150159908</v>
      </c>
      <c r="K7" s="617">
        <v>14</v>
      </c>
      <c r="L7" s="618">
        <v>0.16666666666666666</v>
      </c>
      <c r="M7" s="617" t="s">
        <v>2</v>
      </c>
      <c r="N7" s="283"/>
    </row>
    <row r="8" spans="1:14" ht="14.4" customHeight="1" x14ac:dyDescent="0.3">
      <c r="A8" s="615" t="s">
        <v>1544</v>
      </c>
      <c r="B8" s="616" t="s">
        <v>6</v>
      </c>
      <c r="C8" s="617">
        <v>127991.33</v>
      </c>
      <c r="D8" s="617">
        <v>92</v>
      </c>
      <c r="E8" s="617">
        <v>102873.45</v>
      </c>
      <c r="F8" s="618">
        <v>0.80375326985038753</v>
      </c>
      <c r="G8" s="617">
        <v>72</v>
      </c>
      <c r="H8" s="618">
        <v>0.78260869565217395</v>
      </c>
      <c r="I8" s="617">
        <v>25117.880000000005</v>
      </c>
      <c r="J8" s="618">
        <v>0.19624673014961252</v>
      </c>
      <c r="K8" s="617">
        <v>20</v>
      </c>
      <c r="L8" s="618">
        <v>0.21739130434782608</v>
      </c>
      <c r="M8" s="617" t="s">
        <v>522</v>
      </c>
      <c r="N8" s="283"/>
    </row>
    <row r="10" spans="1:14" ht="14.4" customHeight="1" x14ac:dyDescent="0.3">
      <c r="A10" s="615">
        <v>6</v>
      </c>
      <c r="B10" s="616" t="s">
        <v>509</v>
      </c>
      <c r="C10" s="617" t="s">
        <v>508</v>
      </c>
      <c r="D10" s="617" t="s">
        <v>508</v>
      </c>
      <c r="E10" s="617" t="s">
        <v>508</v>
      </c>
      <c r="F10" s="618" t="s">
        <v>508</v>
      </c>
      <c r="G10" s="617" t="s">
        <v>508</v>
      </c>
      <c r="H10" s="618" t="s">
        <v>508</v>
      </c>
      <c r="I10" s="617" t="s">
        <v>508</v>
      </c>
      <c r="J10" s="618" t="s">
        <v>508</v>
      </c>
      <c r="K10" s="617" t="s">
        <v>508</v>
      </c>
      <c r="L10" s="618" t="s">
        <v>508</v>
      </c>
      <c r="M10" s="617" t="s">
        <v>77</v>
      </c>
      <c r="N10" s="283"/>
    </row>
    <row r="11" spans="1:14" ht="14.4" customHeight="1" x14ac:dyDescent="0.3">
      <c r="A11" s="615">
        <v>89301062</v>
      </c>
      <c r="B11" s="616" t="s">
        <v>1542</v>
      </c>
      <c r="C11" s="617">
        <v>702.11</v>
      </c>
      <c r="D11" s="617">
        <v>6</v>
      </c>
      <c r="E11" s="617">
        <v>94.88</v>
      </c>
      <c r="F11" s="618">
        <v>0.13513552007520188</v>
      </c>
      <c r="G11" s="617">
        <v>2</v>
      </c>
      <c r="H11" s="618">
        <v>0.33333333333333331</v>
      </c>
      <c r="I11" s="617">
        <v>607.23</v>
      </c>
      <c r="J11" s="618">
        <v>0.86486447992479809</v>
      </c>
      <c r="K11" s="617">
        <v>4</v>
      </c>
      <c r="L11" s="618">
        <v>0.66666666666666663</v>
      </c>
      <c r="M11" s="617" t="s">
        <v>2</v>
      </c>
      <c r="N11" s="283"/>
    </row>
    <row r="12" spans="1:14" ht="14.4" customHeight="1" x14ac:dyDescent="0.3">
      <c r="A12" s="615">
        <v>89301062</v>
      </c>
      <c r="B12" s="616" t="s">
        <v>1543</v>
      </c>
      <c r="C12" s="617">
        <v>124996.75</v>
      </c>
      <c r="D12" s="617">
        <v>84</v>
      </c>
      <c r="E12" s="617">
        <v>102778.56999999999</v>
      </c>
      <c r="F12" s="618">
        <v>0.82224993849840089</v>
      </c>
      <c r="G12" s="617">
        <v>70</v>
      </c>
      <c r="H12" s="618">
        <v>0.83333333333333337</v>
      </c>
      <c r="I12" s="617">
        <v>22218.180000000004</v>
      </c>
      <c r="J12" s="618">
        <v>0.17775006150159908</v>
      </c>
      <c r="K12" s="617">
        <v>14</v>
      </c>
      <c r="L12" s="618">
        <v>0.16666666666666666</v>
      </c>
      <c r="M12" s="617" t="s">
        <v>2</v>
      </c>
      <c r="N12" s="283"/>
    </row>
    <row r="13" spans="1:14" ht="14.4" customHeight="1" x14ac:dyDescent="0.3">
      <c r="A13" s="615" t="s">
        <v>1545</v>
      </c>
      <c r="B13" s="616" t="s">
        <v>1546</v>
      </c>
      <c r="C13" s="617">
        <v>125698.86</v>
      </c>
      <c r="D13" s="617">
        <v>90</v>
      </c>
      <c r="E13" s="617">
        <v>102873.45</v>
      </c>
      <c r="F13" s="618">
        <v>0.81841195695808222</v>
      </c>
      <c r="G13" s="617">
        <v>72</v>
      </c>
      <c r="H13" s="618">
        <v>0.8</v>
      </c>
      <c r="I13" s="617">
        <v>22825.410000000003</v>
      </c>
      <c r="J13" s="618">
        <v>0.18158804304191783</v>
      </c>
      <c r="K13" s="617">
        <v>18</v>
      </c>
      <c r="L13" s="618">
        <v>0.2</v>
      </c>
      <c r="M13" s="617" t="s">
        <v>525</v>
      </c>
      <c r="N13" s="283"/>
    </row>
    <row r="14" spans="1:14" ht="14.4" customHeight="1" x14ac:dyDescent="0.3">
      <c r="A14" s="615" t="s">
        <v>508</v>
      </c>
      <c r="B14" s="616" t="s">
        <v>508</v>
      </c>
      <c r="C14" s="617" t="s">
        <v>508</v>
      </c>
      <c r="D14" s="617" t="s">
        <v>508</v>
      </c>
      <c r="E14" s="617" t="s">
        <v>508</v>
      </c>
      <c r="F14" s="618" t="s">
        <v>508</v>
      </c>
      <c r="G14" s="617" t="s">
        <v>508</v>
      </c>
      <c r="H14" s="618" t="s">
        <v>508</v>
      </c>
      <c r="I14" s="617" t="s">
        <v>508</v>
      </c>
      <c r="J14" s="618" t="s">
        <v>508</v>
      </c>
      <c r="K14" s="617" t="s">
        <v>508</v>
      </c>
      <c r="L14" s="618" t="s">
        <v>508</v>
      </c>
      <c r="M14" s="617" t="s">
        <v>526</v>
      </c>
      <c r="N14" s="283"/>
    </row>
    <row r="15" spans="1:14" ht="14.4" customHeight="1" x14ac:dyDescent="0.3">
      <c r="A15" s="615">
        <v>89301061</v>
      </c>
      <c r="B15" s="616" t="s">
        <v>1542</v>
      </c>
      <c r="C15" s="617">
        <v>2292.4699999999998</v>
      </c>
      <c r="D15" s="617">
        <v>2</v>
      </c>
      <c r="E15" s="617" t="s">
        <v>508</v>
      </c>
      <c r="F15" s="618">
        <v>0</v>
      </c>
      <c r="G15" s="617" t="s">
        <v>508</v>
      </c>
      <c r="H15" s="618">
        <v>0</v>
      </c>
      <c r="I15" s="617">
        <v>2292.4699999999998</v>
      </c>
      <c r="J15" s="618">
        <v>1</v>
      </c>
      <c r="K15" s="617">
        <v>2</v>
      </c>
      <c r="L15" s="618">
        <v>1</v>
      </c>
      <c r="M15" s="617" t="s">
        <v>2</v>
      </c>
      <c r="N15" s="283"/>
    </row>
    <row r="16" spans="1:14" ht="14.4" customHeight="1" x14ac:dyDescent="0.3">
      <c r="A16" s="615" t="s">
        <v>1547</v>
      </c>
      <c r="B16" s="616" t="s">
        <v>1548</v>
      </c>
      <c r="C16" s="617">
        <v>2292.4699999999998</v>
      </c>
      <c r="D16" s="617">
        <v>2</v>
      </c>
      <c r="E16" s="617" t="s">
        <v>508</v>
      </c>
      <c r="F16" s="618">
        <v>0</v>
      </c>
      <c r="G16" s="617" t="s">
        <v>508</v>
      </c>
      <c r="H16" s="618">
        <v>0</v>
      </c>
      <c r="I16" s="617">
        <v>2292.4699999999998</v>
      </c>
      <c r="J16" s="618">
        <v>1</v>
      </c>
      <c r="K16" s="617">
        <v>2</v>
      </c>
      <c r="L16" s="618">
        <v>1</v>
      </c>
      <c r="M16" s="617" t="s">
        <v>525</v>
      </c>
      <c r="N16" s="283"/>
    </row>
    <row r="17" spans="1:14" ht="14.4" customHeight="1" x14ac:dyDescent="0.3">
      <c r="A17" s="615" t="s">
        <v>508</v>
      </c>
      <c r="B17" s="616" t="s">
        <v>508</v>
      </c>
      <c r="C17" s="617" t="s">
        <v>508</v>
      </c>
      <c r="D17" s="617" t="s">
        <v>508</v>
      </c>
      <c r="E17" s="617" t="s">
        <v>508</v>
      </c>
      <c r="F17" s="618" t="s">
        <v>508</v>
      </c>
      <c r="G17" s="617" t="s">
        <v>508</v>
      </c>
      <c r="H17" s="618" t="s">
        <v>508</v>
      </c>
      <c r="I17" s="617" t="s">
        <v>508</v>
      </c>
      <c r="J17" s="618" t="s">
        <v>508</v>
      </c>
      <c r="K17" s="617" t="s">
        <v>508</v>
      </c>
      <c r="L17" s="618" t="s">
        <v>508</v>
      </c>
      <c r="M17" s="617" t="s">
        <v>526</v>
      </c>
      <c r="N17" s="283"/>
    </row>
    <row r="18" spans="1:14" ht="14.4" customHeight="1" x14ac:dyDescent="0.3">
      <c r="A18" s="615" t="s">
        <v>1544</v>
      </c>
      <c r="B18" s="616" t="s">
        <v>1549</v>
      </c>
      <c r="C18" s="617">
        <v>127991.33</v>
      </c>
      <c r="D18" s="617">
        <v>92</v>
      </c>
      <c r="E18" s="617">
        <v>102873.45</v>
      </c>
      <c r="F18" s="618">
        <v>0.80375326985038753</v>
      </c>
      <c r="G18" s="617">
        <v>72</v>
      </c>
      <c r="H18" s="618">
        <v>0.78260869565217395</v>
      </c>
      <c r="I18" s="617">
        <v>25117.880000000005</v>
      </c>
      <c r="J18" s="618">
        <v>0.19624673014961252</v>
      </c>
      <c r="K18" s="617">
        <v>20</v>
      </c>
      <c r="L18" s="618">
        <v>0.21739130434782608</v>
      </c>
      <c r="M18" s="617" t="s">
        <v>522</v>
      </c>
      <c r="N18" s="283"/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48" priority="15" stopIfTrue="1" operator="lessThan">
      <formula>0.6</formula>
    </cfRule>
  </conditionalFormatting>
  <conditionalFormatting sqref="B5:B8">
    <cfRule type="expression" dxfId="47" priority="10">
      <formula>AND(LEFT(M5,6)&lt;&gt;"mezera",M5&lt;&gt;"")</formula>
    </cfRule>
  </conditionalFormatting>
  <conditionalFormatting sqref="A5:A8">
    <cfRule type="expression" dxfId="46" priority="8">
      <formula>AND(M5&lt;&gt;"",M5&lt;&gt;"mezeraKL")</formula>
    </cfRule>
  </conditionalFormatting>
  <conditionalFormatting sqref="F5:F8">
    <cfRule type="cellIs" dxfId="45" priority="7" operator="lessThan">
      <formula>0.6</formula>
    </cfRule>
  </conditionalFormatting>
  <conditionalFormatting sqref="B5:L8">
    <cfRule type="expression" dxfId="44" priority="9">
      <formula>OR($M5="KL",$M5="SumaKL")</formula>
    </cfRule>
    <cfRule type="expression" dxfId="43" priority="11">
      <formula>$M5="SumaNS"</formula>
    </cfRule>
  </conditionalFormatting>
  <conditionalFormatting sqref="A5:L8">
    <cfRule type="expression" dxfId="42" priority="12">
      <formula>$M5&lt;&gt;""</formula>
    </cfRule>
  </conditionalFormatting>
  <conditionalFormatting sqref="B10:B18">
    <cfRule type="expression" dxfId="41" priority="4">
      <formula>AND(LEFT(M10,6)&lt;&gt;"mezera",M10&lt;&gt;"")</formula>
    </cfRule>
  </conditionalFormatting>
  <conditionalFormatting sqref="A10:A18">
    <cfRule type="expression" dxfId="40" priority="2">
      <formula>AND(M10&lt;&gt;"",M10&lt;&gt;"mezeraKL")</formula>
    </cfRule>
  </conditionalFormatting>
  <conditionalFormatting sqref="F10:F18">
    <cfRule type="cellIs" dxfId="39" priority="1" operator="lessThan">
      <formula>0.6</formula>
    </cfRule>
  </conditionalFormatting>
  <conditionalFormatting sqref="B10:L18">
    <cfRule type="expression" dxfId="38" priority="3">
      <formula>OR($M10="KL",$M10="SumaKL")</formula>
    </cfRule>
    <cfRule type="expression" dxfId="37" priority="5">
      <formula>$M10="SumaNS"</formula>
    </cfRule>
  </conditionalFormatting>
  <conditionalFormatting sqref="A10:L18">
    <cfRule type="expression" dxfId="36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60" customWidth="1"/>
    <col min="2" max="2" width="11.109375" style="343" bestFit="1" customWidth="1"/>
    <col min="3" max="3" width="11.109375" style="260" hidden="1" customWidth="1"/>
    <col min="4" max="4" width="7.33203125" style="343" bestFit="1" customWidth="1"/>
    <col min="5" max="5" width="7.33203125" style="260" hidden="1" customWidth="1"/>
    <col min="6" max="6" width="11.109375" style="343" bestFit="1" customWidth="1"/>
    <col min="7" max="7" width="5.33203125" style="346" customWidth="1"/>
    <col min="8" max="8" width="7.33203125" style="343" bestFit="1" customWidth="1"/>
    <col min="9" max="9" width="5.33203125" style="346" customWidth="1"/>
    <col min="10" max="10" width="11.109375" style="343" customWidth="1"/>
    <col min="11" max="11" width="5.33203125" style="346" customWidth="1"/>
    <col min="12" max="12" width="7.33203125" style="343" customWidth="1"/>
    <col min="13" max="13" width="5.33203125" style="346" customWidth="1"/>
    <col min="14" max="14" width="0" style="260" hidden="1" customWidth="1"/>
    <col min="15" max="16384" width="8.88671875" style="260"/>
  </cols>
  <sheetData>
    <row r="1" spans="1:13" ht="18.600000000000001" customHeight="1" thickBot="1" x14ac:dyDescent="0.4">
      <c r="A1" s="494" t="s">
        <v>196</v>
      </c>
      <c r="B1" s="494"/>
      <c r="C1" s="494"/>
      <c r="D1" s="494"/>
      <c r="E1" s="494"/>
      <c r="F1" s="494"/>
      <c r="G1" s="494"/>
      <c r="H1" s="494"/>
      <c r="I1" s="494"/>
      <c r="J1" s="463"/>
      <c r="K1" s="463"/>
      <c r="L1" s="463"/>
      <c r="M1" s="463"/>
    </row>
    <row r="2" spans="1:13" ht="14.4" customHeight="1" thickBot="1" x14ac:dyDescent="0.35">
      <c r="A2" s="389" t="s">
        <v>298</v>
      </c>
      <c r="B2" s="350"/>
      <c r="C2" s="342"/>
      <c r="D2" s="350"/>
      <c r="E2" s="342"/>
      <c r="F2" s="350"/>
      <c r="G2" s="351"/>
      <c r="H2" s="350"/>
      <c r="I2" s="351"/>
    </row>
    <row r="3" spans="1:13" ht="14.4" customHeight="1" thickBot="1" x14ac:dyDescent="0.35">
      <c r="A3" s="275"/>
      <c r="B3" s="505" t="s">
        <v>18</v>
      </c>
      <c r="C3" s="507"/>
      <c r="D3" s="504"/>
      <c r="E3" s="274"/>
      <c r="F3" s="504" t="s">
        <v>19</v>
      </c>
      <c r="G3" s="504"/>
      <c r="H3" s="504"/>
      <c r="I3" s="504"/>
      <c r="J3" s="504" t="s">
        <v>195</v>
      </c>
      <c r="K3" s="504"/>
      <c r="L3" s="504"/>
      <c r="M3" s="506"/>
    </row>
    <row r="4" spans="1:13" ht="14.4" customHeight="1" thickBot="1" x14ac:dyDescent="0.35">
      <c r="A4" s="663" t="s">
        <v>171</v>
      </c>
      <c r="B4" s="667" t="s">
        <v>22</v>
      </c>
      <c r="C4" s="668"/>
      <c r="D4" s="667" t="s">
        <v>23</v>
      </c>
      <c r="E4" s="668"/>
      <c r="F4" s="667" t="s">
        <v>22</v>
      </c>
      <c r="G4" s="677" t="s">
        <v>5</v>
      </c>
      <c r="H4" s="667" t="s">
        <v>23</v>
      </c>
      <c r="I4" s="677" t="s">
        <v>5</v>
      </c>
      <c r="J4" s="667" t="s">
        <v>22</v>
      </c>
      <c r="K4" s="677" t="s">
        <v>5</v>
      </c>
      <c r="L4" s="667" t="s">
        <v>23</v>
      </c>
      <c r="M4" s="678" t="s">
        <v>5</v>
      </c>
    </row>
    <row r="5" spans="1:13" ht="14.4" customHeight="1" x14ac:dyDescent="0.3">
      <c r="A5" s="664" t="s">
        <v>1550</v>
      </c>
      <c r="B5" s="669">
        <v>4052.76</v>
      </c>
      <c r="C5" s="625">
        <v>1</v>
      </c>
      <c r="D5" s="674">
        <v>4</v>
      </c>
      <c r="E5" s="684" t="s">
        <v>1550</v>
      </c>
      <c r="F5" s="669">
        <v>4052.76</v>
      </c>
      <c r="G5" s="646">
        <v>1</v>
      </c>
      <c r="H5" s="628">
        <v>4</v>
      </c>
      <c r="I5" s="680">
        <v>1</v>
      </c>
      <c r="J5" s="687"/>
      <c r="K5" s="646">
        <v>0</v>
      </c>
      <c r="L5" s="628"/>
      <c r="M5" s="680">
        <v>0</v>
      </c>
    </row>
    <row r="6" spans="1:13" ht="14.4" customHeight="1" x14ac:dyDescent="0.3">
      <c r="A6" s="665" t="s">
        <v>1551</v>
      </c>
      <c r="B6" s="237">
        <v>30881.640000000003</v>
      </c>
      <c r="C6" s="670">
        <v>1</v>
      </c>
      <c r="D6" s="675">
        <v>23</v>
      </c>
      <c r="E6" s="685" t="s">
        <v>1551</v>
      </c>
      <c r="F6" s="237">
        <v>26701.510000000002</v>
      </c>
      <c r="G6" s="681">
        <v>0.86464028464809506</v>
      </c>
      <c r="H6" s="238">
        <v>19</v>
      </c>
      <c r="I6" s="242">
        <v>0.82608695652173914</v>
      </c>
      <c r="J6" s="688">
        <v>4180.13</v>
      </c>
      <c r="K6" s="681">
        <v>0.13535971535190489</v>
      </c>
      <c r="L6" s="238">
        <v>4</v>
      </c>
      <c r="M6" s="242">
        <v>0.17391304347826086</v>
      </c>
    </row>
    <row r="7" spans="1:13" ht="14.4" customHeight="1" x14ac:dyDescent="0.3">
      <c r="A7" s="665" t="s">
        <v>1552</v>
      </c>
      <c r="B7" s="237">
        <v>28858.65</v>
      </c>
      <c r="C7" s="670">
        <v>1</v>
      </c>
      <c r="D7" s="675">
        <v>21</v>
      </c>
      <c r="E7" s="685" t="s">
        <v>1552</v>
      </c>
      <c r="F7" s="237">
        <v>15945.43</v>
      </c>
      <c r="G7" s="681">
        <v>0.55253554826715734</v>
      </c>
      <c r="H7" s="238">
        <v>12</v>
      </c>
      <c r="I7" s="242">
        <v>0.5714285714285714</v>
      </c>
      <c r="J7" s="688">
        <v>12913.220000000001</v>
      </c>
      <c r="K7" s="681">
        <v>0.44746445173284266</v>
      </c>
      <c r="L7" s="238">
        <v>9</v>
      </c>
      <c r="M7" s="242">
        <v>0.42857142857142855</v>
      </c>
    </row>
    <row r="8" spans="1:13" ht="14.4" customHeight="1" x14ac:dyDescent="0.3">
      <c r="A8" s="665" t="s">
        <v>1553</v>
      </c>
      <c r="B8" s="237">
        <v>9303.4699999999993</v>
      </c>
      <c r="C8" s="670">
        <v>1</v>
      </c>
      <c r="D8" s="675">
        <v>7</v>
      </c>
      <c r="E8" s="685" t="s">
        <v>1553</v>
      </c>
      <c r="F8" s="237">
        <v>1978.94</v>
      </c>
      <c r="G8" s="681">
        <v>0.21270988136684488</v>
      </c>
      <c r="H8" s="238">
        <v>1</v>
      </c>
      <c r="I8" s="242">
        <v>0.14285714285714285</v>
      </c>
      <c r="J8" s="688">
        <v>7324.53</v>
      </c>
      <c r="K8" s="681">
        <v>0.78729011863315523</v>
      </c>
      <c r="L8" s="238">
        <v>6</v>
      </c>
      <c r="M8" s="242">
        <v>0.8571428571428571</v>
      </c>
    </row>
    <row r="9" spans="1:13" ht="14.4" customHeight="1" x14ac:dyDescent="0.3">
      <c r="A9" s="665" t="s">
        <v>1554</v>
      </c>
      <c r="B9" s="237">
        <v>43021.17</v>
      </c>
      <c r="C9" s="670">
        <v>1</v>
      </c>
      <c r="D9" s="675">
        <v>31</v>
      </c>
      <c r="E9" s="685" t="s">
        <v>1554</v>
      </c>
      <c r="F9" s="237">
        <v>42321.17</v>
      </c>
      <c r="G9" s="681">
        <v>0.98372894089119378</v>
      </c>
      <c r="H9" s="238">
        <v>30</v>
      </c>
      <c r="I9" s="242">
        <v>0.967741935483871</v>
      </c>
      <c r="J9" s="688">
        <v>700</v>
      </c>
      <c r="K9" s="681">
        <v>1.6271059108806201E-2</v>
      </c>
      <c r="L9" s="238">
        <v>1</v>
      </c>
      <c r="M9" s="242">
        <v>3.2258064516129031E-2</v>
      </c>
    </row>
    <row r="10" spans="1:13" ht="14.4" customHeight="1" thickBot="1" x14ac:dyDescent="0.35">
      <c r="A10" s="666" t="s">
        <v>1555</v>
      </c>
      <c r="B10" s="671">
        <v>11873.640000000001</v>
      </c>
      <c r="C10" s="672">
        <v>1</v>
      </c>
      <c r="D10" s="676">
        <v>6</v>
      </c>
      <c r="E10" s="686" t="s">
        <v>1555</v>
      </c>
      <c r="F10" s="671">
        <v>11873.640000000001</v>
      </c>
      <c r="G10" s="682">
        <v>1</v>
      </c>
      <c r="H10" s="673">
        <v>6</v>
      </c>
      <c r="I10" s="683">
        <v>1</v>
      </c>
      <c r="J10" s="689"/>
      <c r="K10" s="682">
        <v>0</v>
      </c>
      <c r="L10" s="673"/>
      <c r="M10" s="683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60" hidden="1" customWidth="1" outlineLevel="1"/>
    <col min="2" max="2" width="28.33203125" style="260" hidden="1" customWidth="1" outlineLevel="1"/>
    <col min="3" max="3" width="9" style="260" customWidth="1" collapsed="1"/>
    <col min="4" max="4" width="18.77734375" style="354" customWidth="1"/>
    <col min="5" max="5" width="13.5546875" style="344" customWidth="1"/>
    <col min="6" max="6" width="6" style="260" bestFit="1" customWidth="1"/>
    <col min="7" max="7" width="8.77734375" style="260" customWidth="1"/>
    <col min="8" max="8" width="5" style="260" bestFit="1" customWidth="1"/>
    <col min="9" max="9" width="8.5546875" style="260" hidden="1" customWidth="1" outlineLevel="1"/>
    <col min="10" max="10" width="25.77734375" style="260" customWidth="1" collapsed="1"/>
    <col min="11" max="11" width="8.77734375" style="260" customWidth="1"/>
    <col min="12" max="12" width="7.77734375" style="345" customWidth="1"/>
    <col min="13" max="13" width="11.109375" style="345" customWidth="1"/>
    <col min="14" max="14" width="7.77734375" style="260" customWidth="1"/>
    <col min="15" max="15" width="7.77734375" style="355" customWidth="1"/>
    <col min="16" max="16" width="11.109375" style="345" customWidth="1"/>
    <col min="17" max="17" width="5.44140625" style="346" bestFit="1" customWidth="1"/>
    <col min="18" max="18" width="7.77734375" style="260" customWidth="1"/>
    <col min="19" max="19" width="5.44140625" style="346" bestFit="1" customWidth="1"/>
    <col min="20" max="20" width="7.77734375" style="355" customWidth="1"/>
    <col min="21" max="21" width="5.44140625" style="346" bestFit="1" customWidth="1"/>
    <col min="22" max="16384" width="8.88671875" style="260"/>
  </cols>
  <sheetData>
    <row r="1" spans="1:21" ht="18.600000000000001" customHeight="1" thickBot="1" x14ac:dyDescent="0.4">
      <c r="A1" s="486" t="s">
        <v>1607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</row>
    <row r="2" spans="1:21" ht="14.4" customHeight="1" thickBot="1" x14ac:dyDescent="0.35">
      <c r="A2" s="389" t="s">
        <v>298</v>
      </c>
      <c r="B2" s="352"/>
      <c r="C2" s="342"/>
      <c r="D2" s="342"/>
      <c r="E2" s="353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</row>
    <row r="3" spans="1:21" ht="14.4" customHeight="1" thickBot="1" x14ac:dyDescent="0.35">
      <c r="A3" s="511"/>
      <c r="B3" s="512"/>
      <c r="C3" s="512"/>
      <c r="D3" s="512"/>
      <c r="E3" s="512"/>
      <c r="F3" s="512"/>
      <c r="G3" s="512"/>
      <c r="H3" s="512"/>
      <c r="I3" s="512"/>
      <c r="J3" s="512"/>
      <c r="K3" s="513" t="s">
        <v>163</v>
      </c>
      <c r="L3" s="514"/>
      <c r="M3" s="70">
        <f>SUBTOTAL(9,M7:M1048576)</f>
        <v>127991.33</v>
      </c>
      <c r="N3" s="70">
        <f>SUBTOTAL(9,N7:N1048576)</f>
        <v>96</v>
      </c>
      <c r="O3" s="70">
        <f>SUBTOTAL(9,O7:O1048576)</f>
        <v>92</v>
      </c>
      <c r="P3" s="70">
        <f>SUBTOTAL(9,P7:P1048576)</f>
        <v>102873.45</v>
      </c>
      <c r="Q3" s="71">
        <f>IF(M3=0,0,P3/M3)</f>
        <v>0.80375326985038753</v>
      </c>
      <c r="R3" s="70">
        <f>SUBTOTAL(9,R7:R1048576)</f>
        <v>74</v>
      </c>
      <c r="S3" s="71">
        <f>IF(N3=0,0,R3/N3)</f>
        <v>0.77083333333333337</v>
      </c>
      <c r="T3" s="70">
        <f>SUBTOTAL(9,T7:T1048576)</f>
        <v>72</v>
      </c>
      <c r="U3" s="72">
        <f>IF(O3=0,0,T3/O3)</f>
        <v>0.78260869565217395</v>
      </c>
    </row>
    <row r="4" spans="1:21" ht="14.4" customHeight="1" x14ac:dyDescent="0.3">
      <c r="A4" s="73"/>
      <c r="B4" s="74"/>
      <c r="C4" s="74"/>
      <c r="D4" s="75"/>
      <c r="E4" s="275"/>
      <c r="F4" s="74"/>
      <c r="G4" s="74"/>
      <c r="H4" s="74"/>
      <c r="I4" s="74"/>
      <c r="J4" s="74"/>
      <c r="K4" s="74"/>
      <c r="L4" s="74"/>
      <c r="M4" s="515" t="s">
        <v>18</v>
      </c>
      <c r="N4" s="516"/>
      <c r="O4" s="516"/>
      <c r="P4" s="517" t="s">
        <v>24</v>
      </c>
      <c r="Q4" s="516"/>
      <c r="R4" s="516"/>
      <c r="S4" s="516"/>
      <c r="T4" s="516"/>
      <c r="U4" s="518"/>
    </row>
    <row r="5" spans="1:21" ht="14.4" customHeight="1" thickBot="1" x14ac:dyDescent="0.35">
      <c r="A5" s="76"/>
      <c r="B5" s="77"/>
      <c r="C5" s="74"/>
      <c r="D5" s="75"/>
      <c r="E5" s="275"/>
      <c r="F5" s="74"/>
      <c r="G5" s="74"/>
      <c r="H5" s="74"/>
      <c r="I5" s="74"/>
      <c r="J5" s="74"/>
      <c r="K5" s="74"/>
      <c r="L5" s="74"/>
      <c r="M5" s="110" t="s">
        <v>25</v>
      </c>
      <c r="N5" s="111" t="s">
        <v>16</v>
      </c>
      <c r="O5" s="111" t="s">
        <v>23</v>
      </c>
      <c r="P5" s="508" t="s">
        <v>25</v>
      </c>
      <c r="Q5" s="509"/>
      <c r="R5" s="508" t="s">
        <v>16</v>
      </c>
      <c r="S5" s="509"/>
      <c r="T5" s="508" t="s">
        <v>23</v>
      </c>
      <c r="U5" s="510"/>
    </row>
    <row r="6" spans="1:21" s="344" customFormat="1" ht="14.4" customHeight="1" thickBot="1" x14ac:dyDescent="0.35">
      <c r="A6" s="690" t="s">
        <v>26</v>
      </c>
      <c r="B6" s="691" t="s">
        <v>8</v>
      </c>
      <c r="C6" s="690" t="s">
        <v>27</v>
      </c>
      <c r="D6" s="691" t="s">
        <v>9</v>
      </c>
      <c r="E6" s="691" t="s">
        <v>198</v>
      </c>
      <c r="F6" s="691" t="s">
        <v>28</v>
      </c>
      <c r="G6" s="691" t="s">
        <v>29</v>
      </c>
      <c r="H6" s="691" t="s">
        <v>11</v>
      </c>
      <c r="I6" s="691" t="s">
        <v>13</v>
      </c>
      <c r="J6" s="691" t="s">
        <v>14</v>
      </c>
      <c r="K6" s="691" t="s">
        <v>15</v>
      </c>
      <c r="L6" s="691" t="s">
        <v>30</v>
      </c>
      <c r="M6" s="692" t="s">
        <v>17</v>
      </c>
      <c r="N6" s="693" t="s">
        <v>31</v>
      </c>
      <c r="O6" s="693" t="s">
        <v>31</v>
      </c>
      <c r="P6" s="693" t="s">
        <v>17</v>
      </c>
      <c r="Q6" s="693" t="s">
        <v>5</v>
      </c>
      <c r="R6" s="693" t="s">
        <v>31</v>
      </c>
      <c r="S6" s="693" t="s">
        <v>5</v>
      </c>
      <c r="T6" s="693" t="s">
        <v>31</v>
      </c>
      <c r="U6" s="694" t="s">
        <v>5</v>
      </c>
    </row>
    <row r="7" spans="1:21" ht="14.4" customHeight="1" x14ac:dyDescent="0.3">
      <c r="A7" s="695">
        <v>6</v>
      </c>
      <c r="B7" s="696" t="s">
        <v>509</v>
      </c>
      <c r="C7" s="696">
        <v>89301062</v>
      </c>
      <c r="D7" s="697" t="s">
        <v>1605</v>
      </c>
      <c r="E7" s="698" t="s">
        <v>1550</v>
      </c>
      <c r="F7" s="696" t="s">
        <v>1542</v>
      </c>
      <c r="G7" s="696" t="s">
        <v>1556</v>
      </c>
      <c r="H7" s="696" t="s">
        <v>508</v>
      </c>
      <c r="I7" s="696" t="s">
        <v>1557</v>
      </c>
      <c r="J7" s="696" t="s">
        <v>1558</v>
      </c>
      <c r="K7" s="696" t="s">
        <v>1559</v>
      </c>
      <c r="L7" s="699">
        <v>23.72</v>
      </c>
      <c r="M7" s="699">
        <v>94.88</v>
      </c>
      <c r="N7" s="696">
        <v>4</v>
      </c>
      <c r="O7" s="700">
        <v>2</v>
      </c>
      <c r="P7" s="699">
        <v>94.88</v>
      </c>
      <c r="Q7" s="701">
        <v>1</v>
      </c>
      <c r="R7" s="696">
        <v>4</v>
      </c>
      <c r="S7" s="701">
        <v>1</v>
      </c>
      <c r="T7" s="700">
        <v>2</v>
      </c>
      <c r="U7" s="241">
        <v>1</v>
      </c>
    </row>
    <row r="8" spans="1:21" ht="14.4" customHeight="1" x14ac:dyDescent="0.3">
      <c r="A8" s="679">
        <v>6</v>
      </c>
      <c r="B8" s="670" t="s">
        <v>509</v>
      </c>
      <c r="C8" s="670">
        <v>89301062</v>
      </c>
      <c r="D8" s="702" t="s">
        <v>1605</v>
      </c>
      <c r="E8" s="703" t="s">
        <v>1550</v>
      </c>
      <c r="F8" s="670" t="s">
        <v>1543</v>
      </c>
      <c r="G8" s="670" t="s">
        <v>1560</v>
      </c>
      <c r="H8" s="670" t="s">
        <v>508</v>
      </c>
      <c r="I8" s="670" t="s">
        <v>1561</v>
      </c>
      <c r="J8" s="670" t="s">
        <v>1562</v>
      </c>
      <c r="K8" s="670" t="s">
        <v>1563</v>
      </c>
      <c r="L8" s="704">
        <v>1978.94</v>
      </c>
      <c r="M8" s="704">
        <v>3957.88</v>
      </c>
      <c r="N8" s="670">
        <v>2</v>
      </c>
      <c r="O8" s="705">
        <v>2</v>
      </c>
      <c r="P8" s="704">
        <v>3957.88</v>
      </c>
      <c r="Q8" s="681">
        <v>1</v>
      </c>
      <c r="R8" s="670">
        <v>2</v>
      </c>
      <c r="S8" s="681">
        <v>1</v>
      </c>
      <c r="T8" s="705">
        <v>2</v>
      </c>
      <c r="U8" s="242">
        <v>1</v>
      </c>
    </row>
    <row r="9" spans="1:21" ht="14.4" customHeight="1" x14ac:dyDescent="0.3">
      <c r="A9" s="679">
        <v>6</v>
      </c>
      <c r="B9" s="670" t="s">
        <v>509</v>
      </c>
      <c r="C9" s="670">
        <v>89301062</v>
      </c>
      <c r="D9" s="702" t="s">
        <v>1605</v>
      </c>
      <c r="E9" s="703" t="s">
        <v>1551</v>
      </c>
      <c r="F9" s="670" t="s">
        <v>1542</v>
      </c>
      <c r="G9" s="670" t="s">
        <v>1564</v>
      </c>
      <c r="H9" s="670" t="s">
        <v>751</v>
      </c>
      <c r="I9" s="670" t="s">
        <v>1565</v>
      </c>
      <c r="J9" s="670" t="s">
        <v>1566</v>
      </c>
      <c r="K9" s="670" t="s">
        <v>1567</v>
      </c>
      <c r="L9" s="704">
        <v>222.25</v>
      </c>
      <c r="M9" s="704">
        <v>222.25</v>
      </c>
      <c r="N9" s="670">
        <v>1</v>
      </c>
      <c r="O9" s="705">
        <v>1</v>
      </c>
      <c r="P9" s="704"/>
      <c r="Q9" s="681">
        <v>0</v>
      </c>
      <c r="R9" s="670"/>
      <c r="S9" s="681">
        <v>0</v>
      </c>
      <c r="T9" s="705"/>
      <c r="U9" s="242">
        <v>0</v>
      </c>
    </row>
    <row r="10" spans="1:21" ht="14.4" customHeight="1" x14ac:dyDescent="0.3">
      <c r="A10" s="679">
        <v>6</v>
      </c>
      <c r="B10" s="670" t="s">
        <v>509</v>
      </c>
      <c r="C10" s="670">
        <v>89301062</v>
      </c>
      <c r="D10" s="702" t="s">
        <v>1605</v>
      </c>
      <c r="E10" s="703" t="s">
        <v>1551</v>
      </c>
      <c r="F10" s="670" t="s">
        <v>1543</v>
      </c>
      <c r="G10" s="670" t="s">
        <v>1568</v>
      </c>
      <c r="H10" s="670" t="s">
        <v>508</v>
      </c>
      <c r="I10" s="670" t="s">
        <v>1569</v>
      </c>
      <c r="J10" s="670" t="s">
        <v>1570</v>
      </c>
      <c r="K10" s="670" t="s">
        <v>1571</v>
      </c>
      <c r="L10" s="704">
        <v>410</v>
      </c>
      <c r="M10" s="704">
        <v>1640</v>
      </c>
      <c r="N10" s="670">
        <v>4</v>
      </c>
      <c r="O10" s="705">
        <v>4</v>
      </c>
      <c r="P10" s="704">
        <v>1640</v>
      </c>
      <c r="Q10" s="681">
        <v>1</v>
      </c>
      <c r="R10" s="670">
        <v>4</v>
      </c>
      <c r="S10" s="681">
        <v>1</v>
      </c>
      <c r="T10" s="705">
        <v>4</v>
      </c>
      <c r="U10" s="242">
        <v>1</v>
      </c>
    </row>
    <row r="11" spans="1:21" ht="14.4" customHeight="1" x14ac:dyDescent="0.3">
      <c r="A11" s="679">
        <v>6</v>
      </c>
      <c r="B11" s="670" t="s">
        <v>509</v>
      </c>
      <c r="C11" s="670">
        <v>89301062</v>
      </c>
      <c r="D11" s="702" t="s">
        <v>1605</v>
      </c>
      <c r="E11" s="703" t="s">
        <v>1551</v>
      </c>
      <c r="F11" s="670" t="s">
        <v>1543</v>
      </c>
      <c r="G11" s="670" t="s">
        <v>1560</v>
      </c>
      <c r="H11" s="670" t="s">
        <v>508</v>
      </c>
      <c r="I11" s="670" t="s">
        <v>1572</v>
      </c>
      <c r="J11" s="670" t="s">
        <v>1573</v>
      </c>
      <c r="K11" s="670" t="s">
        <v>1574</v>
      </c>
      <c r="L11" s="704">
        <v>864.39</v>
      </c>
      <c r="M11" s="704">
        <v>2593.17</v>
      </c>
      <c r="N11" s="670">
        <v>3</v>
      </c>
      <c r="O11" s="705">
        <v>3</v>
      </c>
      <c r="P11" s="704">
        <v>2593.17</v>
      </c>
      <c r="Q11" s="681">
        <v>1</v>
      </c>
      <c r="R11" s="670">
        <v>3</v>
      </c>
      <c r="S11" s="681">
        <v>1</v>
      </c>
      <c r="T11" s="705">
        <v>3</v>
      </c>
      <c r="U11" s="242">
        <v>1</v>
      </c>
    </row>
    <row r="12" spans="1:21" ht="14.4" customHeight="1" x14ac:dyDescent="0.3">
      <c r="A12" s="679">
        <v>6</v>
      </c>
      <c r="B12" s="670" t="s">
        <v>509</v>
      </c>
      <c r="C12" s="670">
        <v>89301062</v>
      </c>
      <c r="D12" s="702" t="s">
        <v>1605</v>
      </c>
      <c r="E12" s="703" t="s">
        <v>1551</v>
      </c>
      <c r="F12" s="670" t="s">
        <v>1543</v>
      </c>
      <c r="G12" s="670" t="s">
        <v>1560</v>
      </c>
      <c r="H12" s="670" t="s">
        <v>508</v>
      </c>
      <c r="I12" s="670" t="s">
        <v>1561</v>
      </c>
      <c r="J12" s="670" t="s">
        <v>1562</v>
      </c>
      <c r="K12" s="670" t="s">
        <v>1563</v>
      </c>
      <c r="L12" s="704">
        <v>1978.94</v>
      </c>
      <c r="M12" s="704">
        <v>25726.22</v>
      </c>
      <c r="N12" s="670">
        <v>13</v>
      </c>
      <c r="O12" s="705">
        <v>13</v>
      </c>
      <c r="P12" s="704">
        <v>21768.34</v>
      </c>
      <c r="Q12" s="681">
        <v>0.84615384615384615</v>
      </c>
      <c r="R12" s="670">
        <v>11</v>
      </c>
      <c r="S12" s="681">
        <v>0.84615384615384615</v>
      </c>
      <c r="T12" s="705">
        <v>11</v>
      </c>
      <c r="U12" s="242">
        <v>0.84615384615384615</v>
      </c>
    </row>
    <row r="13" spans="1:21" ht="14.4" customHeight="1" x14ac:dyDescent="0.3">
      <c r="A13" s="679">
        <v>6</v>
      </c>
      <c r="B13" s="670" t="s">
        <v>509</v>
      </c>
      <c r="C13" s="670">
        <v>89301062</v>
      </c>
      <c r="D13" s="702" t="s">
        <v>1605</v>
      </c>
      <c r="E13" s="703" t="s">
        <v>1551</v>
      </c>
      <c r="F13" s="670" t="s">
        <v>1543</v>
      </c>
      <c r="G13" s="670" t="s">
        <v>1560</v>
      </c>
      <c r="H13" s="670" t="s">
        <v>508</v>
      </c>
      <c r="I13" s="670" t="s">
        <v>1575</v>
      </c>
      <c r="J13" s="670" t="s">
        <v>1576</v>
      </c>
      <c r="K13" s="670" t="s">
        <v>1577</v>
      </c>
      <c r="L13" s="704">
        <v>700</v>
      </c>
      <c r="M13" s="704">
        <v>700</v>
      </c>
      <c r="N13" s="670">
        <v>1</v>
      </c>
      <c r="O13" s="705">
        <v>1</v>
      </c>
      <c r="P13" s="704">
        <v>700</v>
      </c>
      <c r="Q13" s="681">
        <v>1</v>
      </c>
      <c r="R13" s="670">
        <v>1</v>
      </c>
      <c r="S13" s="681">
        <v>1</v>
      </c>
      <c r="T13" s="705">
        <v>1</v>
      </c>
      <c r="U13" s="242">
        <v>1</v>
      </c>
    </row>
    <row r="14" spans="1:21" ht="14.4" customHeight="1" x14ac:dyDescent="0.3">
      <c r="A14" s="679">
        <v>6</v>
      </c>
      <c r="B14" s="670" t="s">
        <v>509</v>
      </c>
      <c r="C14" s="670">
        <v>89301062</v>
      </c>
      <c r="D14" s="702" t="s">
        <v>1605</v>
      </c>
      <c r="E14" s="703" t="s">
        <v>1551</v>
      </c>
      <c r="F14" s="670" t="s">
        <v>1543</v>
      </c>
      <c r="G14" s="670" t="s">
        <v>1578</v>
      </c>
      <c r="H14" s="670" t="s">
        <v>508</v>
      </c>
      <c r="I14" s="670" t="s">
        <v>1579</v>
      </c>
      <c r="J14" s="670" t="s">
        <v>1580</v>
      </c>
      <c r="K14" s="670" t="s">
        <v>1581</v>
      </c>
      <c r="L14" s="704">
        <v>0</v>
      </c>
      <c r="M14" s="704">
        <v>0</v>
      </c>
      <c r="N14" s="670">
        <v>1</v>
      </c>
      <c r="O14" s="705">
        <v>1</v>
      </c>
      <c r="P14" s="704"/>
      <c r="Q14" s="681"/>
      <c r="R14" s="670"/>
      <c r="S14" s="681">
        <v>0</v>
      </c>
      <c r="T14" s="705"/>
      <c r="U14" s="242">
        <v>0</v>
      </c>
    </row>
    <row r="15" spans="1:21" ht="14.4" customHeight="1" x14ac:dyDescent="0.3">
      <c r="A15" s="679">
        <v>6</v>
      </c>
      <c r="B15" s="670" t="s">
        <v>509</v>
      </c>
      <c r="C15" s="670">
        <v>89301062</v>
      </c>
      <c r="D15" s="702" t="s">
        <v>1605</v>
      </c>
      <c r="E15" s="703" t="s">
        <v>1552</v>
      </c>
      <c r="F15" s="670" t="s">
        <v>1542</v>
      </c>
      <c r="G15" s="670" t="s">
        <v>1582</v>
      </c>
      <c r="H15" s="670" t="s">
        <v>508</v>
      </c>
      <c r="I15" s="670" t="s">
        <v>1583</v>
      </c>
      <c r="J15" s="670" t="s">
        <v>1584</v>
      </c>
      <c r="K15" s="670" t="s">
        <v>1585</v>
      </c>
      <c r="L15" s="704">
        <v>0</v>
      </c>
      <c r="M15" s="704">
        <v>0</v>
      </c>
      <c r="N15" s="670">
        <v>2</v>
      </c>
      <c r="O15" s="705">
        <v>0.5</v>
      </c>
      <c r="P15" s="704"/>
      <c r="Q15" s="681"/>
      <c r="R15" s="670"/>
      <c r="S15" s="681">
        <v>0</v>
      </c>
      <c r="T15" s="705"/>
      <c r="U15" s="242">
        <v>0</v>
      </c>
    </row>
    <row r="16" spans="1:21" ht="14.4" customHeight="1" x14ac:dyDescent="0.3">
      <c r="A16" s="679">
        <v>6</v>
      </c>
      <c r="B16" s="670" t="s">
        <v>509</v>
      </c>
      <c r="C16" s="670">
        <v>89301062</v>
      </c>
      <c r="D16" s="702" t="s">
        <v>1605</v>
      </c>
      <c r="E16" s="703" t="s">
        <v>1552</v>
      </c>
      <c r="F16" s="670" t="s">
        <v>1542</v>
      </c>
      <c r="G16" s="670" t="s">
        <v>1586</v>
      </c>
      <c r="H16" s="670" t="s">
        <v>751</v>
      </c>
      <c r="I16" s="670" t="s">
        <v>1587</v>
      </c>
      <c r="J16" s="670" t="s">
        <v>1588</v>
      </c>
      <c r="K16" s="670" t="s">
        <v>1589</v>
      </c>
      <c r="L16" s="704">
        <v>175.19</v>
      </c>
      <c r="M16" s="704">
        <v>175.19</v>
      </c>
      <c r="N16" s="670">
        <v>1</v>
      </c>
      <c r="O16" s="705">
        <v>0.5</v>
      </c>
      <c r="P16" s="704"/>
      <c r="Q16" s="681">
        <v>0</v>
      </c>
      <c r="R16" s="670"/>
      <c r="S16" s="681">
        <v>0</v>
      </c>
      <c r="T16" s="705"/>
      <c r="U16" s="242">
        <v>0</v>
      </c>
    </row>
    <row r="17" spans="1:21" ht="14.4" customHeight="1" x14ac:dyDescent="0.3">
      <c r="A17" s="679">
        <v>6</v>
      </c>
      <c r="B17" s="670" t="s">
        <v>509</v>
      </c>
      <c r="C17" s="670">
        <v>89301062</v>
      </c>
      <c r="D17" s="702" t="s">
        <v>1605</v>
      </c>
      <c r="E17" s="703" t="s">
        <v>1552</v>
      </c>
      <c r="F17" s="670" t="s">
        <v>1542</v>
      </c>
      <c r="G17" s="670" t="s">
        <v>1590</v>
      </c>
      <c r="H17" s="670" t="s">
        <v>508</v>
      </c>
      <c r="I17" s="670" t="s">
        <v>1591</v>
      </c>
      <c r="J17" s="670" t="s">
        <v>1592</v>
      </c>
      <c r="K17" s="670" t="s">
        <v>1593</v>
      </c>
      <c r="L17" s="704">
        <v>0</v>
      </c>
      <c r="M17" s="704">
        <v>0</v>
      </c>
      <c r="N17" s="670">
        <v>1</v>
      </c>
      <c r="O17" s="705">
        <v>1</v>
      </c>
      <c r="P17" s="704"/>
      <c r="Q17" s="681"/>
      <c r="R17" s="670"/>
      <c r="S17" s="681">
        <v>0</v>
      </c>
      <c r="T17" s="705"/>
      <c r="U17" s="242">
        <v>0</v>
      </c>
    </row>
    <row r="18" spans="1:21" ht="14.4" customHeight="1" x14ac:dyDescent="0.3">
      <c r="A18" s="679">
        <v>6</v>
      </c>
      <c r="B18" s="670" t="s">
        <v>509</v>
      </c>
      <c r="C18" s="670">
        <v>89301062</v>
      </c>
      <c r="D18" s="702" t="s">
        <v>1605</v>
      </c>
      <c r="E18" s="703" t="s">
        <v>1552</v>
      </c>
      <c r="F18" s="670" t="s">
        <v>1543</v>
      </c>
      <c r="G18" s="670" t="s">
        <v>1560</v>
      </c>
      <c r="H18" s="670" t="s">
        <v>508</v>
      </c>
      <c r="I18" s="670" t="s">
        <v>1572</v>
      </c>
      <c r="J18" s="670" t="s">
        <v>1573</v>
      </c>
      <c r="K18" s="670" t="s">
        <v>1574</v>
      </c>
      <c r="L18" s="704">
        <v>864.39</v>
      </c>
      <c r="M18" s="704">
        <v>6915.1200000000008</v>
      </c>
      <c r="N18" s="670">
        <v>8</v>
      </c>
      <c r="O18" s="705">
        <v>8</v>
      </c>
      <c r="P18" s="704">
        <v>6050.7300000000005</v>
      </c>
      <c r="Q18" s="681">
        <v>0.875</v>
      </c>
      <c r="R18" s="670">
        <v>7</v>
      </c>
      <c r="S18" s="681">
        <v>0.875</v>
      </c>
      <c r="T18" s="705">
        <v>7</v>
      </c>
      <c r="U18" s="242">
        <v>0.875</v>
      </c>
    </row>
    <row r="19" spans="1:21" ht="14.4" customHeight="1" x14ac:dyDescent="0.3">
      <c r="A19" s="679">
        <v>6</v>
      </c>
      <c r="B19" s="670" t="s">
        <v>509</v>
      </c>
      <c r="C19" s="670">
        <v>89301062</v>
      </c>
      <c r="D19" s="702" t="s">
        <v>1605</v>
      </c>
      <c r="E19" s="703" t="s">
        <v>1552</v>
      </c>
      <c r="F19" s="670" t="s">
        <v>1543</v>
      </c>
      <c r="G19" s="670" t="s">
        <v>1560</v>
      </c>
      <c r="H19" s="670" t="s">
        <v>508</v>
      </c>
      <c r="I19" s="670" t="s">
        <v>1561</v>
      </c>
      <c r="J19" s="670" t="s">
        <v>1562</v>
      </c>
      <c r="K19" s="670" t="s">
        <v>1563</v>
      </c>
      <c r="L19" s="704">
        <v>1978.94</v>
      </c>
      <c r="M19" s="704">
        <v>21768.340000000004</v>
      </c>
      <c r="N19" s="670">
        <v>11</v>
      </c>
      <c r="O19" s="705">
        <v>11</v>
      </c>
      <c r="P19" s="704">
        <v>9894.7000000000007</v>
      </c>
      <c r="Q19" s="681">
        <v>0.45454545454545447</v>
      </c>
      <c r="R19" s="670">
        <v>5</v>
      </c>
      <c r="S19" s="681">
        <v>0.45454545454545453</v>
      </c>
      <c r="T19" s="705">
        <v>5</v>
      </c>
      <c r="U19" s="242">
        <v>0.45454545454545453</v>
      </c>
    </row>
    <row r="20" spans="1:21" ht="14.4" customHeight="1" x14ac:dyDescent="0.3">
      <c r="A20" s="679">
        <v>6</v>
      </c>
      <c r="B20" s="670" t="s">
        <v>509</v>
      </c>
      <c r="C20" s="670">
        <v>89301062</v>
      </c>
      <c r="D20" s="702" t="s">
        <v>1605</v>
      </c>
      <c r="E20" s="703" t="s">
        <v>1553</v>
      </c>
      <c r="F20" s="670" t="s">
        <v>1542</v>
      </c>
      <c r="G20" s="670" t="s">
        <v>1594</v>
      </c>
      <c r="H20" s="670" t="s">
        <v>508</v>
      </c>
      <c r="I20" s="670" t="s">
        <v>1595</v>
      </c>
      <c r="J20" s="670" t="s">
        <v>1596</v>
      </c>
      <c r="K20" s="670" t="s">
        <v>1597</v>
      </c>
      <c r="L20" s="704">
        <v>209.79</v>
      </c>
      <c r="M20" s="704">
        <v>209.79</v>
      </c>
      <c r="N20" s="670">
        <v>1</v>
      </c>
      <c r="O20" s="705">
        <v>1</v>
      </c>
      <c r="P20" s="704"/>
      <c r="Q20" s="681">
        <v>0</v>
      </c>
      <c r="R20" s="670"/>
      <c r="S20" s="681">
        <v>0</v>
      </c>
      <c r="T20" s="705"/>
      <c r="U20" s="242">
        <v>0</v>
      </c>
    </row>
    <row r="21" spans="1:21" ht="14.4" customHeight="1" x14ac:dyDescent="0.3">
      <c r="A21" s="679">
        <v>6</v>
      </c>
      <c r="B21" s="670" t="s">
        <v>509</v>
      </c>
      <c r="C21" s="670">
        <v>89301062</v>
      </c>
      <c r="D21" s="702" t="s">
        <v>1605</v>
      </c>
      <c r="E21" s="703" t="s">
        <v>1553</v>
      </c>
      <c r="F21" s="670" t="s">
        <v>1543</v>
      </c>
      <c r="G21" s="670" t="s">
        <v>1560</v>
      </c>
      <c r="H21" s="670" t="s">
        <v>508</v>
      </c>
      <c r="I21" s="670" t="s">
        <v>1572</v>
      </c>
      <c r="J21" s="670" t="s">
        <v>1573</v>
      </c>
      <c r="K21" s="670" t="s">
        <v>1574</v>
      </c>
      <c r="L21" s="704">
        <v>864.39</v>
      </c>
      <c r="M21" s="704">
        <v>864.39</v>
      </c>
      <c r="N21" s="670">
        <v>1</v>
      </c>
      <c r="O21" s="705">
        <v>1</v>
      </c>
      <c r="P21" s="704"/>
      <c r="Q21" s="681">
        <v>0</v>
      </c>
      <c r="R21" s="670"/>
      <c r="S21" s="681">
        <v>0</v>
      </c>
      <c r="T21" s="705"/>
      <c r="U21" s="242">
        <v>0</v>
      </c>
    </row>
    <row r="22" spans="1:21" ht="14.4" customHeight="1" x14ac:dyDescent="0.3">
      <c r="A22" s="679">
        <v>6</v>
      </c>
      <c r="B22" s="670" t="s">
        <v>509</v>
      </c>
      <c r="C22" s="670">
        <v>89301062</v>
      </c>
      <c r="D22" s="702" t="s">
        <v>1605</v>
      </c>
      <c r="E22" s="703" t="s">
        <v>1553</v>
      </c>
      <c r="F22" s="670" t="s">
        <v>1543</v>
      </c>
      <c r="G22" s="670" t="s">
        <v>1560</v>
      </c>
      <c r="H22" s="670" t="s">
        <v>508</v>
      </c>
      <c r="I22" s="670" t="s">
        <v>1561</v>
      </c>
      <c r="J22" s="670" t="s">
        <v>1562</v>
      </c>
      <c r="K22" s="670" t="s">
        <v>1563</v>
      </c>
      <c r="L22" s="704">
        <v>1978.94</v>
      </c>
      <c r="M22" s="704">
        <v>5936.82</v>
      </c>
      <c r="N22" s="670">
        <v>3</v>
      </c>
      <c r="O22" s="705">
        <v>3</v>
      </c>
      <c r="P22" s="704">
        <v>1978.94</v>
      </c>
      <c r="Q22" s="681">
        <v>0.33333333333333337</v>
      </c>
      <c r="R22" s="670">
        <v>1</v>
      </c>
      <c r="S22" s="681">
        <v>0.33333333333333331</v>
      </c>
      <c r="T22" s="705">
        <v>1</v>
      </c>
      <c r="U22" s="242">
        <v>0.33333333333333331</v>
      </c>
    </row>
    <row r="23" spans="1:21" ht="14.4" customHeight="1" x14ac:dyDescent="0.3">
      <c r="A23" s="679">
        <v>6</v>
      </c>
      <c r="B23" s="670" t="s">
        <v>509</v>
      </c>
      <c r="C23" s="670">
        <v>89301062</v>
      </c>
      <c r="D23" s="702" t="s">
        <v>1605</v>
      </c>
      <c r="E23" s="703" t="s">
        <v>1554</v>
      </c>
      <c r="F23" s="670" t="s">
        <v>1543</v>
      </c>
      <c r="G23" s="670" t="s">
        <v>1560</v>
      </c>
      <c r="H23" s="670" t="s">
        <v>508</v>
      </c>
      <c r="I23" s="670" t="s">
        <v>1572</v>
      </c>
      <c r="J23" s="670" t="s">
        <v>1573</v>
      </c>
      <c r="K23" s="670" t="s">
        <v>1574</v>
      </c>
      <c r="L23" s="704">
        <v>864.39</v>
      </c>
      <c r="M23" s="704">
        <v>11237.07</v>
      </c>
      <c r="N23" s="670">
        <v>13</v>
      </c>
      <c r="O23" s="705">
        <v>13</v>
      </c>
      <c r="P23" s="704">
        <v>11237.07</v>
      </c>
      <c r="Q23" s="681">
        <v>1</v>
      </c>
      <c r="R23" s="670">
        <v>13</v>
      </c>
      <c r="S23" s="681">
        <v>1</v>
      </c>
      <c r="T23" s="705">
        <v>13</v>
      </c>
      <c r="U23" s="242">
        <v>1</v>
      </c>
    </row>
    <row r="24" spans="1:21" ht="14.4" customHeight="1" x14ac:dyDescent="0.3">
      <c r="A24" s="679">
        <v>6</v>
      </c>
      <c r="B24" s="670" t="s">
        <v>509</v>
      </c>
      <c r="C24" s="670">
        <v>89301062</v>
      </c>
      <c r="D24" s="702" t="s">
        <v>1605</v>
      </c>
      <c r="E24" s="703" t="s">
        <v>1554</v>
      </c>
      <c r="F24" s="670" t="s">
        <v>1543</v>
      </c>
      <c r="G24" s="670" t="s">
        <v>1560</v>
      </c>
      <c r="H24" s="670" t="s">
        <v>508</v>
      </c>
      <c r="I24" s="670" t="s">
        <v>1561</v>
      </c>
      <c r="J24" s="670" t="s">
        <v>1562</v>
      </c>
      <c r="K24" s="670" t="s">
        <v>1563</v>
      </c>
      <c r="L24" s="704">
        <v>1978.94</v>
      </c>
      <c r="M24" s="704">
        <v>29684.099999999995</v>
      </c>
      <c r="N24" s="670">
        <v>15</v>
      </c>
      <c r="O24" s="705">
        <v>15</v>
      </c>
      <c r="P24" s="704">
        <v>29684.099999999995</v>
      </c>
      <c r="Q24" s="681">
        <v>1</v>
      </c>
      <c r="R24" s="670">
        <v>15</v>
      </c>
      <c r="S24" s="681">
        <v>1</v>
      </c>
      <c r="T24" s="705">
        <v>15</v>
      </c>
      <c r="U24" s="242">
        <v>1</v>
      </c>
    </row>
    <row r="25" spans="1:21" ht="14.4" customHeight="1" x14ac:dyDescent="0.3">
      <c r="A25" s="679">
        <v>6</v>
      </c>
      <c r="B25" s="670" t="s">
        <v>509</v>
      </c>
      <c r="C25" s="670">
        <v>89301062</v>
      </c>
      <c r="D25" s="702" t="s">
        <v>1605</v>
      </c>
      <c r="E25" s="703" t="s">
        <v>1554</v>
      </c>
      <c r="F25" s="670" t="s">
        <v>1543</v>
      </c>
      <c r="G25" s="670" t="s">
        <v>1560</v>
      </c>
      <c r="H25" s="670" t="s">
        <v>508</v>
      </c>
      <c r="I25" s="670" t="s">
        <v>1575</v>
      </c>
      <c r="J25" s="670" t="s">
        <v>1576</v>
      </c>
      <c r="K25" s="670" t="s">
        <v>1577</v>
      </c>
      <c r="L25" s="704">
        <v>700</v>
      </c>
      <c r="M25" s="704">
        <v>2100</v>
      </c>
      <c r="N25" s="670">
        <v>3</v>
      </c>
      <c r="O25" s="705">
        <v>3</v>
      </c>
      <c r="P25" s="704">
        <v>1400</v>
      </c>
      <c r="Q25" s="681">
        <v>0.66666666666666663</v>
      </c>
      <c r="R25" s="670">
        <v>2</v>
      </c>
      <c r="S25" s="681">
        <v>0.66666666666666663</v>
      </c>
      <c r="T25" s="705">
        <v>2</v>
      </c>
      <c r="U25" s="242">
        <v>0.66666666666666663</v>
      </c>
    </row>
    <row r="26" spans="1:21" ht="14.4" customHeight="1" x14ac:dyDescent="0.3">
      <c r="A26" s="679">
        <v>6</v>
      </c>
      <c r="B26" s="670" t="s">
        <v>509</v>
      </c>
      <c r="C26" s="670">
        <v>89301062</v>
      </c>
      <c r="D26" s="702" t="s">
        <v>1605</v>
      </c>
      <c r="E26" s="703" t="s">
        <v>1555</v>
      </c>
      <c r="F26" s="670" t="s">
        <v>1543</v>
      </c>
      <c r="G26" s="670" t="s">
        <v>1560</v>
      </c>
      <c r="H26" s="670" t="s">
        <v>508</v>
      </c>
      <c r="I26" s="670" t="s">
        <v>1561</v>
      </c>
      <c r="J26" s="670" t="s">
        <v>1562</v>
      </c>
      <c r="K26" s="670" t="s">
        <v>1563</v>
      </c>
      <c r="L26" s="704">
        <v>1978.94</v>
      </c>
      <c r="M26" s="704">
        <v>11873.640000000001</v>
      </c>
      <c r="N26" s="670">
        <v>6</v>
      </c>
      <c r="O26" s="705">
        <v>6</v>
      </c>
      <c r="P26" s="704">
        <v>11873.640000000001</v>
      </c>
      <c r="Q26" s="681">
        <v>1</v>
      </c>
      <c r="R26" s="670">
        <v>6</v>
      </c>
      <c r="S26" s="681">
        <v>1</v>
      </c>
      <c r="T26" s="705">
        <v>6</v>
      </c>
      <c r="U26" s="242">
        <v>1</v>
      </c>
    </row>
    <row r="27" spans="1:21" ht="14.4" customHeight="1" x14ac:dyDescent="0.3">
      <c r="A27" s="679">
        <v>6</v>
      </c>
      <c r="B27" s="670" t="s">
        <v>509</v>
      </c>
      <c r="C27" s="670">
        <v>89301061</v>
      </c>
      <c r="D27" s="702" t="s">
        <v>1606</v>
      </c>
      <c r="E27" s="703" t="s">
        <v>1553</v>
      </c>
      <c r="F27" s="670" t="s">
        <v>1542</v>
      </c>
      <c r="G27" s="670" t="s">
        <v>1598</v>
      </c>
      <c r="H27" s="670" t="s">
        <v>508</v>
      </c>
      <c r="I27" s="670" t="s">
        <v>1599</v>
      </c>
      <c r="J27" s="670" t="s">
        <v>1600</v>
      </c>
      <c r="K27" s="670" t="s">
        <v>1601</v>
      </c>
      <c r="L27" s="704">
        <v>1354.54</v>
      </c>
      <c r="M27" s="704">
        <v>1354.54</v>
      </c>
      <c r="N27" s="670">
        <v>1</v>
      </c>
      <c r="O27" s="705">
        <v>1</v>
      </c>
      <c r="P27" s="704"/>
      <c r="Q27" s="681">
        <v>0</v>
      </c>
      <c r="R27" s="670"/>
      <c r="S27" s="681">
        <v>0</v>
      </c>
      <c r="T27" s="705"/>
      <c r="U27" s="242">
        <v>0</v>
      </c>
    </row>
    <row r="28" spans="1:21" ht="14.4" customHeight="1" thickBot="1" x14ac:dyDescent="0.35">
      <c r="A28" s="636">
        <v>6</v>
      </c>
      <c r="B28" s="672" t="s">
        <v>509</v>
      </c>
      <c r="C28" s="672">
        <v>89301061</v>
      </c>
      <c r="D28" s="706" t="s">
        <v>1606</v>
      </c>
      <c r="E28" s="707" t="s">
        <v>1553</v>
      </c>
      <c r="F28" s="672" t="s">
        <v>1542</v>
      </c>
      <c r="G28" s="672" t="s">
        <v>1602</v>
      </c>
      <c r="H28" s="672" t="s">
        <v>751</v>
      </c>
      <c r="I28" s="672" t="s">
        <v>1603</v>
      </c>
      <c r="J28" s="672" t="s">
        <v>789</v>
      </c>
      <c r="K28" s="672" t="s">
        <v>1604</v>
      </c>
      <c r="L28" s="708">
        <v>937.93</v>
      </c>
      <c r="M28" s="708">
        <v>937.93</v>
      </c>
      <c r="N28" s="672">
        <v>1</v>
      </c>
      <c r="O28" s="709">
        <v>1</v>
      </c>
      <c r="P28" s="708"/>
      <c r="Q28" s="682">
        <v>0</v>
      </c>
      <c r="R28" s="672"/>
      <c r="S28" s="682">
        <v>0</v>
      </c>
      <c r="T28" s="709"/>
      <c r="U28" s="683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7" width="8.88671875" style="260" customWidth="1"/>
    <col min="8" max="16384" width="8.88671875" style="260"/>
  </cols>
  <sheetData>
    <row r="1" spans="1:6" ht="37.799999999999997" customHeight="1" thickBot="1" x14ac:dyDescent="0.4">
      <c r="A1" s="493" t="s">
        <v>1608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710" t="s">
        <v>244</v>
      </c>
      <c r="B4" s="643" t="s">
        <v>17</v>
      </c>
      <c r="C4" s="644" t="s">
        <v>5</v>
      </c>
      <c r="D4" s="643" t="s">
        <v>17</v>
      </c>
      <c r="E4" s="644" t="s">
        <v>5</v>
      </c>
      <c r="F4" s="645" t="s">
        <v>17</v>
      </c>
    </row>
    <row r="5" spans="1:6" ht="14.4" customHeight="1" x14ac:dyDescent="0.3">
      <c r="A5" s="715" t="s">
        <v>1551</v>
      </c>
      <c r="B5" s="235"/>
      <c r="C5" s="701">
        <v>0</v>
      </c>
      <c r="D5" s="235">
        <v>222.25</v>
      </c>
      <c r="E5" s="701">
        <v>1</v>
      </c>
      <c r="F5" s="711">
        <v>222.25</v>
      </c>
    </row>
    <row r="6" spans="1:6" ht="14.4" customHeight="1" x14ac:dyDescent="0.3">
      <c r="A6" s="716" t="s">
        <v>1553</v>
      </c>
      <c r="B6" s="238"/>
      <c r="C6" s="681">
        <v>0</v>
      </c>
      <c r="D6" s="238">
        <v>937.93</v>
      </c>
      <c r="E6" s="681">
        <v>1</v>
      </c>
      <c r="F6" s="712">
        <v>937.93</v>
      </c>
    </row>
    <row r="7" spans="1:6" ht="14.4" customHeight="1" thickBot="1" x14ac:dyDescent="0.35">
      <c r="A7" s="717" t="s">
        <v>1552</v>
      </c>
      <c r="B7" s="649">
        <v>0</v>
      </c>
      <c r="C7" s="650">
        <v>0</v>
      </c>
      <c r="D7" s="649">
        <v>175.19</v>
      </c>
      <c r="E7" s="650">
        <v>1</v>
      </c>
      <c r="F7" s="714">
        <v>175.19</v>
      </c>
    </row>
    <row r="8" spans="1:6" ht="14.4" customHeight="1" thickBot="1" x14ac:dyDescent="0.35">
      <c r="A8" s="652" t="s">
        <v>6</v>
      </c>
      <c r="B8" s="653">
        <v>0</v>
      </c>
      <c r="C8" s="654">
        <v>0</v>
      </c>
      <c r="D8" s="653">
        <v>1335.37</v>
      </c>
      <c r="E8" s="654">
        <v>1</v>
      </c>
      <c r="F8" s="655">
        <v>1335.37</v>
      </c>
    </row>
    <row r="9" spans="1:6" ht="14.4" customHeight="1" thickBot="1" x14ac:dyDescent="0.35"/>
    <row r="10" spans="1:6" ht="14.4" customHeight="1" x14ac:dyDescent="0.3">
      <c r="A10" s="715" t="s">
        <v>1609</v>
      </c>
      <c r="B10" s="235"/>
      <c r="C10" s="701">
        <v>0</v>
      </c>
      <c r="D10" s="235">
        <v>222.25</v>
      </c>
      <c r="E10" s="701">
        <v>1</v>
      </c>
      <c r="F10" s="711">
        <v>222.25</v>
      </c>
    </row>
    <row r="11" spans="1:6" ht="14.4" customHeight="1" x14ac:dyDescent="0.3">
      <c r="A11" s="716" t="s">
        <v>1466</v>
      </c>
      <c r="B11" s="238"/>
      <c r="C11" s="681">
        <v>0</v>
      </c>
      <c r="D11" s="238">
        <v>175.19</v>
      </c>
      <c r="E11" s="681">
        <v>1</v>
      </c>
      <c r="F11" s="712">
        <v>175.19</v>
      </c>
    </row>
    <row r="12" spans="1:6" ht="14.4" customHeight="1" x14ac:dyDescent="0.3">
      <c r="A12" s="716" t="s">
        <v>1443</v>
      </c>
      <c r="B12" s="238"/>
      <c r="C12" s="681">
        <v>0</v>
      </c>
      <c r="D12" s="238">
        <v>937.93</v>
      </c>
      <c r="E12" s="681">
        <v>1</v>
      </c>
      <c r="F12" s="712">
        <v>937.93</v>
      </c>
    </row>
    <row r="13" spans="1:6" ht="14.4" customHeight="1" thickBot="1" x14ac:dyDescent="0.35">
      <c r="A13" s="717" t="s">
        <v>1610</v>
      </c>
      <c r="B13" s="649">
        <v>0</v>
      </c>
      <c r="C13" s="650"/>
      <c r="D13" s="649"/>
      <c r="E13" s="650"/>
      <c r="F13" s="714">
        <v>0</v>
      </c>
    </row>
    <row r="14" spans="1:6" ht="14.4" customHeight="1" thickBot="1" x14ac:dyDescent="0.35">
      <c r="A14" s="652" t="s">
        <v>6</v>
      </c>
      <c r="B14" s="653">
        <v>0</v>
      </c>
      <c r="C14" s="654">
        <v>0</v>
      </c>
      <c r="D14" s="653">
        <v>1335.37</v>
      </c>
      <c r="E14" s="654">
        <v>1</v>
      </c>
      <c r="F14" s="655">
        <v>1335.37</v>
      </c>
    </row>
  </sheetData>
  <mergeCells count="3">
    <mergeCell ref="A1:F1"/>
    <mergeCell ref="B3:C3"/>
    <mergeCell ref="D3:E3"/>
  </mergeCells>
  <conditionalFormatting sqref="C5:C1048576">
    <cfRule type="cellIs" dxfId="34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{12BB0B38-263E-4063-AFD6-88E2882C1699}</x14:id>
        </ext>
      </extLst>
    </cfRule>
  </conditionalFormatting>
  <conditionalFormatting sqref="F10:F1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{CC84B65B-2D27-4FFB-B8D2-1595F700A771}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BB0B38-263E-4063-AFD6-88E2882C16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CC84B65B-2D27-4FFB-B8D2-1595F700A77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60" customWidth="1"/>
    <col min="2" max="2" width="8.88671875" style="260" bestFit="1" customWidth="1"/>
    <col min="3" max="3" width="7" style="260" bestFit="1" customWidth="1"/>
    <col min="4" max="5" width="22.21875" style="260" customWidth="1"/>
    <col min="6" max="6" width="6.6640625" style="343" customWidth="1"/>
    <col min="7" max="7" width="10" style="343" customWidth="1"/>
    <col min="8" max="8" width="6.77734375" style="346" customWidth="1"/>
    <col min="9" max="9" width="6.6640625" style="343" customWidth="1"/>
    <col min="10" max="10" width="10" style="343" customWidth="1"/>
    <col min="11" max="11" width="6.77734375" style="346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1613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1</v>
      </c>
      <c r="G3" s="47">
        <f>SUBTOTAL(9,G6:G1048576)</f>
        <v>0</v>
      </c>
      <c r="H3" s="48">
        <f>IF(M3=0,0,G3/M3)</f>
        <v>0</v>
      </c>
      <c r="I3" s="47">
        <f>SUBTOTAL(9,I6:I1048576)</f>
        <v>3</v>
      </c>
      <c r="J3" s="47">
        <f>SUBTOTAL(9,J6:J1048576)</f>
        <v>1335.37</v>
      </c>
      <c r="K3" s="48">
        <f>IF(M3=0,0,J3/M3)</f>
        <v>1</v>
      </c>
      <c r="L3" s="47">
        <f>SUBTOTAL(9,L6:L1048576)</f>
        <v>4</v>
      </c>
      <c r="M3" s="49">
        <f>SUBTOTAL(9,M6:M1048576)</f>
        <v>1335.37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710" t="s">
        <v>171</v>
      </c>
      <c r="B5" s="718" t="s">
        <v>167</v>
      </c>
      <c r="C5" s="718" t="s">
        <v>93</v>
      </c>
      <c r="D5" s="718" t="s">
        <v>168</v>
      </c>
      <c r="E5" s="718" t="s">
        <v>169</v>
      </c>
      <c r="F5" s="661" t="s">
        <v>31</v>
      </c>
      <c r="G5" s="661" t="s">
        <v>17</v>
      </c>
      <c r="H5" s="644" t="s">
        <v>170</v>
      </c>
      <c r="I5" s="643" t="s">
        <v>31</v>
      </c>
      <c r="J5" s="661" t="s">
        <v>17</v>
      </c>
      <c r="K5" s="644" t="s">
        <v>170</v>
      </c>
      <c r="L5" s="643" t="s">
        <v>31</v>
      </c>
      <c r="M5" s="662" t="s">
        <v>17</v>
      </c>
    </row>
    <row r="6" spans="1:13" ht="14.4" customHeight="1" x14ac:dyDescent="0.3">
      <c r="A6" s="695" t="s">
        <v>1551</v>
      </c>
      <c r="B6" s="696" t="s">
        <v>1611</v>
      </c>
      <c r="C6" s="696" t="s">
        <v>1565</v>
      </c>
      <c r="D6" s="696" t="s">
        <v>1566</v>
      </c>
      <c r="E6" s="696" t="s">
        <v>1567</v>
      </c>
      <c r="F6" s="235"/>
      <c r="G6" s="235"/>
      <c r="H6" s="701">
        <v>0</v>
      </c>
      <c r="I6" s="235">
        <v>1</v>
      </c>
      <c r="J6" s="235">
        <v>222.25</v>
      </c>
      <c r="K6" s="701">
        <v>1</v>
      </c>
      <c r="L6" s="235">
        <v>1</v>
      </c>
      <c r="M6" s="711">
        <v>222.25</v>
      </c>
    </row>
    <row r="7" spans="1:13" ht="14.4" customHeight="1" x14ac:dyDescent="0.3">
      <c r="A7" s="679" t="s">
        <v>1552</v>
      </c>
      <c r="B7" s="670" t="s">
        <v>1612</v>
      </c>
      <c r="C7" s="670" t="s">
        <v>1591</v>
      </c>
      <c r="D7" s="670" t="s">
        <v>1592</v>
      </c>
      <c r="E7" s="670" t="s">
        <v>1593</v>
      </c>
      <c r="F7" s="238">
        <v>1</v>
      </c>
      <c r="G7" s="238">
        <v>0</v>
      </c>
      <c r="H7" s="681"/>
      <c r="I7" s="238"/>
      <c r="J7" s="238"/>
      <c r="K7" s="681"/>
      <c r="L7" s="238">
        <v>1</v>
      </c>
      <c r="M7" s="712">
        <v>0</v>
      </c>
    </row>
    <row r="8" spans="1:13" ht="14.4" customHeight="1" x14ac:dyDescent="0.3">
      <c r="A8" s="679" t="s">
        <v>1552</v>
      </c>
      <c r="B8" s="670" t="s">
        <v>1503</v>
      </c>
      <c r="C8" s="670" t="s">
        <v>1587</v>
      </c>
      <c r="D8" s="670" t="s">
        <v>1588</v>
      </c>
      <c r="E8" s="670" t="s">
        <v>1589</v>
      </c>
      <c r="F8" s="238"/>
      <c r="G8" s="238"/>
      <c r="H8" s="681">
        <v>0</v>
      </c>
      <c r="I8" s="238">
        <v>1</v>
      </c>
      <c r="J8" s="238">
        <v>175.19</v>
      </c>
      <c r="K8" s="681">
        <v>1</v>
      </c>
      <c r="L8" s="238">
        <v>1</v>
      </c>
      <c r="M8" s="712">
        <v>175.19</v>
      </c>
    </row>
    <row r="9" spans="1:13" ht="14.4" customHeight="1" thickBot="1" x14ac:dyDescent="0.35">
      <c r="A9" s="636" t="s">
        <v>1553</v>
      </c>
      <c r="B9" s="672" t="s">
        <v>1475</v>
      </c>
      <c r="C9" s="672" t="s">
        <v>1603</v>
      </c>
      <c r="D9" s="672" t="s">
        <v>789</v>
      </c>
      <c r="E9" s="672" t="s">
        <v>1604</v>
      </c>
      <c r="F9" s="673"/>
      <c r="G9" s="673"/>
      <c r="H9" s="682">
        <v>0</v>
      </c>
      <c r="I9" s="673">
        <v>1</v>
      </c>
      <c r="J9" s="673">
        <v>937.93</v>
      </c>
      <c r="K9" s="682">
        <v>1</v>
      </c>
      <c r="L9" s="673">
        <v>1</v>
      </c>
      <c r="M9" s="713">
        <v>937.93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61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9" ht="18.600000000000001" customHeight="1" thickBot="1" x14ac:dyDescent="0.4">
      <c r="A1" s="486" t="s">
        <v>182</v>
      </c>
      <c r="B1" s="487"/>
      <c r="C1" s="487"/>
      <c r="D1" s="487"/>
      <c r="E1" s="487"/>
      <c r="F1" s="487"/>
      <c r="G1" s="463"/>
    </row>
    <row r="2" spans="1:9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9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3</v>
      </c>
      <c r="E3" s="211" t="s">
        <v>4</v>
      </c>
      <c r="F3" s="211" t="s">
        <v>5</v>
      </c>
      <c r="G3" s="212" t="s">
        <v>188</v>
      </c>
    </row>
    <row r="4" spans="1:9" ht="14.4" customHeight="1" x14ac:dyDescent="0.3">
      <c r="A4" s="615" t="s">
        <v>507</v>
      </c>
      <c r="B4" s="616" t="s">
        <v>508</v>
      </c>
      <c r="C4" s="617" t="s">
        <v>509</v>
      </c>
      <c r="D4" s="617" t="s">
        <v>508</v>
      </c>
      <c r="E4" s="617" t="s">
        <v>508</v>
      </c>
      <c r="F4" s="618" t="s">
        <v>508</v>
      </c>
      <c r="G4" s="617" t="s">
        <v>508</v>
      </c>
      <c r="H4" s="617" t="s">
        <v>77</v>
      </c>
      <c r="I4"/>
    </row>
    <row r="5" spans="1:9" ht="14.4" customHeight="1" x14ac:dyDescent="0.3">
      <c r="A5" s="615" t="s">
        <v>507</v>
      </c>
      <c r="B5" s="616" t="s">
        <v>1614</v>
      </c>
      <c r="C5" s="617" t="s">
        <v>1615</v>
      </c>
      <c r="D5" s="617">
        <v>2014.5745329241199</v>
      </c>
      <c r="E5" s="617">
        <v>1115.47</v>
      </c>
      <c r="F5" s="618">
        <v>0.55370004026652453</v>
      </c>
      <c r="G5" s="617">
        <v>-899.10453292411989</v>
      </c>
      <c r="H5" s="617" t="s">
        <v>2</v>
      </c>
      <c r="I5"/>
    </row>
    <row r="6" spans="1:9" ht="14.4" customHeight="1" x14ac:dyDescent="0.3">
      <c r="A6" s="615" t="s">
        <v>507</v>
      </c>
      <c r="B6" s="616" t="s">
        <v>1616</v>
      </c>
      <c r="C6" s="617" t="s">
        <v>1617</v>
      </c>
      <c r="D6" s="617">
        <v>126531.92225177446</v>
      </c>
      <c r="E6" s="617">
        <v>147688.63999999998</v>
      </c>
      <c r="F6" s="618">
        <v>1.1672045865716612</v>
      </c>
      <c r="G6" s="617">
        <v>21156.717748225521</v>
      </c>
      <c r="H6" s="617" t="s">
        <v>2</v>
      </c>
      <c r="I6"/>
    </row>
    <row r="7" spans="1:9" ht="14.4" customHeight="1" x14ac:dyDescent="0.3">
      <c r="A7" s="615" t="s">
        <v>507</v>
      </c>
      <c r="B7" s="616" t="s">
        <v>1618</v>
      </c>
      <c r="C7" s="617" t="s">
        <v>1619</v>
      </c>
      <c r="D7" s="617">
        <v>901487.42653175385</v>
      </c>
      <c r="E7" s="617">
        <v>671536.45000000007</v>
      </c>
      <c r="F7" s="618">
        <v>0.74492048389800358</v>
      </c>
      <c r="G7" s="617">
        <v>-229950.97653175378</v>
      </c>
      <c r="H7" s="617" t="s">
        <v>2</v>
      </c>
      <c r="I7"/>
    </row>
    <row r="8" spans="1:9" ht="14.4" customHeight="1" x14ac:dyDescent="0.3">
      <c r="A8" s="615" t="s">
        <v>507</v>
      </c>
      <c r="B8" s="616" t="s">
        <v>1620</v>
      </c>
      <c r="C8" s="617" t="s">
        <v>1621</v>
      </c>
      <c r="D8" s="617">
        <v>270.02706955218667</v>
      </c>
      <c r="E8" s="617">
        <v>127.5</v>
      </c>
      <c r="F8" s="618">
        <v>0.47217488310133576</v>
      </c>
      <c r="G8" s="617">
        <v>-142.52706955218667</v>
      </c>
      <c r="H8" s="617" t="s">
        <v>2</v>
      </c>
      <c r="I8"/>
    </row>
    <row r="9" spans="1:9" ht="14.4" customHeight="1" x14ac:dyDescent="0.3">
      <c r="A9" s="615" t="s">
        <v>507</v>
      </c>
      <c r="B9" s="616" t="s">
        <v>1622</v>
      </c>
      <c r="C9" s="617" t="s">
        <v>1623</v>
      </c>
      <c r="D9" s="617">
        <v>3358664.8582272497</v>
      </c>
      <c r="E9" s="617">
        <v>2067448.68</v>
      </c>
      <c r="F9" s="618">
        <v>0.61555670698600995</v>
      </c>
      <c r="G9" s="617">
        <v>-1291216.1782272498</v>
      </c>
      <c r="H9" s="617" t="s">
        <v>2</v>
      </c>
      <c r="I9"/>
    </row>
    <row r="10" spans="1:9" ht="14.4" customHeight="1" x14ac:dyDescent="0.3">
      <c r="A10" s="615" t="s">
        <v>507</v>
      </c>
      <c r="B10" s="616" t="s">
        <v>1624</v>
      </c>
      <c r="C10" s="617" t="s">
        <v>1625</v>
      </c>
      <c r="D10" s="617">
        <v>3333331.5385344499</v>
      </c>
      <c r="E10" s="617">
        <v>5768739.1099999985</v>
      </c>
      <c r="F10" s="618">
        <v>1.7306226648358876</v>
      </c>
      <c r="G10" s="617">
        <v>2435407.5714655486</v>
      </c>
      <c r="H10" s="617" t="s">
        <v>2</v>
      </c>
      <c r="I10"/>
    </row>
    <row r="11" spans="1:9" ht="14.4" customHeight="1" x14ac:dyDescent="0.3">
      <c r="A11" s="615" t="s">
        <v>507</v>
      </c>
      <c r="B11" s="616" t="s">
        <v>1626</v>
      </c>
      <c r="C11" s="617" t="s">
        <v>1627</v>
      </c>
      <c r="D11" s="617">
        <v>1333332.6154137782</v>
      </c>
      <c r="E11" s="617">
        <v>413844.86</v>
      </c>
      <c r="F11" s="618">
        <v>0.31038381212295624</v>
      </c>
      <c r="G11" s="617">
        <v>-919487.75541377824</v>
      </c>
      <c r="H11" s="617" t="s">
        <v>2</v>
      </c>
      <c r="I11"/>
    </row>
    <row r="12" spans="1:9" ht="14.4" customHeight="1" x14ac:dyDescent="0.3">
      <c r="A12" s="615" t="s">
        <v>507</v>
      </c>
      <c r="B12" s="616" t="s">
        <v>1628</v>
      </c>
      <c r="C12" s="617" t="s">
        <v>1629</v>
      </c>
      <c r="D12" s="617">
        <v>328682.85789496516</v>
      </c>
      <c r="E12" s="617">
        <v>237726.1</v>
      </c>
      <c r="F12" s="618">
        <v>0.72326893322793384</v>
      </c>
      <c r="G12" s="617">
        <v>-90956.757894965151</v>
      </c>
      <c r="H12" s="617" t="s">
        <v>2</v>
      </c>
      <c r="I12"/>
    </row>
    <row r="13" spans="1:9" ht="14.4" customHeight="1" x14ac:dyDescent="0.3">
      <c r="A13" s="615" t="s">
        <v>507</v>
      </c>
      <c r="B13" s="616" t="s">
        <v>1630</v>
      </c>
      <c r="C13" s="617" t="s">
        <v>1631</v>
      </c>
      <c r="D13" s="617">
        <v>90333.284694281829</v>
      </c>
      <c r="E13" s="617">
        <v>297026.28999999998</v>
      </c>
      <c r="F13" s="618">
        <v>3.2881156818910848</v>
      </c>
      <c r="G13" s="617">
        <v>206693.00530571816</v>
      </c>
      <c r="H13" s="617" t="s">
        <v>2</v>
      </c>
      <c r="I13"/>
    </row>
    <row r="14" spans="1:9" ht="14.4" customHeight="1" x14ac:dyDescent="0.3">
      <c r="A14" s="615" t="s">
        <v>507</v>
      </c>
      <c r="B14" s="616" t="s">
        <v>1632</v>
      </c>
      <c r="C14" s="617" t="s">
        <v>1633</v>
      </c>
      <c r="D14" s="617">
        <v>18949.855519394925</v>
      </c>
      <c r="E14" s="617">
        <v>7458.73</v>
      </c>
      <c r="F14" s="618">
        <v>0.39360352865836307</v>
      </c>
      <c r="G14" s="617">
        <v>-11491.125519394926</v>
      </c>
      <c r="H14" s="617" t="s">
        <v>2</v>
      </c>
      <c r="I14"/>
    </row>
    <row r="15" spans="1:9" ht="14.4" customHeight="1" x14ac:dyDescent="0.3">
      <c r="A15" s="615" t="s">
        <v>507</v>
      </c>
      <c r="B15" s="616" t="s">
        <v>1634</v>
      </c>
      <c r="C15" s="617" t="s">
        <v>1635</v>
      </c>
      <c r="D15" s="617">
        <v>117180.41042962151</v>
      </c>
      <c r="E15" s="617">
        <v>116355.84</v>
      </c>
      <c r="F15" s="618">
        <v>0.99296323995966251</v>
      </c>
      <c r="G15" s="617">
        <v>-824.57042962151172</v>
      </c>
      <c r="H15" s="617" t="s">
        <v>2</v>
      </c>
      <c r="I15"/>
    </row>
    <row r="16" spans="1:9" ht="14.4" customHeight="1" x14ac:dyDescent="0.3">
      <c r="A16" s="615" t="s">
        <v>507</v>
      </c>
      <c r="B16" s="616" t="s">
        <v>1636</v>
      </c>
      <c r="C16" s="617" t="s">
        <v>1637</v>
      </c>
      <c r="D16" s="617">
        <v>8944.3680481162901</v>
      </c>
      <c r="E16" s="617">
        <v>4142.3200000000006</v>
      </c>
      <c r="F16" s="618">
        <v>0.46312047734578465</v>
      </c>
      <c r="G16" s="617">
        <v>-4802.0480481162895</v>
      </c>
      <c r="H16" s="617" t="s">
        <v>2</v>
      </c>
      <c r="I16"/>
    </row>
    <row r="17" spans="1:9" ht="14.4" customHeight="1" x14ac:dyDescent="0.3">
      <c r="A17" s="615" t="s">
        <v>507</v>
      </c>
      <c r="B17" s="616" t="s">
        <v>1638</v>
      </c>
      <c r="C17" s="617" t="s">
        <v>1639</v>
      </c>
      <c r="D17" s="617">
        <v>46705.725145707729</v>
      </c>
      <c r="E17" s="617">
        <v>43681.93</v>
      </c>
      <c r="F17" s="618">
        <v>0.93525857619650687</v>
      </c>
      <c r="G17" s="617">
        <v>-3023.7951457077288</v>
      </c>
      <c r="H17" s="617" t="s">
        <v>2</v>
      </c>
      <c r="I17"/>
    </row>
    <row r="18" spans="1:9" ht="14.4" customHeight="1" x14ac:dyDescent="0.3">
      <c r="A18" s="615" t="s">
        <v>507</v>
      </c>
      <c r="B18" s="616" t="s">
        <v>6</v>
      </c>
      <c r="C18" s="617" t="s">
        <v>509</v>
      </c>
      <c r="D18" s="617">
        <v>9666429.4642935712</v>
      </c>
      <c r="E18" s="617">
        <v>9776891.9199999962</v>
      </c>
      <c r="F18" s="618">
        <v>1.0114274309986389</v>
      </c>
      <c r="G18" s="617">
        <v>110462.45570642501</v>
      </c>
      <c r="H18" s="617" t="s">
        <v>522</v>
      </c>
      <c r="I18"/>
    </row>
    <row r="20" spans="1:9" ht="14.4" customHeight="1" x14ac:dyDescent="0.3">
      <c r="A20" s="615" t="s">
        <v>507</v>
      </c>
      <c r="B20" s="616" t="s">
        <v>508</v>
      </c>
      <c r="C20" s="617" t="s">
        <v>509</v>
      </c>
      <c r="D20" s="617" t="s">
        <v>508</v>
      </c>
      <c r="E20" s="617" t="s">
        <v>508</v>
      </c>
      <c r="F20" s="618" t="s">
        <v>508</v>
      </c>
      <c r="G20" s="617" t="s">
        <v>508</v>
      </c>
      <c r="H20" s="617" t="s">
        <v>77</v>
      </c>
      <c r="I20"/>
    </row>
    <row r="21" spans="1:9" ht="14.4" customHeight="1" x14ac:dyDescent="0.3">
      <c r="A21" s="615" t="s">
        <v>523</v>
      </c>
      <c r="B21" s="616" t="s">
        <v>1616</v>
      </c>
      <c r="C21" s="617" t="s">
        <v>1617</v>
      </c>
      <c r="D21" s="617">
        <v>3854.7844224334167</v>
      </c>
      <c r="E21" s="617">
        <v>2036.1</v>
      </c>
      <c r="F21" s="618">
        <v>0.52820074402881068</v>
      </c>
      <c r="G21" s="617">
        <v>-1818.6844224334168</v>
      </c>
      <c r="H21" s="617" t="s">
        <v>2</v>
      </c>
      <c r="I21"/>
    </row>
    <row r="22" spans="1:9" ht="14.4" customHeight="1" x14ac:dyDescent="0.3">
      <c r="A22" s="615" t="s">
        <v>523</v>
      </c>
      <c r="B22" s="616" t="s">
        <v>1618</v>
      </c>
      <c r="C22" s="617" t="s">
        <v>1619</v>
      </c>
      <c r="D22" s="617">
        <v>5710.7419787137833</v>
      </c>
      <c r="E22" s="617">
        <v>5318.84</v>
      </c>
      <c r="F22" s="618">
        <v>0.93137459542480494</v>
      </c>
      <c r="G22" s="617">
        <v>-391.90197871378314</v>
      </c>
      <c r="H22" s="617" t="s">
        <v>2</v>
      </c>
      <c r="I22"/>
    </row>
    <row r="23" spans="1:9" ht="14.4" customHeight="1" x14ac:dyDescent="0.3">
      <c r="A23" s="615" t="s">
        <v>523</v>
      </c>
      <c r="B23" s="616" t="s">
        <v>1620</v>
      </c>
      <c r="C23" s="617" t="s">
        <v>1621</v>
      </c>
      <c r="D23" s="617">
        <v>0</v>
      </c>
      <c r="E23" s="617">
        <v>42.5</v>
      </c>
      <c r="F23" s="618" t="s">
        <v>508</v>
      </c>
      <c r="G23" s="617">
        <v>42.5</v>
      </c>
      <c r="H23" s="617" t="s">
        <v>2</v>
      </c>
      <c r="I23"/>
    </row>
    <row r="24" spans="1:9" ht="14.4" customHeight="1" x14ac:dyDescent="0.3">
      <c r="A24" s="615" t="s">
        <v>523</v>
      </c>
      <c r="B24" s="616" t="s">
        <v>1636</v>
      </c>
      <c r="C24" s="617" t="s">
        <v>1637</v>
      </c>
      <c r="D24" s="617">
        <v>305.35115949906498</v>
      </c>
      <c r="E24" s="617">
        <v>168</v>
      </c>
      <c r="F24" s="618">
        <v>0.55018621928800782</v>
      </c>
      <c r="G24" s="617">
        <v>-137.35115949906498</v>
      </c>
      <c r="H24" s="617" t="s">
        <v>2</v>
      </c>
      <c r="I24"/>
    </row>
    <row r="25" spans="1:9" ht="14.4" customHeight="1" x14ac:dyDescent="0.3">
      <c r="A25" s="615" t="s">
        <v>523</v>
      </c>
      <c r="B25" s="616" t="s">
        <v>1638</v>
      </c>
      <c r="C25" s="617" t="s">
        <v>1639</v>
      </c>
      <c r="D25" s="617">
        <v>2403.2492982581166</v>
      </c>
      <c r="E25" s="617">
        <v>1232</v>
      </c>
      <c r="F25" s="618">
        <v>0.51263928419451021</v>
      </c>
      <c r="G25" s="617">
        <v>-1171.2492982581166</v>
      </c>
      <c r="H25" s="617" t="s">
        <v>2</v>
      </c>
      <c r="I25"/>
    </row>
    <row r="26" spans="1:9" ht="14.4" customHeight="1" x14ac:dyDescent="0.3">
      <c r="A26" s="615" t="s">
        <v>523</v>
      </c>
      <c r="B26" s="616" t="s">
        <v>6</v>
      </c>
      <c r="C26" s="617" t="s">
        <v>524</v>
      </c>
      <c r="D26" s="617">
        <v>12666.139879151289</v>
      </c>
      <c r="E26" s="617">
        <v>8797.44</v>
      </c>
      <c r="F26" s="618">
        <v>0.69456362269303185</v>
      </c>
      <c r="G26" s="617">
        <v>-3868.6998791512888</v>
      </c>
      <c r="H26" s="617" t="s">
        <v>525</v>
      </c>
      <c r="I26"/>
    </row>
    <row r="27" spans="1:9" ht="14.4" customHeight="1" x14ac:dyDescent="0.3">
      <c r="A27" s="615" t="s">
        <v>508</v>
      </c>
      <c r="B27" s="616" t="s">
        <v>508</v>
      </c>
      <c r="C27" s="617" t="s">
        <v>508</v>
      </c>
      <c r="D27" s="617" t="s">
        <v>508</v>
      </c>
      <c r="E27" s="617" t="s">
        <v>508</v>
      </c>
      <c r="F27" s="618" t="s">
        <v>508</v>
      </c>
      <c r="G27" s="617" t="s">
        <v>508</v>
      </c>
      <c r="H27" s="617" t="s">
        <v>526</v>
      </c>
      <c r="I27"/>
    </row>
    <row r="28" spans="1:9" ht="14.4" customHeight="1" x14ac:dyDescent="0.3">
      <c r="A28" s="615" t="s">
        <v>527</v>
      </c>
      <c r="B28" s="616" t="s">
        <v>1616</v>
      </c>
      <c r="C28" s="617" t="s">
        <v>1617</v>
      </c>
      <c r="D28" s="617">
        <v>6351.8332896817337</v>
      </c>
      <c r="E28" s="617">
        <v>3397.7700000000004</v>
      </c>
      <c r="F28" s="618">
        <v>0.53492745244424544</v>
      </c>
      <c r="G28" s="617">
        <v>-2954.0632896817333</v>
      </c>
      <c r="H28" s="617" t="s">
        <v>2</v>
      </c>
      <c r="I28"/>
    </row>
    <row r="29" spans="1:9" ht="14.4" customHeight="1" x14ac:dyDescent="0.3">
      <c r="A29" s="615" t="s">
        <v>527</v>
      </c>
      <c r="B29" s="616" t="s">
        <v>1618</v>
      </c>
      <c r="C29" s="617" t="s">
        <v>1619</v>
      </c>
      <c r="D29" s="617">
        <v>8478.4911281607838</v>
      </c>
      <c r="E29" s="617">
        <v>8967.7099999999991</v>
      </c>
      <c r="F29" s="618">
        <v>1.0577011716405889</v>
      </c>
      <c r="G29" s="617">
        <v>489.21887183921535</v>
      </c>
      <c r="H29" s="617" t="s">
        <v>2</v>
      </c>
      <c r="I29"/>
    </row>
    <row r="30" spans="1:9" ht="14.4" customHeight="1" x14ac:dyDescent="0.3">
      <c r="A30" s="615" t="s">
        <v>527</v>
      </c>
      <c r="B30" s="616" t="s">
        <v>1620</v>
      </c>
      <c r="C30" s="617" t="s">
        <v>1621</v>
      </c>
      <c r="D30" s="617">
        <v>0</v>
      </c>
      <c r="E30" s="617">
        <v>85</v>
      </c>
      <c r="F30" s="618" t="s">
        <v>508</v>
      </c>
      <c r="G30" s="617">
        <v>85</v>
      </c>
      <c r="H30" s="617" t="s">
        <v>2</v>
      </c>
      <c r="I30"/>
    </row>
    <row r="31" spans="1:9" ht="14.4" customHeight="1" x14ac:dyDescent="0.3">
      <c r="A31" s="615" t="s">
        <v>527</v>
      </c>
      <c r="B31" s="616" t="s">
        <v>1636</v>
      </c>
      <c r="C31" s="617" t="s">
        <v>1637</v>
      </c>
      <c r="D31" s="617">
        <v>485.85199188492169</v>
      </c>
      <c r="E31" s="617">
        <v>210</v>
      </c>
      <c r="F31" s="618">
        <v>0.43223039836737015</v>
      </c>
      <c r="G31" s="617">
        <v>-275.85199188492169</v>
      </c>
      <c r="H31" s="617" t="s">
        <v>2</v>
      </c>
      <c r="I31"/>
    </row>
    <row r="32" spans="1:9" ht="14.4" customHeight="1" x14ac:dyDescent="0.3">
      <c r="A32" s="615" t="s">
        <v>527</v>
      </c>
      <c r="B32" s="616" t="s">
        <v>1638</v>
      </c>
      <c r="C32" s="617" t="s">
        <v>1639</v>
      </c>
      <c r="D32" s="617">
        <v>2967.6747486757831</v>
      </c>
      <c r="E32" s="617">
        <v>1155</v>
      </c>
      <c r="F32" s="618">
        <v>0.38919359357536626</v>
      </c>
      <c r="G32" s="617">
        <v>-1812.6747486757831</v>
      </c>
      <c r="H32" s="617" t="s">
        <v>2</v>
      </c>
      <c r="I32"/>
    </row>
    <row r="33" spans="1:9" ht="14.4" customHeight="1" x14ac:dyDescent="0.3">
      <c r="A33" s="615" t="s">
        <v>527</v>
      </c>
      <c r="B33" s="616" t="s">
        <v>6</v>
      </c>
      <c r="C33" s="617" t="s">
        <v>528</v>
      </c>
      <c r="D33" s="617">
        <v>19092.253720367255</v>
      </c>
      <c r="E33" s="617">
        <v>13815.48</v>
      </c>
      <c r="F33" s="618">
        <v>0.723617033502017</v>
      </c>
      <c r="G33" s="617">
        <v>-5276.773720367255</v>
      </c>
      <c r="H33" s="617" t="s">
        <v>525</v>
      </c>
      <c r="I33"/>
    </row>
    <row r="34" spans="1:9" ht="14.4" customHeight="1" x14ac:dyDescent="0.3">
      <c r="A34" s="615" t="s">
        <v>508</v>
      </c>
      <c r="B34" s="616" t="s">
        <v>508</v>
      </c>
      <c r="C34" s="617" t="s">
        <v>508</v>
      </c>
      <c r="D34" s="617" t="s">
        <v>508</v>
      </c>
      <c r="E34" s="617" t="s">
        <v>508</v>
      </c>
      <c r="F34" s="618" t="s">
        <v>508</v>
      </c>
      <c r="G34" s="617" t="s">
        <v>508</v>
      </c>
      <c r="H34" s="617" t="s">
        <v>526</v>
      </c>
      <c r="I34"/>
    </row>
    <row r="35" spans="1:9" ht="14.4" customHeight="1" x14ac:dyDescent="0.3">
      <c r="A35" s="615" t="s">
        <v>529</v>
      </c>
      <c r="B35" s="616" t="s">
        <v>1616</v>
      </c>
      <c r="C35" s="617" t="s">
        <v>1617</v>
      </c>
      <c r="D35" s="617">
        <v>1363.5754719916367</v>
      </c>
      <c r="E35" s="617">
        <v>525.14</v>
      </c>
      <c r="F35" s="618">
        <v>0.38511986376007568</v>
      </c>
      <c r="G35" s="617">
        <v>-838.43547199163675</v>
      </c>
      <c r="H35" s="617" t="s">
        <v>2</v>
      </c>
      <c r="I35"/>
    </row>
    <row r="36" spans="1:9" ht="14.4" customHeight="1" x14ac:dyDescent="0.3">
      <c r="A36" s="615" t="s">
        <v>529</v>
      </c>
      <c r="B36" s="616" t="s">
        <v>1618</v>
      </c>
      <c r="C36" s="617" t="s">
        <v>1619</v>
      </c>
      <c r="D36" s="617">
        <v>211.36507436965999</v>
      </c>
      <c r="E36" s="617">
        <v>183.45</v>
      </c>
      <c r="F36" s="618">
        <v>0.86792957893867151</v>
      </c>
      <c r="G36" s="617">
        <v>-27.915074369660005</v>
      </c>
      <c r="H36" s="617" t="s">
        <v>2</v>
      </c>
      <c r="I36"/>
    </row>
    <row r="37" spans="1:9" ht="14.4" customHeight="1" x14ac:dyDescent="0.3">
      <c r="A37" s="615" t="s">
        <v>529</v>
      </c>
      <c r="B37" s="616" t="s">
        <v>1636</v>
      </c>
      <c r="C37" s="617" t="s">
        <v>1637</v>
      </c>
      <c r="D37" s="617">
        <v>46.332678736980334</v>
      </c>
      <c r="E37" s="617">
        <v>31</v>
      </c>
      <c r="F37" s="618">
        <v>0.66907420086759228</v>
      </c>
      <c r="G37" s="617">
        <v>-15.332678736980334</v>
      </c>
      <c r="H37" s="617" t="s">
        <v>2</v>
      </c>
      <c r="I37"/>
    </row>
    <row r="38" spans="1:9" ht="14.4" customHeight="1" x14ac:dyDescent="0.3">
      <c r="A38" s="615" t="s">
        <v>529</v>
      </c>
      <c r="B38" s="616" t="s">
        <v>6</v>
      </c>
      <c r="C38" s="617" t="s">
        <v>530</v>
      </c>
      <c r="D38" s="617">
        <v>2510.9705399137802</v>
      </c>
      <c r="E38" s="617">
        <v>739.58999999999992</v>
      </c>
      <c r="F38" s="618">
        <v>0.29454347960028054</v>
      </c>
      <c r="G38" s="617">
        <v>-1771.3805399137802</v>
      </c>
      <c r="H38" s="617" t="s">
        <v>525</v>
      </c>
      <c r="I38"/>
    </row>
    <row r="39" spans="1:9" ht="14.4" customHeight="1" x14ac:dyDescent="0.3">
      <c r="A39" s="615" t="s">
        <v>508</v>
      </c>
      <c r="B39" s="616" t="s">
        <v>508</v>
      </c>
      <c r="C39" s="617" t="s">
        <v>508</v>
      </c>
      <c r="D39" s="617" t="s">
        <v>508</v>
      </c>
      <c r="E39" s="617" t="s">
        <v>508</v>
      </c>
      <c r="F39" s="618" t="s">
        <v>508</v>
      </c>
      <c r="G39" s="617" t="s">
        <v>508</v>
      </c>
      <c r="H39" s="617" t="s">
        <v>526</v>
      </c>
      <c r="I39"/>
    </row>
    <row r="40" spans="1:9" ht="14.4" customHeight="1" x14ac:dyDescent="0.3">
      <c r="A40" s="615" t="s">
        <v>531</v>
      </c>
      <c r="B40" s="616" t="s">
        <v>1614</v>
      </c>
      <c r="C40" s="617" t="s">
        <v>1615</v>
      </c>
      <c r="D40" s="617">
        <v>2003.5862112290999</v>
      </c>
      <c r="E40" s="617">
        <v>1115.47</v>
      </c>
      <c r="F40" s="618">
        <v>0.5567367122753929</v>
      </c>
      <c r="G40" s="617">
        <v>-888.11621122909992</v>
      </c>
      <c r="H40" s="617" t="s">
        <v>2</v>
      </c>
      <c r="I40"/>
    </row>
    <row r="41" spans="1:9" ht="14.4" customHeight="1" x14ac:dyDescent="0.3">
      <c r="A41" s="615" t="s">
        <v>531</v>
      </c>
      <c r="B41" s="616" t="s">
        <v>1616</v>
      </c>
      <c r="C41" s="617" t="s">
        <v>1617</v>
      </c>
      <c r="D41" s="617">
        <v>36075.666787672999</v>
      </c>
      <c r="E41" s="617">
        <v>23684.07</v>
      </c>
      <c r="F41" s="618">
        <v>0.65651094238659535</v>
      </c>
      <c r="G41" s="617">
        <v>-12391.596787672999</v>
      </c>
      <c r="H41" s="617" t="s">
        <v>2</v>
      </c>
      <c r="I41"/>
    </row>
    <row r="42" spans="1:9" ht="14.4" customHeight="1" x14ac:dyDescent="0.3">
      <c r="A42" s="615" t="s">
        <v>531</v>
      </c>
      <c r="B42" s="616" t="s">
        <v>1618</v>
      </c>
      <c r="C42" s="617" t="s">
        <v>1619</v>
      </c>
      <c r="D42" s="617">
        <v>341876.13211423502</v>
      </c>
      <c r="E42" s="617">
        <v>226094.68000000002</v>
      </c>
      <c r="F42" s="618">
        <v>0.66133508239309435</v>
      </c>
      <c r="G42" s="617">
        <v>-115781.452114235</v>
      </c>
      <c r="H42" s="617" t="s">
        <v>2</v>
      </c>
      <c r="I42"/>
    </row>
    <row r="43" spans="1:9" ht="14.4" customHeight="1" x14ac:dyDescent="0.3">
      <c r="A43" s="615" t="s">
        <v>531</v>
      </c>
      <c r="B43" s="616" t="s">
        <v>1628</v>
      </c>
      <c r="C43" s="617" t="s">
        <v>1629</v>
      </c>
      <c r="D43" s="617">
        <v>41186.65216067517</v>
      </c>
      <c r="E43" s="617">
        <v>49924.63</v>
      </c>
      <c r="F43" s="618">
        <v>1.2121555742194507</v>
      </c>
      <c r="G43" s="617">
        <v>8737.9778393248271</v>
      </c>
      <c r="H43" s="617" t="s">
        <v>2</v>
      </c>
      <c r="I43"/>
    </row>
    <row r="44" spans="1:9" ht="14.4" customHeight="1" x14ac:dyDescent="0.3">
      <c r="A44" s="615" t="s">
        <v>531</v>
      </c>
      <c r="B44" s="616" t="s">
        <v>1632</v>
      </c>
      <c r="C44" s="617" t="s">
        <v>1633</v>
      </c>
      <c r="D44" s="617">
        <v>17760.428258879001</v>
      </c>
      <c r="E44" s="617">
        <v>7458.73</v>
      </c>
      <c r="F44" s="618">
        <v>0.41996340917461517</v>
      </c>
      <c r="G44" s="617">
        <v>-10301.698258879002</v>
      </c>
      <c r="H44" s="617" t="s">
        <v>2</v>
      </c>
      <c r="I44"/>
    </row>
    <row r="45" spans="1:9" ht="14.4" customHeight="1" x14ac:dyDescent="0.3">
      <c r="A45" s="615" t="s">
        <v>531</v>
      </c>
      <c r="B45" s="616" t="s">
        <v>1636</v>
      </c>
      <c r="C45" s="617" t="s">
        <v>1637</v>
      </c>
      <c r="D45" s="617">
        <v>1262.0953300235733</v>
      </c>
      <c r="E45" s="617">
        <v>901</v>
      </c>
      <c r="F45" s="618">
        <v>0.71389219068195997</v>
      </c>
      <c r="G45" s="617">
        <v>-361.0953300235733</v>
      </c>
      <c r="H45" s="617" t="s">
        <v>2</v>
      </c>
      <c r="I45"/>
    </row>
    <row r="46" spans="1:9" ht="14.4" customHeight="1" x14ac:dyDescent="0.3">
      <c r="A46" s="615" t="s">
        <v>531</v>
      </c>
      <c r="B46" s="616" t="s">
        <v>1638</v>
      </c>
      <c r="C46" s="617" t="s">
        <v>1639</v>
      </c>
      <c r="D46" s="617">
        <v>25363.633099437833</v>
      </c>
      <c r="E46" s="617">
        <v>25500</v>
      </c>
      <c r="F46" s="618">
        <v>1.0053764734739516</v>
      </c>
      <c r="G46" s="617">
        <v>136.36690056216685</v>
      </c>
      <c r="H46" s="617" t="s">
        <v>2</v>
      </c>
      <c r="I46"/>
    </row>
    <row r="47" spans="1:9" ht="14.4" customHeight="1" x14ac:dyDescent="0.3">
      <c r="A47" s="615" t="s">
        <v>531</v>
      </c>
      <c r="B47" s="616" t="s">
        <v>6</v>
      </c>
      <c r="C47" s="617" t="s">
        <v>532</v>
      </c>
      <c r="D47" s="617">
        <v>465798.22103170492</v>
      </c>
      <c r="E47" s="617">
        <v>334678.58</v>
      </c>
      <c r="F47" s="618">
        <v>0.71850549205343539</v>
      </c>
      <c r="G47" s="617">
        <v>-131119.6410317049</v>
      </c>
      <c r="H47" s="617" t="s">
        <v>525</v>
      </c>
      <c r="I47"/>
    </row>
    <row r="48" spans="1:9" ht="14.4" customHeight="1" x14ac:dyDescent="0.3">
      <c r="A48" s="615" t="s">
        <v>508</v>
      </c>
      <c r="B48" s="616" t="s">
        <v>508</v>
      </c>
      <c r="C48" s="617" t="s">
        <v>508</v>
      </c>
      <c r="D48" s="617" t="s">
        <v>508</v>
      </c>
      <c r="E48" s="617" t="s">
        <v>508</v>
      </c>
      <c r="F48" s="618" t="s">
        <v>508</v>
      </c>
      <c r="G48" s="617" t="s">
        <v>508</v>
      </c>
      <c r="H48" s="617" t="s">
        <v>526</v>
      </c>
      <c r="I48"/>
    </row>
    <row r="49" spans="1:9" ht="14.4" customHeight="1" x14ac:dyDescent="0.3">
      <c r="A49" s="615" t="s">
        <v>533</v>
      </c>
      <c r="B49" s="616" t="s">
        <v>1616</v>
      </c>
      <c r="C49" s="617" t="s">
        <v>1617</v>
      </c>
      <c r="D49" s="617">
        <v>78886.062279994672</v>
      </c>
      <c r="E49" s="617">
        <v>118045.55999999998</v>
      </c>
      <c r="F49" s="618">
        <v>1.4964057856128543</v>
      </c>
      <c r="G49" s="617">
        <v>39159.497720005311</v>
      </c>
      <c r="H49" s="617" t="s">
        <v>2</v>
      </c>
      <c r="I49"/>
    </row>
    <row r="50" spans="1:9" ht="14.4" customHeight="1" x14ac:dyDescent="0.3">
      <c r="A50" s="615" t="s">
        <v>533</v>
      </c>
      <c r="B50" s="616" t="s">
        <v>1618</v>
      </c>
      <c r="C50" s="617" t="s">
        <v>1619</v>
      </c>
      <c r="D50" s="617">
        <v>461877.50382675504</v>
      </c>
      <c r="E50" s="617">
        <v>430971.77000000008</v>
      </c>
      <c r="F50" s="618">
        <v>0.93308673063594938</v>
      </c>
      <c r="G50" s="617">
        <v>-30905.733826754964</v>
      </c>
      <c r="H50" s="617" t="s">
        <v>2</v>
      </c>
      <c r="I50"/>
    </row>
    <row r="51" spans="1:9" ht="14.4" customHeight="1" x14ac:dyDescent="0.3">
      <c r="A51" s="615" t="s">
        <v>533</v>
      </c>
      <c r="B51" s="616" t="s">
        <v>1622</v>
      </c>
      <c r="C51" s="617" t="s">
        <v>1623</v>
      </c>
      <c r="D51" s="617">
        <v>3358664.8582272497</v>
      </c>
      <c r="E51" s="617">
        <v>2067448.68</v>
      </c>
      <c r="F51" s="618">
        <v>0.61555670698600995</v>
      </c>
      <c r="G51" s="617">
        <v>-1291216.1782272498</v>
      </c>
      <c r="H51" s="617" t="s">
        <v>2</v>
      </c>
      <c r="I51"/>
    </row>
    <row r="52" spans="1:9" ht="14.4" customHeight="1" x14ac:dyDescent="0.3">
      <c r="A52" s="615" t="s">
        <v>533</v>
      </c>
      <c r="B52" s="616" t="s">
        <v>1624</v>
      </c>
      <c r="C52" s="617" t="s">
        <v>1625</v>
      </c>
      <c r="D52" s="617">
        <v>3333331.5385344499</v>
      </c>
      <c r="E52" s="617">
        <v>5768739.1099999985</v>
      </c>
      <c r="F52" s="618">
        <v>1.7306226648358876</v>
      </c>
      <c r="G52" s="617">
        <v>2435407.5714655486</v>
      </c>
      <c r="H52" s="617" t="s">
        <v>2</v>
      </c>
      <c r="I52"/>
    </row>
    <row r="53" spans="1:9" ht="14.4" customHeight="1" x14ac:dyDescent="0.3">
      <c r="A53" s="615" t="s">
        <v>533</v>
      </c>
      <c r="B53" s="616" t="s">
        <v>1626</v>
      </c>
      <c r="C53" s="617" t="s">
        <v>1627</v>
      </c>
      <c r="D53" s="617">
        <v>1333332.6154137782</v>
      </c>
      <c r="E53" s="617">
        <v>413844.86</v>
      </c>
      <c r="F53" s="618">
        <v>0.31038381212295624</v>
      </c>
      <c r="G53" s="617">
        <v>-919487.75541377824</v>
      </c>
      <c r="H53" s="617" t="s">
        <v>2</v>
      </c>
      <c r="I53"/>
    </row>
    <row r="54" spans="1:9" ht="14.4" customHeight="1" x14ac:dyDescent="0.3">
      <c r="A54" s="615" t="s">
        <v>533</v>
      </c>
      <c r="B54" s="616" t="s">
        <v>1628</v>
      </c>
      <c r="C54" s="617" t="s">
        <v>1629</v>
      </c>
      <c r="D54" s="617">
        <v>287496.20573429001</v>
      </c>
      <c r="E54" s="617">
        <v>187801.46999999997</v>
      </c>
      <c r="F54" s="618">
        <v>0.65323112533029393</v>
      </c>
      <c r="G54" s="617">
        <v>-99694.735734290036</v>
      </c>
      <c r="H54" s="617" t="s">
        <v>2</v>
      </c>
      <c r="I54"/>
    </row>
    <row r="55" spans="1:9" ht="14.4" customHeight="1" x14ac:dyDescent="0.3">
      <c r="A55" s="615" t="s">
        <v>533</v>
      </c>
      <c r="B55" s="616" t="s">
        <v>1630</v>
      </c>
      <c r="C55" s="617" t="s">
        <v>1631</v>
      </c>
      <c r="D55" s="617">
        <v>90333.284694281829</v>
      </c>
      <c r="E55" s="617">
        <v>297026.28999999998</v>
      </c>
      <c r="F55" s="618">
        <v>3.2881156818910848</v>
      </c>
      <c r="G55" s="617">
        <v>206693.00530571816</v>
      </c>
      <c r="H55" s="617" t="s">
        <v>2</v>
      </c>
      <c r="I55"/>
    </row>
    <row r="56" spans="1:9" ht="14.4" customHeight="1" x14ac:dyDescent="0.3">
      <c r="A56" s="615" t="s">
        <v>533</v>
      </c>
      <c r="B56" s="616" t="s">
        <v>1634</v>
      </c>
      <c r="C56" s="617" t="s">
        <v>1635</v>
      </c>
      <c r="D56" s="617">
        <v>117180.41042962151</v>
      </c>
      <c r="E56" s="617">
        <v>116355.84</v>
      </c>
      <c r="F56" s="618">
        <v>0.99296323995966251</v>
      </c>
      <c r="G56" s="617">
        <v>-824.57042962151172</v>
      </c>
      <c r="H56" s="617" t="s">
        <v>2</v>
      </c>
      <c r="I56"/>
    </row>
    <row r="57" spans="1:9" ht="14.4" customHeight="1" x14ac:dyDescent="0.3">
      <c r="A57" s="615" t="s">
        <v>533</v>
      </c>
      <c r="B57" s="616" t="s">
        <v>1636</v>
      </c>
      <c r="C57" s="617" t="s">
        <v>1637</v>
      </c>
      <c r="D57" s="617">
        <v>6844.7368879717505</v>
      </c>
      <c r="E57" s="617">
        <v>2832.32</v>
      </c>
      <c r="F57" s="618">
        <v>0.41379530672351095</v>
      </c>
      <c r="G57" s="617">
        <v>-4012.4168879717504</v>
      </c>
      <c r="H57" s="617" t="s">
        <v>2</v>
      </c>
      <c r="I57"/>
    </row>
    <row r="58" spans="1:9" ht="14.4" customHeight="1" x14ac:dyDescent="0.3">
      <c r="A58" s="615" t="s">
        <v>533</v>
      </c>
      <c r="B58" s="616" t="s">
        <v>1638</v>
      </c>
      <c r="C58" s="617" t="s">
        <v>1639</v>
      </c>
      <c r="D58" s="617">
        <v>15081.4706845205</v>
      </c>
      <c r="E58" s="617">
        <v>15794.93</v>
      </c>
      <c r="F58" s="618">
        <v>1.0473070120549841</v>
      </c>
      <c r="G58" s="617">
        <v>713.45931547950022</v>
      </c>
      <c r="H58" s="617" t="s">
        <v>2</v>
      </c>
      <c r="I58"/>
    </row>
    <row r="59" spans="1:9" ht="14.4" customHeight="1" x14ac:dyDescent="0.3">
      <c r="A59" s="615" t="s">
        <v>533</v>
      </c>
      <c r="B59" s="616" t="s">
        <v>6</v>
      </c>
      <c r="C59" s="617" t="s">
        <v>534</v>
      </c>
      <c r="D59" s="617">
        <v>9083028.6867129132</v>
      </c>
      <c r="E59" s="617">
        <v>9418860.8299999982</v>
      </c>
      <c r="F59" s="618">
        <v>1.0369735861099234</v>
      </c>
      <c r="G59" s="617">
        <v>335832.143287085</v>
      </c>
      <c r="H59" s="617" t="s">
        <v>525</v>
      </c>
      <c r="I59"/>
    </row>
    <row r="60" spans="1:9" ht="14.4" customHeight="1" x14ac:dyDescent="0.3">
      <c r="A60" s="615" t="s">
        <v>508</v>
      </c>
      <c r="B60" s="616" t="s">
        <v>508</v>
      </c>
      <c r="C60" s="617" t="s">
        <v>508</v>
      </c>
      <c r="D60" s="617" t="s">
        <v>508</v>
      </c>
      <c r="E60" s="617" t="s">
        <v>508</v>
      </c>
      <c r="F60" s="618" t="s">
        <v>508</v>
      </c>
      <c r="G60" s="617" t="s">
        <v>508</v>
      </c>
      <c r="H60" s="617" t="s">
        <v>526</v>
      </c>
      <c r="I60"/>
    </row>
    <row r="61" spans="1:9" ht="14.4" customHeight="1" x14ac:dyDescent="0.3">
      <c r="A61" s="615" t="s">
        <v>507</v>
      </c>
      <c r="B61" s="616" t="s">
        <v>6</v>
      </c>
      <c r="C61" s="617" t="s">
        <v>509</v>
      </c>
      <c r="D61" s="617">
        <v>9666429.4642935712</v>
      </c>
      <c r="E61" s="617">
        <v>9776891.9199999981</v>
      </c>
      <c r="F61" s="618">
        <v>1.0114274309986391</v>
      </c>
      <c r="G61" s="617">
        <v>110462.45570642687</v>
      </c>
      <c r="H61" s="617" t="s">
        <v>522</v>
      </c>
      <c r="I61"/>
    </row>
  </sheetData>
  <autoFilter ref="A3:G3"/>
  <mergeCells count="1">
    <mergeCell ref="A1:G1"/>
  </mergeCells>
  <conditionalFormatting sqref="F19 F62:F65536">
    <cfRule type="cellIs" dxfId="33" priority="15" stopIfTrue="1" operator="greaterThan">
      <formula>1</formula>
    </cfRule>
  </conditionalFormatting>
  <conditionalFormatting sqref="G4:G18">
    <cfRule type="cellIs" dxfId="32" priority="9" operator="greaterThan">
      <formula>0</formula>
    </cfRule>
  </conditionalFormatting>
  <conditionalFormatting sqref="B4:B18">
    <cfRule type="expression" dxfId="31" priority="12">
      <formula>AND(LEFT(H4,6)&lt;&gt;"mezera",H4&lt;&gt;"")</formula>
    </cfRule>
  </conditionalFormatting>
  <conditionalFormatting sqref="A4:A18">
    <cfRule type="expression" dxfId="30" priority="10">
      <formula>AND(H4&lt;&gt;"",H4&lt;&gt;"mezeraKL")</formula>
    </cfRule>
  </conditionalFormatting>
  <conditionalFormatting sqref="F4:F18">
    <cfRule type="cellIs" dxfId="29" priority="8" operator="greaterThan">
      <formula>1</formula>
    </cfRule>
  </conditionalFormatting>
  <conditionalFormatting sqref="B4:G18">
    <cfRule type="expression" dxfId="28" priority="11">
      <formula>OR($H4="KL",$H4="SumaKL")</formula>
    </cfRule>
    <cfRule type="expression" dxfId="27" priority="13">
      <formula>$H4="SumaNS"</formula>
    </cfRule>
  </conditionalFormatting>
  <conditionalFormatting sqref="A4:G18">
    <cfRule type="expression" dxfId="26" priority="14">
      <formula>$H4&lt;&gt;""</formula>
    </cfRule>
  </conditionalFormatting>
  <conditionalFormatting sqref="G20:G61">
    <cfRule type="cellIs" dxfId="25" priority="1" operator="greaterThan">
      <formula>0</formula>
    </cfRule>
  </conditionalFormatting>
  <conditionalFormatting sqref="F20:F61">
    <cfRule type="cellIs" dxfId="24" priority="2" operator="greaterThan">
      <formula>1</formula>
    </cfRule>
  </conditionalFormatting>
  <conditionalFormatting sqref="B20:B61">
    <cfRule type="expression" dxfId="23" priority="5">
      <formula>AND(LEFT(H20,6)&lt;&gt;"mezera",H20&lt;&gt;"")</formula>
    </cfRule>
  </conditionalFormatting>
  <conditionalFormatting sqref="A20:A61">
    <cfRule type="expression" dxfId="22" priority="3">
      <formula>AND(H20&lt;&gt;"",H20&lt;&gt;"mezeraKL")</formula>
    </cfRule>
  </conditionalFormatting>
  <conditionalFormatting sqref="B20:G61">
    <cfRule type="expression" dxfId="21" priority="4">
      <formula>OR($H20="KL",$H20="SumaKL")</formula>
    </cfRule>
    <cfRule type="expression" dxfId="20" priority="6">
      <formula>$H20="SumaNS"</formula>
    </cfRule>
  </conditionalFormatting>
  <conditionalFormatting sqref="A20:G61">
    <cfRule type="expression" dxfId="19" priority="7">
      <formula>$H20&lt;&gt;""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12.44140625" style="345" hidden="1" customWidth="1" outlineLevel="1"/>
    <col min="8" max="8" width="25.77734375" style="345" customWidth="1" collapsed="1"/>
    <col min="9" max="9" width="7.77734375" style="343" customWidth="1"/>
    <col min="10" max="10" width="10" style="343" customWidth="1"/>
    <col min="11" max="11" width="11.109375" style="343" customWidth="1"/>
    <col min="12" max="16384" width="8.88671875" style="260"/>
  </cols>
  <sheetData>
    <row r="1" spans="1:11" ht="18.600000000000001" customHeight="1" thickBot="1" x14ac:dyDescent="0.4">
      <c r="A1" s="492" t="s">
        <v>2223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1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8"/>
      <c r="J2" s="348"/>
      <c r="K2" s="348"/>
    </row>
    <row r="3" spans="1:11" ht="14.4" customHeight="1" thickBot="1" x14ac:dyDescent="0.35">
      <c r="A3" s="66"/>
      <c r="B3" s="66"/>
      <c r="C3" s="488"/>
      <c r="D3" s="489"/>
      <c r="E3" s="489"/>
      <c r="F3" s="489"/>
      <c r="G3" s="489"/>
      <c r="H3" s="273" t="s">
        <v>163</v>
      </c>
      <c r="I3" s="213">
        <f>IF(J3&lt;&gt;0,K3/J3,0)</f>
        <v>82.027786894873714</v>
      </c>
      <c r="J3" s="213">
        <f>SUBTOTAL(9,J5:J1048576)</f>
        <v>119190</v>
      </c>
      <c r="K3" s="214">
        <f>SUBTOTAL(9,K5:K1048576)</f>
        <v>9776891.9199999981</v>
      </c>
    </row>
    <row r="4" spans="1:11" s="344" customFormat="1" ht="14.4" customHeight="1" thickBot="1" x14ac:dyDescent="0.35">
      <c r="A4" s="719" t="s">
        <v>7</v>
      </c>
      <c r="B4" s="720" t="s">
        <v>8</v>
      </c>
      <c r="C4" s="720" t="s">
        <v>0</v>
      </c>
      <c r="D4" s="720" t="s">
        <v>9</v>
      </c>
      <c r="E4" s="720" t="s">
        <v>10</v>
      </c>
      <c r="F4" s="720" t="s">
        <v>2</v>
      </c>
      <c r="G4" s="720" t="s">
        <v>93</v>
      </c>
      <c r="H4" s="621" t="s">
        <v>14</v>
      </c>
      <c r="I4" s="622" t="s">
        <v>189</v>
      </c>
      <c r="J4" s="622" t="s">
        <v>16</v>
      </c>
      <c r="K4" s="623" t="s">
        <v>206</v>
      </c>
    </row>
    <row r="5" spans="1:11" ht="14.4" customHeight="1" x14ac:dyDescent="0.3">
      <c r="A5" s="695" t="s">
        <v>507</v>
      </c>
      <c r="B5" s="696" t="s">
        <v>509</v>
      </c>
      <c r="C5" s="699" t="s">
        <v>523</v>
      </c>
      <c r="D5" s="721" t="s">
        <v>524</v>
      </c>
      <c r="E5" s="699" t="s">
        <v>1616</v>
      </c>
      <c r="F5" s="721" t="s">
        <v>1617</v>
      </c>
      <c r="G5" s="699" t="s">
        <v>1640</v>
      </c>
      <c r="H5" s="699" t="s">
        <v>1641</v>
      </c>
      <c r="I5" s="235">
        <v>27.37</v>
      </c>
      <c r="J5" s="235">
        <v>12</v>
      </c>
      <c r="K5" s="711">
        <v>328.44</v>
      </c>
    </row>
    <row r="6" spans="1:11" ht="14.4" customHeight="1" x14ac:dyDescent="0.3">
      <c r="A6" s="679" t="s">
        <v>507</v>
      </c>
      <c r="B6" s="670" t="s">
        <v>509</v>
      </c>
      <c r="C6" s="704" t="s">
        <v>523</v>
      </c>
      <c r="D6" s="722" t="s">
        <v>524</v>
      </c>
      <c r="E6" s="704" t="s">
        <v>1616</v>
      </c>
      <c r="F6" s="722" t="s">
        <v>1617</v>
      </c>
      <c r="G6" s="704" t="s">
        <v>1642</v>
      </c>
      <c r="H6" s="704" t="s">
        <v>1643</v>
      </c>
      <c r="I6" s="238">
        <v>0.6</v>
      </c>
      <c r="J6" s="238">
        <v>200</v>
      </c>
      <c r="K6" s="712">
        <v>120</v>
      </c>
    </row>
    <row r="7" spans="1:11" ht="14.4" customHeight="1" x14ac:dyDescent="0.3">
      <c r="A7" s="679" t="s">
        <v>507</v>
      </c>
      <c r="B7" s="670" t="s">
        <v>509</v>
      </c>
      <c r="C7" s="704" t="s">
        <v>523</v>
      </c>
      <c r="D7" s="722" t="s">
        <v>524</v>
      </c>
      <c r="E7" s="704" t="s">
        <v>1616</v>
      </c>
      <c r="F7" s="722" t="s">
        <v>1617</v>
      </c>
      <c r="G7" s="704" t="s">
        <v>1644</v>
      </c>
      <c r="H7" s="704" t="s">
        <v>1645</v>
      </c>
      <c r="I7" s="238">
        <v>8.58</v>
      </c>
      <c r="J7" s="238">
        <v>12</v>
      </c>
      <c r="K7" s="712">
        <v>102.96</v>
      </c>
    </row>
    <row r="8" spans="1:11" ht="14.4" customHeight="1" x14ac:dyDescent="0.3">
      <c r="A8" s="679" t="s">
        <v>507</v>
      </c>
      <c r="B8" s="670" t="s">
        <v>509</v>
      </c>
      <c r="C8" s="704" t="s">
        <v>523</v>
      </c>
      <c r="D8" s="722" t="s">
        <v>524</v>
      </c>
      <c r="E8" s="704" t="s">
        <v>1616</v>
      </c>
      <c r="F8" s="722" t="s">
        <v>1617</v>
      </c>
      <c r="G8" s="704" t="s">
        <v>1646</v>
      </c>
      <c r="H8" s="704" t="s">
        <v>1647</v>
      </c>
      <c r="I8" s="238">
        <v>27.94</v>
      </c>
      <c r="J8" s="238">
        <v>3</v>
      </c>
      <c r="K8" s="712">
        <v>83.82</v>
      </c>
    </row>
    <row r="9" spans="1:11" ht="14.4" customHeight="1" x14ac:dyDescent="0.3">
      <c r="A9" s="679" t="s">
        <v>507</v>
      </c>
      <c r="B9" s="670" t="s">
        <v>509</v>
      </c>
      <c r="C9" s="704" t="s">
        <v>523</v>
      </c>
      <c r="D9" s="722" t="s">
        <v>524</v>
      </c>
      <c r="E9" s="704" t="s">
        <v>1616</v>
      </c>
      <c r="F9" s="722" t="s">
        <v>1617</v>
      </c>
      <c r="G9" s="704" t="s">
        <v>1648</v>
      </c>
      <c r="H9" s="704" t="s">
        <v>1649</v>
      </c>
      <c r="I9" s="238">
        <v>1.23</v>
      </c>
      <c r="J9" s="238">
        <v>700</v>
      </c>
      <c r="K9" s="712">
        <v>861</v>
      </c>
    </row>
    <row r="10" spans="1:11" ht="14.4" customHeight="1" x14ac:dyDescent="0.3">
      <c r="A10" s="679" t="s">
        <v>507</v>
      </c>
      <c r="B10" s="670" t="s">
        <v>509</v>
      </c>
      <c r="C10" s="704" t="s">
        <v>523</v>
      </c>
      <c r="D10" s="722" t="s">
        <v>524</v>
      </c>
      <c r="E10" s="704" t="s">
        <v>1616</v>
      </c>
      <c r="F10" s="722" t="s">
        <v>1617</v>
      </c>
      <c r="G10" s="704" t="s">
        <v>1650</v>
      </c>
      <c r="H10" s="704" t="s">
        <v>1651</v>
      </c>
      <c r="I10" s="238">
        <v>7.49</v>
      </c>
      <c r="J10" s="238">
        <v>12</v>
      </c>
      <c r="K10" s="712">
        <v>89.88</v>
      </c>
    </row>
    <row r="11" spans="1:11" ht="14.4" customHeight="1" x14ac:dyDescent="0.3">
      <c r="A11" s="679" t="s">
        <v>507</v>
      </c>
      <c r="B11" s="670" t="s">
        <v>509</v>
      </c>
      <c r="C11" s="704" t="s">
        <v>523</v>
      </c>
      <c r="D11" s="722" t="s">
        <v>524</v>
      </c>
      <c r="E11" s="704" t="s">
        <v>1616</v>
      </c>
      <c r="F11" s="722" t="s">
        <v>1617</v>
      </c>
      <c r="G11" s="704" t="s">
        <v>1652</v>
      </c>
      <c r="H11" s="704" t="s">
        <v>1653</v>
      </c>
      <c r="I11" s="238">
        <v>1.52</v>
      </c>
      <c r="J11" s="238">
        <v>50</v>
      </c>
      <c r="K11" s="712">
        <v>76</v>
      </c>
    </row>
    <row r="12" spans="1:11" ht="14.4" customHeight="1" x14ac:dyDescent="0.3">
      <c r="A12" s="679" t="s">
        <v>507</v>
      </c>
      <c r="B12" s="670" t="s">
        <v>509</v>
      </c>
      <c r="C12" s="704" t="s">
        <v>523</v>
      </c>
      <c r="D12" s="722" t="s">
        <v>524</v>
      </c>
      <c r="E12" s="704" t="s">
        <v>1616</v>
      </c>
      <c r="F12" s="722" t="s">
        <v>1617</v>
      </c>
      <c r="G12" s="704" t="s">
        <v>1654</v>
      </c>
      <c r="H12" s="704" t="s">
        <v>1655</v>
      </c>
      <c r="I12" s="238">
        <v>2.06</v>
      </c>
      <c r="J12" s="238">
        <v>100</v>
      </c>
      <c r="K12" s="712">
        <v>206</v>
      </c>
    </row>
    <row r="13" spans="1:11" ht="14.4" customHeight="1" x14ac:dyDescent="0.3">
      <c r="A13" s="679" t="s">
        <v>507</v>
      </c>
      <c r="B13" s="670" t="s">
        <v>509</v>
      </c>
      <c r="C13" s="704" t="s">
        <v>523</v>
      </c>
      <c r="D13" s="722" t="s">
        <v>524</v>
      </c>
      <c r="E13" s="704" t="s">
        <v>1616</v>
      </c>
      <c r="F13" s="722" t="s">
        <v>1617</v>
      </c>
      <c r="G13" s="704" t="s">
        <v>1656</v>
      </c>
      <c r="H13" s="704" t="s">
        <v>1657</v>
      </c>
      <c r="I13" s="238">
        <v>3.36</v>
      </c>
      <c r="J13" s="238">
        <v>50</v>
      </c>
      <c r="K13" s="712">
        <v>168</v>
      </c>
    </row>
    <row r="14" spans="1:11" ht="14.4" customHeight="1" x14ac:dyDescent="0.3">
      <c r="A14" s="679" t="s">
        <v>507</v>
      </c>
      <c r="B14" s="670" t="s">
        <v>509</v>
      </c>
      <c r="C14" s="704" t="s">
        <v>523</v>
      </c>
      <c r="D14" s="722" t="s">
        <v>524</v>
      </c>
      <c r="E14" s="704" t="s">
        <v>1618</v>
      </c>
      <c r="F14" s="722" t="s">
        <v>1619</v>
      </c>
      <c r="G14" s="704" t="s">
        <v>1658</v>
      </c>
      <c r="H14" s="704" t="s">
        <v>1659</v>
      </c>
      <c r="I14" s="238">
        <v>2.75</v>
      </c>
      <c r="J14" s="238">
        <v>100</v>
      </c>
      <c r="K14" s="712">
        <v>275</v>
      </c>
    </row>
    <row r="15" spans="1:11" ht="14.4" customHeight="1" x14ac:dyDescent="0.3">
      <c r="A15" s="679" t="s">
        <v>507</v>
      </c>
      <c r="B15" s="670" t="s">
        <v>509</v>
      </c>
      <c r="C15" s="704" t="s">
        <v>523</v>
      </c>
      <c r="D15" s="722" t="s">
        <v>524</v>
      </c>
      <c r="E15" s="704" t="s">
        <v>1618</v>
      </c>
      <c r="F15" s="722" t="s">
        <v>1619</v>
      </c>
      <c r="G15" s="704" t="s">
        <v>1660</v>
      </c>
      <c r="H15" s="704" t="s">
        <v>1661</v>
      </c>
      <c r="I15" s="238">
        <v>0.42</v>
      </c>
      <c r="J15" s="238">
        <v>600</v>
      </c>
      <c r="K15" s="712">
        <v>252</v>
      </c>
    </row>
    <row r="16" spans="1:11" ht="14.4" customHeight="1" x14ac:dyDescent="0.3">
      <c r="A16" s="679" t="s">
        <v>507</v>
      </c>
      <c r="B16" s="670" t="s">
        <v>509</v>
      </c>
      <c r="C16" s="704" t="s">
        <v>523</v>
      </c>
      <c r="D16" s="722" t="s">
        <v>524</v>
      </c>
      <c r="E16" s="704" t="s">
        <v>1618</v>
      </c>
      <c r="F16" s="722" t="s">
        <v>1619</v>
      </c>
      <c r="G16" s="704" t="s">
        <v>1662</v>
      </c>
      <c r="H16" s="704" t="s">
        <v>1663</v>
      </c>
      <c r="I16" s="238">
        <v>5.57</v>
      </c>
      <c r="J16" s="238">
        <v>40</v>
      </c>
      <c r="K16" s="712">
        <v>222.8</v>
      </c>
    </row>
    <row r="17" spans="1:11" ht="14.4" customHeight="1" x14ac:dyDescent="0.3">
      <c r="A17" s="679" t="s">
        <v>507</v>
      </c>
      <c r="B17" s="670" t="s">
        <v>509</v>
      </c>
      <c r="C17" s="704" t="s">
        <v>523</v>
      </c>
      <c r="D17" s="722" t="s">
        <v>524</v>
      </c>
      <c r="E17" s="704" t="s">
        <v>1618</v>
      </c>
      <c r="F17" s="722" t="s">
        <v>1619</v>
      </c>
      <c r="G17" s="704" t="s">
        <v>1664</v>
      </c>
      <c r="H17" s="704" t="s">
        <v>1665</v>
      </c>
      <c r="I17" s="238">
        <v>1.8</v>
      </c>
      <c r="J17" s="238">
        <v>50</v>
      </c>
      <c r="K17" s="712">
        <v>90</v>
      </c>
    </row>
    <row r="18" spans="1:11" ht="14.4" customHeight="1" x14ac:dyDescent="0.3">
      <c r="A18" s="679" t="s">
        <v>507</v>
      </c>
      <c r="B18" s="670" t="s">
        <v>509</v>
      </c>
      <c r="C18" s="704" t="s">
        <v>523</v>
      </c>
      <c r="D18" s="722" t="s">
        <v>524</v>
      </c>
      <c r="E18" s="704" t="s">
        <v>1618</v>
      </c>
      <c r="F18" s="722" t="s">
        <v>1619</v>
      </c>
      <c r="G18" s="704" t="s">
        <v>1666</v>
      </c>
      <c r="H18" s="704" t="s">
        <v>1667</v>
      </c>
      <c r="I18" s="238">
        <v>1.75</v>
      </c>
      <c r="J18" s="238">
        <v>100</v>
      </c>
      <c r="K18" s="712">
        <v>175</v>
      </c>
    </row>
    <row r="19" spans="1:11" ht="14.4" customHeight="1" x14ac:dyDescent="0.3">
      <c r="A19" s="679" t="s">
        <v>507</v>
      </c>
      <c r="B19" s="670" t="s">
        <v>509</v>
      </c>
      <c r="C19" s="704" t="s">
        <v>523</v>
      </c>
      <c r="D19" s="722" t="s">
        <v>524</v>
      </c>
      <c r="E19" s="704" t="s">
        <v>1618</v>
      </c>
      <c r="F19" s="722" t="s">
        <v>1619</v>
      </c>
      <c r="G19" s="704" t="s">
        <v>1668</v>
      </c>
      <c r="H19" s="704" t="s">
        <v>1669</v>
      </c>
      <c r="I19" s="238">
        <v>0.01</v>
      </c>
      <c r="J19" s="238">
        <v>50</v>
      </c>
      <c r="K19" s="712">
        <v>0.5</v>
      </c>
    </row>
    <row r="20" spans="1:11" ht="14.4" customHeight="1" x14ac:dyDescent="0.3">
      <c r="A20" s="679" t="s">
        <v>507</v>
      </c>
      <c r="B20" s="670" t="s">
        <v>509</v>
      </c>
      <c r="C20" s="704" t="s">
        <v>523</v>
      </c>
      <c r="D20" s="722" t="s">
        <v>524</v>
      </c>
      <c r="E20" s="704" t="s">
        <v>1618</v>
      </c>
      <c r="F20" s="722" t="s">
        <v>1619</v>
      </c>
      <c r="G20" s="704" t="s">
        <v>1670</v>
      </c>
      <c r="H20" s="704" t="s">
        <v>1671</v>
      </c>
      <c r="I20" s="238">
        <v>2</v>
      </c>
      <c r="J20" s="238">
        <v>50</v>
      </c>
      <c r="K20" s="712">
        <v>100</v>
      </c>
    </row>
    <row r="21" spans="1:11" ht="14.4" customHeight="1" x14ac:dyDescent="0.3">
      <c r="A21" s="679" t="s">
        <v>507</v>
      </c>
      <c r="B21" s="670" t="s">
        <v>509</v>
      </c>
      <c r="C21" s="704" t="s">
        <v>523</v>
      </c>
      <c r="D21" s="722" t="s">
        <v>524</v>
      </c>
      <c r="E21" s="704" t="s">
        <v>1618</v>
      </c>
      <c r="F21" s="722" t="s">
        <v>1619</v>
      </c>
      <c r="G21" s="704" t="s">
        <v>1672</v>
      </c>
      <c r="H21" s="704" t="s">
        <v>1673</v>
      </c>
      <c r="I21" s="238">
        <v>2.41</v>
      </c>
      <c r="J21" s="238">
        <v>50</v>
      </c>
      <c r="K21" s="712">
        <v>120.5</v>
      </c>
    </row>
    <row r="22" spans="1:11" ht="14.4" customHeight="1" x14ac:dyDescent="0.3">
      <c r="A22" s="679" t="s">
        <v>507</v>
      </c>
      <c r="B22" s="670" t="s">
        <v>509</v>
      </c>
      <c r="C22" s="704" t="s">
        <v>523</v>
      </c>
      <c r="D22" s="722" t="s">
        <v>524</v>
      </c>
      <c r="E22" s="704" t="s">
        <v>1618</v>
      </c>
      <c r="F22" s="722" t="s">
        <v>1619</v>
      </c>
      <c r="G22" s="704" t="s">
        <v>1674</v>
      </c>
      <c r="H22" s="704" t="s">
        <v>1675</v>
      </c>
      <c r="I22" s="238">
        <v>2.1800000000000002</v>
      </c>
      <c r="J22" s="238">
        <v>100</v>
      </c>
      <c r="K22" s="712">
        <v>218</v>
      </c>
    </row>
    <row r="23" spans="1:11" ht="14.4" customHeight="1" x14ac:dyDescent="0.3">
      <c r="A23" s="679" t="s">
        <v>507</v>
      </c>
      <c r="B23" s="670" t="s">
        <v>509</v>
      </c>
      <c r="C23" s="704" t="s">
        <v>523</v>
      </c>
      <c r="D23" s="722" t="s">
        <v>524</v>
      </c>
      <c r="E23" s="704" t="s">
        <v>1618</v>
      </c>
      <c r="F23" s="722" t="s">
        <v>1619</v>
      </c>
      <c r="G23" s="704" t="s">
        <v>1676</v>
      </c>
      <c r="H23" s="704" t="s">
        <v>1677</v>
      </c>
      <c r="I23" s="238">
        <v>176.03</v>
      </c>
      <c r="J23" s="238">
        <v>1</v>
      </c>
      <c r="K23" s="712">
        <v>176.03</v>
      </c>
    </row>
    <row r="24" spans="1:11" ht="14.4" customHeight="1" x14ac:dyDescent="0.3">
      <c r="A24" s="679" t="s">
        <v>507</v>
      </c>
      <c r="B24" s="670" t="s">
        <v>509</v>
      </c>
      <c r="C24" s="704" t="s">
        <v>523</v>
      </c>
      <c r="D24" s="722" t="s">
        <v>524</v>
      </c>
      <c r="E24" s="704" t="s">
        <v>1618</v>
      </c>
      <c r="F24" s="722" t="s">
        <v>1619</v>
      </c>
      <c r="G24" s="704" t="s">
        <v>1678</v>
      </c>
      <c r="H24" s="704" t="s">
        <v>1679</v>
      </c>
      <c r="I24" s="238">
        <v>5.13</v>
      </c>
      <c r="J24" s="238">
        <v>50</v>
      </c>
      <c r="K24" s="712">
        <v>256.5</v>
      </c>
    </row>
    <row r="25" spans="1:11" ht="14.4" customHeight="1" x14ac:dyDescent="0.3">
      <c r="A25" s="679" t="s">
        <v>507</v>
      </c>
      <c r="B25" s="670" t="s">
        <v>509</v>
      </c>
      <c r="C25" s="704" t="s">
        <v>523</v>
      </c>
      <c r="D25" s="722" t="s">
        <v>524</v>
      </c>
      <c r="E25" s="704" t="s">
        <v>1618</v>
      </c>
      <c r="F25" s="722" t="s">
        <v>1619</v>
      </c>
      <c r="G25" s="704" t="s">
        <v>1680</v>
      </c>
      <c r="H25" s="704" t="s">
        <v>1681</v>
      </c>
      <c r="I25" s="238">
        <v>17.98</v>
      </c>
      <c r="J25" s="238">
        <v>50</v>
      </c>
      <c r="K25" s="712">
        <v>899</v>
      </c>
    </row>
    <row r="26" spans="1:11" ht="14.4" customHeight="1" x14ac:dyDescent="0.3">
      <c r="A26" s="679" t="s">
        <v>507</v>
      </c>
      <c r="B26" s="670" t="s">
        <v>509</v>
      </c>
      <c r="C26" s="704" t="s">
        <v>523</v>
      </c>
      <c r="D26" s="722" t="s">
        <v>524</v>
      </c>
      <c r="E26" s="704" t="s">
        <v>1618</v>
      </c>
      <c r="F26" s="722" t="s">
        <v>1619</v>
      </c>
      <c r="G26" s="704" t="s">
        <v>1682</v>
      </c>
      <c r="H26" s="704" t="s">
        <v>1683</v>
      </c>
      <c r="I26" s="238">
        <v>12.1</v>
      </c>
      <c r="J26" s="238">
        <v>5</v>
      </c>
      <c r="K26" s="712">
        <v>60.5</v>
      </c>
    </row>
    <row r="27" spans="1:11" ht="14.4" customHeight="1" x14ac:dyDescent="0.3">
      <c r="A27" s="679" t="s">
        <v>507</v>
      </c>
      <c r="B27" s="670" t="s">
        <v>509</v>
      </c>
      <c r="C27" s="704" t="s">
        <v>523</v>
      </c>
      <c r="D27" s="722" t="s">
        <v>524</v>
      </c>
      <c r="E27" s="704" t="s">
        <v>1618</v>
      </c>
      <c r="F27" s="722" t="s">
        <v>1619</v>
      </c>
      <c r="G27" s="704" t="s">
        <v>1684</v>
      </c>
      <c r="H27" s="704" t="s">
        <v>1685</v>
      </c>
      <c r="I27" s="238">
        <v>13.2</v>
      </c>
      <c r="J27" s="238">
        <v>20</v>
      </c>
      <c r="K27" s="712">
        <v>264</v>
      </c>
    </row>
    <row r="28" spans="1:11" ht="14.4" customHeight="1" x14ac:dyDescent="0.3">
      <c r="A28" s="679" t="s">
        <v>507</v>
      </c>
      <c r="B28" s="670" t="s">
        <v>509</v>
      </c>
      <c r="C28" s="704" t="s">
        <v>523</v>
      </c>
      <c r="D28" s="722" t="s">
        <v>524</v>
      </c>
      <c r="E28" s="704" t="s">
        <v>1618</v>
      </c>
      <c r="F28" s="722" t="s">
        <v>1619</v>
      </c>
      <c r="G28" s="704" t="s">
        <v>1686</v>
      </c>
      <c r="H28" s="704" t="s">
        <v>1687</v>
      </c>
      <c r="I28" s="238">
        <v>13.2</v>
      </c>
      <c r="J28" s="238">
        <v>10</v>
      </c>
      <c r="K28" s="712">
        <v>132</v>
      </c>
    </row>
    <row r="29" spans="1:11" ht="14.4" customHeight="1" x14ac:dyDescent="0.3">
      <c r="A29" s="679" t="s">
        <v>507</v>
      </c>
      <c r="B29" s="670" t="s">
        <v>509</v>
      </c>
      <c r="C29" s="704" t="s">
        <v>523</v>
      </c>
      <c r="D29" s="722" t="s">
        <v>524</v>
      </c>
      <c r="E29" s="704" t="s">
        <v>1618</v>
      </c>
      <c r="F29" s="722" t="s">
        <v>1619</v>
      </c>
      <c r="G29" s="704" t="s">
        <v>1688</v>
      </c>
      <c r="H29" s="704" t="s">
        <v>1689</v>
      </c>
      <c r="I29" s="238">
        <v>1.56</v>
      </c>
      <c r="J29" s="238">
        <v>75</v>
      </c>
      <c r="K29" s="712">
        <v>117</v>
      </c>
    </row>
    <row r="30" spans="1:11" ht="14.4" customHeight="1" x14ac:dyDescent="0.3">
      <c r="A30" s="679" t="s">
        <v>507</v>
      </c>
      <c r="B30" s="670" t="s">
        <v>509</v>
      </c>
      <c r="C30" s="704" t="s">
        <v>523</v>
      </c>
      <c r="D30" s="722" t="s">
        <v>524</v>
      </c>
      <c r="E30" s="704" t="s">
        <v>1618</v>
      </c>
      <c r="F30" s="722" t="s">
        <v>1619</v>
      </c>
      <c r="G30" s="704" t="s">
        <v>1690</v>
      </c>
      <c r="H30" s="704" t="s">
        <v>1691</v>
      </c>
      <c r="I30" s="238">
        <v>21.23</v>
      </c>
      <c r="J30" s="238">
        <v>5</v>
      </c>
      <c r="K30" s="712">
        <v>106.15</v>
      </c>
    </row>
    <row r="31" spans="1:11" ht="14.4" customHeight="1" x14ac:dyDescent="0.3">
      <c r="A31" s="679" t="s">
        <v>507</v>
      </c>
      <c r="B31" s="670" t="s">
        <v>509</v>
      </c>
      <c r="C31" s="704" t="s">
        <v>523</v>
      </c>
      <c r="D31" s="722" t="s">
        <v>524</v>
      </c>
      <c r="E31" s="704" t="s">
        <v>1618</v>
      </c>
      <c r="F31" s="722" t="s">
        <v>1619</v>
      </c>
      <c r="G31" s="704" t="s">
        <v>1692</v>
      </c>
      <c r="H31" s="704" t="s">
        <v>1693</v>
      </c>
      <c r="I31" s="238">
        <v>21.23</v>
      </c>
      <c r="J31" s="238">
        <v>6</v>
      </c>
      <c r="K31" s="712">
        <v>127.38</v>
      </c>
    </row>
    <row r="32" spans="1:11" ht="14.4" customHeight="1" x14ac:dyDescent="0.3">
      <c r="A32" s="679" t="s">
        <v>507</v>
      </c>
      <c r="B32" s="670" t="s">
        <v>509</v>
      </c>
      <c r="C32" s="704" t="s">
        <v>523</v>
      </c>
      <c r="D32" s="722" t="s">
        <v>524</v>
      </c>
      <c r="E32" s="704" t="s">
        <v>1618</v>
      </c>
      <c r="F32" s="722" t="s">
        <v>1619</v>
      </c>
      <c r="G32" s="704" t="s">
        <v>1694</v>
      </c>
      <c r="H32" s="704" t="s">
        <v>1695</v>
      </c>
      <c r="I32" s="238">
        <v>9.5399999999999991</v>
      </c>
      <c r="J32" s="238">
        <v>10</v>
      </c>
      <c r="K32" s="712">
        <v>95.4</v>
      </c>
    </row>
    <row r="33" spans="1:11" ht="14.4" customHeight="1" x14ac:dyDescent="0.3">
      <c r="A33" s="679" t="s">
        <v>507</v>
      </c>
      <c r="B33" s="670" t="s">
        <v>509</v>
      </c>
      <c r="C33" s="704" t="s">
        <v>523</v>
      </c>
      <c r="D33" s="722" t="s">
        <v>524</v>
      </c>
      <c r="E33" s="704" t="s">
        <v>1618</v>
      </c>
      <c r="F33" s="722" t="s">
        <v>1619</v>
      </c>
      <c r="G33" s="704" t="s">
        <v>1696</v>
      </c>
      <c r="H33" s="704" t="s">
        <v>1697</v>
      </c>
      <c r="I33" s="238">
        <v>5.0199999999999996</v>
      </c>
      <c r="J33" s="238">
        <v>50</v>
      </c>
      <c r="K33" s="712">
        <v>251.08</v>
      </c>
    </row>
    <row r="34" spans="1:11" ht="14.4" customHeight="1" x14ac:dyDescent="0.3">
      <c r="A34" s="679" t="s">
        <v>507</v>
      </c>
      <c r="B34" s="670" t="s">
        <v>509</v>
      </c>
      <c r="C34" s="704" t="s">
        <v>523</v>
      </c>
      <c r="D34" s="722" t="s">
        <v>524</v>
      </c>
      <c r="E34" s="704" t="s">
        <v>1618</v>
      </c>
      <c r="F34" s="722" t="s">
        <v>1619</v>
      </c>
      <c r="G34" s="704" t="s">
        <v>1698</v>
      </c>
      <c r="H34" s="704" t="s">
        <v>1699</v>
      </c>
      <c r="I34" s="238">
        <v>9.1999999999999993</v>
      </c>
      <c r="J34" s="238">
        <v>150</v>
      </c>
      <c r="K34" s="712">
        <v>1380</v>
      </c>
    </row>
    <row r="35" spans="1:11" ht="14.4" customHeight="1" x14ac:dyDescent="0.3">
      <c r="A35" s="679" t="s">
        <v>507</v>
      </c>
      <c r="B35" s="670" t="s">
        <v>509</v>
      </c>
      <c r="C35" s="704" t="s">
        <v>523</v>
      </c>
      <c r="D35" s="722" t="s">
        <v>524</v>
      </c>
      <c r="E35" s="704" t="s">
        <v>1620</v>
      </c>
      <c r="F35" s="722" t="s">
        <v>1621</v>
      </c>
      <c r="G35" s="704" t="s">
        <v>1700</v>
      </c>
      <c r="H35" s="704" t="s">
        <v>1701</v>
      </c>
      <c r="I35" s="238">
        <v>8.5</v>
      </c>
      <c r="J35" s="238">
        <v>5</v>
      </c>
      <c r="K35" s="712">
        <v>42.5</v>
      </c>
    </row>
    <row r="36" spans="1:11" ht="14.4" customHeight="1" x14ac:dyDescent="0.3">
      <c r="A36" s="679" t="s">
        <v>507</v>
      </c>
      <c r="B36" s="670" t="s">
        <v>509</v>
      </c>
      <c r="C36" s="704" t="s">
        <v>523</v>
      </c>
      <c r="D36" s="722" t="s">
        <v>524</v>
      </c>
      <c r="E36" s="704" t="s">
        <v>1636</v>
      </c>
      <c r="F36" s="722" t="s">
        <v>1637</v>
      </c>
      <c r="G36" s="704" t="s">
        <v>1702</v>
      </c>
      <c r="H36" s="704" t="s">
        <v>1703</v>
      </c>
      <c r="I36" s="238">
        <v>0.3</v>
      </c>
      <c r="J36" s="238">
        <v>200</v>
      </c>
      <c r="K36" s="712">
        <v>60</v>
      </c>
    </row>
    <row r="37" spans="1:11" ht="14.4" customHeight="1" x14ac:dyDescent="0.3">
      <c r="A37" s="679" t="s">
        <v>507</v>
      </c>
      <c r="B37" s="670" t="s">
        <v>509</v>
      </c>
      <c r="C37" s="704" t="s">
        <v>523</v>
      </c>
      <c r="D37" s="722" t="s">
        <v>524</v>
      </c>
      <c r="E37" s="704" t="s">
        <v>1636</v>
      </c>
      <c r="F37" s="722" t="s">
        <v>1637</v>
      </c>
      <c r="G37" s="704" t="s">
        <v>1704</v>
      </c>
      <c r="H37" s="704" t="s">
        <v>1705</v>
      </c>
      <c r="I37" s="238">
        <v>0.3</v>
      </c>
      <c r="J37" s="238">
        <v>200</v>
      </c>
      <c r="K37" s="712">
        <v>60</v>
      </c>
    </row>
    <row r="38" spans="1:11" ht="14.4" customHeight="1" x14ac:dyDescent="0.3">
      <c r="A38" s="679" t="s">
        <v>507</v>
      </c>
      <c r="B38" s="670" t="s">
        <v>509</v>
      </c>
      <c r="C38" s="704" t="s">
        <v>523</v>
      </c>
      <c r="D38" s="722" t="s">
        <v>524</v>
      </c>
      <c r="E38" s="704" t="s">
        <v>1636</v>
      </c>
      <c r="F38" s="722" t="s">
        <v>1637</v>
      </c>
      <c r="G38" s="704" t="s">
        <v>1706</v>
      </c>
      <c r="H38" s="704" t="s">
        <v>1707</v>
      </c>
      <c r="I38" s="238">
        <v>0.48</v>
      </c>
      <c r="J38" s="238">
        <v>100</v>
      </c>
      <c r="K38" s="712">
        <v>48</v>
      </c>
    </row>
    <row r="39" spans="1:11" ht="14.4" customHeight="1" x14ac:dyDescent="0.3">
      <c r="A39" s="679" t="s">
        <v>507</v>
      </c>
      <c r="B39" s="670" t="s">
        <v>509</v>
      </c>
      <c r="C39" s="704" t="s">
        <v>523</v>
      </c>
      <c r="D39" s="722" t="s">
        <v>524</v>
      </c>
      <c r="E39" s="704" t="s">
        <v>1638</v>
      </c>
      <c r="F39" s="722" t="s">
        <v>1639</v>
      </c>
      <c r="G39" s="704" t="s">
        <v>1708</v>
      </c>
      <c r="H39" s="704" t="s">
        <v>1709</v>
      </c>
      <c r="I39" s="238">
        <v>0.77</v>
      </c>
      <c r="J39" s="238">
        <v>500</v>
      </c>
      <c r="K39" s="712">
        <v>385</v>
      </c>
    </row>
    <row r="40" spans="1:11" ht="14.4" customHeight="1" x14ac:dyDescent="0.3">
      <c r="A40" s="679" t="s">
        <v>507</v>
      </c>
      <c r="B40" s="670" t="s">
        <v>509</v>
      </c>
      <c r="C40" s="704" t="s">
        <v>523</v>
      </c>
      <c r="D40" s="722" t="s">
        <v>524</v>
      </c>
      <c r="E40" s="704" t="s">
        <v>1638</v>
      </c>
      <c r="F40" s="722" t="s">
        <v>1639</v>
      </c>
      <c r="G40" s="704" t="s">
        <v>1710</v>
      </c>
      <c r="H40" s="704" t="s">
        <v>1711</v>
      </c>
      <c r="I40" s="238">
        <v>0.77</v>
      </c>
      <c r="J40" s="238">
        <v>1100</v>
      </c>
      <c r="K40" s="712">
        <v>847</v>
      </c>
    </row>
    <row r="41" spans="1:11" ht="14.4" customHeight="1" x14ac:dyDescent="0.3">
      <c r="A41" s="679" t="s">
        <v>507</v>
      </c>
      <c r="B41" s="670" t="s">
        <v>509</v>
      </c>
      <c r="C41" s="704" t="s">
        <v>527</v>
      </c>
      <c r="D41" s="722" t="s">
        <v>528</v>
      </c>
      <c r="E41" s="704" t="s">
        <v>1616</v>
      </c>
      <c r="F41" s="722" t="s">
        <v>1617</v>
      </c>
      <c r="G41" s="704" t="s">
        <v>1712</v>
      </c>
      <c r="H41" s="704" t="s">
        <v>1713</v>
      </c>
      <c r="I41" s="238">
        <v>12.074999999999999</v>
      </c>
      <c r="J41" s="238">
        <v>70</v>
      </c>
      <c r="K41" s="712">
        <v>845.3</v>
      </c>
    </row>
    <row r="42" spans="1:11" ht="14.4" customHeight="1" x14ac:dyDescent="0.3">
      <c r="A42" s="679" t="s">
        <v>507</v>
      </c>
      <c r="B42" s="670" t="s">
        <v>509</v>
      </c>
      <c r="C42" s="704" t="s">
        <v>527</v>
      </c>
      <c r="D42" s="722" t="s">
        <v>528</v>
      </c>
      <c r="E42" s="704" t="s">
        <v>1616</v>
      </c>
      <c r="F42" s="722" t="s">
        <v>1617</v>
      </c>
      <c r="G42" s="704" t="s">
        <v>1640</v>
      </c>
      <c r="H42" s="704" t="s">
        <v>1641</v>
      </c>
      <c r="I42" s="238">
        <v>27.37</v>
      </c>
      <c r="J42" s="238">
        <v>10</v>
      </c>
      <c r="K42" s="712">
        <v>273.7</v>
      </c>
    </row>
    <row r="43" spans="1:11" ht="14.4" customHeight="1" x14ac:dyDescent="0.3">
      <c r="A43" s="679" t="s">
        <v>507</v>
      </c>
      <c r="B43" s="670" t="s">
        <v>509</v>
      </c>
      <c r="C43" s="704" t="s">
        <v>527</v>
      </c>
      <c r="D43" s="722" t="s">
        <v>528</v>
      </c>
      <c r="E43" s="704" t="s">
        <v>1616</v>
      </c>
      <c r="F43" s="722" t="s">
        <v>1617</v>
      </c>
      <c r="G43" s="704" t="s">
        <v>1714</v>
      </c>
      <c r="H43" s="704" t="s">
        <v>1715</v>
      </c>
      <c r="I43" s="238">
        <v>30.17</v>
      </c>
      <c r="J43" s="238">
        <v>5</v>
      </c>
      <c r="K43" s="712">
        <v>150.85</v>
      </c>
    </row>
    <row r="44" spans="1:11" ht="14.4" customHeight="1" x14ac:dyDescent="0.3">
      <c r="A44" s="679" t="s">
        <v>507</v>
      </c>
      <c r="B44" s="670" t="s">
        <v>509</v>
      </c>
      <c r="C44" s="704" t="s">
        <v>527</v>
      </c>
      <c r="D44" s="722" t="s">
        <v>528</v>
      </c>
      <c r="E44" s="704" t="s">
        <v>1616</v>
      </c>
      <c r="F44" s="722" t="s">
        <v>1617</v>
      </c>
      <c r="G44" s="704" t="s">
        <v>1716</v>
      </c>
      <c r="H44" s="704" t="s">
        <v>1717</v>
      </c>
      <c r="I44" s="238">
        <v>1.38</v>
      </c>
      <c r="J44" s="238">
        <v>50</v>
      </c>
      <c r="K44" s="712">
        <v>69</v>
      </c>
    </row>
    <row r="45" spans="1:11" ht="14.4" customHeight="1" x14ac:dyDescent="0.3">
      <c r="A45" s="679" t="s">
        <v>507</v>
      </c>
      <c r="B45" s="670" t="s">
        <v>509</v>
      </c>
      <c r="C45" s="704" t="s">
        <v>527</v>
      </c>
      <c r="D45" s="722" t="s">
        <v>528</v>
      </c>
      <c r="E45" s="704" t="s">
        <v>1616</v>
      </c>
      <c r="F45" s="722" t="s">
        <v>1617</v>
      </c>
      <c r="G45" s="704" t="s">
        <v>1718</v>
      </c>
      <c r="H45" s="704" t="s">
        <v>1719</v>
      </c>
      <c r="I45" s="238">
        <v>109.3</v>
      </c>
      <c r="J45" s="238">
        <v>4</v>
      </c>
      <c r="K45" s="712">
        <v>437.2</v>
      </c>
    </row>
    <row r="46" spans="1:11" ht="14.4" customHeight="1" x14ac:dyDescent="0.3">
      <c r="A46" s="679" t="s">
        <v>507</v>
      </c>
      <c r="B46" s="670" t="s">
        <v>509</v>
      </c>
      <c r="C46" s="704" t="s">
        <v>527</v>
      </c>
      <c r="D46" s="722" t="s">
        <v>528</v>
      </c>
      <c r="E46" s="704" t="s">
        <v>1616</v>
      </c>
      <c r="F46" s="722" t="s">
        <v>1617</v>
      </c>
      <c r="G46" s="704" t="s">
        <v>1642</v>
      </c>
      <c r="H46" s="704" t="s">
        <v>1643</v>
      </c>
      <c r="I46" s="238">
        <v>0.6</v>
      </c>
      <c r="J46" s="238">
        <v>500</v>
      </c>
      <c r="K46" s="712">
        <v>300</v>
      </c>
    </row>
    <row r="47" spans="1:11" ht="14.4" customHeight="1" x14ac:dyDescent="0.3">
      <c r="A47" s="679" t="s">
        <v>507</v>
      </c>
      <c r="B47" s="670" t="s">
        <v>509</v>
      </c>
      <c r="C47" s="704" t="s">
        <v>527</v>
      </c>
      <c r="D47" s="722" t="s">
        <v>528</v>
      </c>
      <c r="E47" s="704" t="s">
        <v>1616</v>
      </c>
      <c r="F47" s="722" t="s">
        <v>1617</v>
      </c>
      <c r="G47" s="704" t="s">
        <v>1720</v>
      </c>
      <c r="H47" s="704" t="s">
        <v>1721</v>
      </c>
      <c r="I47" s="238">
        <v>0.44</v>
      </c>
      <c r="J47" s="238">
        <v>1000</v>
      </c>
      <c r="K47" s="712">
        <v>440</v>
      </c>
    </row>
    <row r="48" spans="1:11" ht="14.4" customHeight="1" x14ac:dyDescent="0.3">
      <c r="A48" s="679" t="s">
        <v>507</v>
      </c>
      <c r="B48" s="670" t="s">
        <v>509</v>
      </c>
      <c r="C48" s="704" t="s">
        <v>527</v>
      </c>
      <c r="D48" s="722" t="s">
        <v>528</v>
      </c>
      <c r="E48" s="704" t="s">
        <v>1616</v>
      </c>
      <c r="F48" s="722" t="s">
        <v>1617</v>
      </c>
      <c r="G48" s="704" t="s">
        <v>1644</v>
      </c>
      <c r="H48" s="704" t="s">
        <v>1645</v>
      </c>
      <c r="I48" s="238">
        <v>8.58</v>
      </c>
      <c r="J48" s="238">
        <v>12</v>
      </c>
      <c r="K48" s="712">
        <v>102.96</v>
      </c>
    </row>
    <row r="49" spans="1:11" ht="14.4" customHeight="1" x14ac:dyDescent="0.3">
      <c r="A49" s="679" t="s">
        <v>507</v>
      </c>
      <c r="B49" s="670" t="s">
        <v>509</v>
      </c>
      <c r="C49" s="704" t="s">
        <v>527</v>
      </c>
      <c r="D49" s="722" t="s">
        <v>528</v>
      </c>
      <c r="E49" s="704" t="s">
        <v>1616</v>
      </c>
      <c r="F49" s="722" t="s">
        <v>1617</v>
      </c>
      <c r="G49" s="704" t="s">
        <v>1646</v>
      </c>
      <c r="H49" s="704" t="s">
        <v>1647</v>
      </c>
      <c r="I49" s="238">
        <v>27.94</v>
      </c>
      <c r="J49" s="238">
        <v>4</v>
      </c>
      <c r="K49" s="712">
        <v>111.76</v>
      </c>
    </row>
    <row r="50" spans="1:11" ht="14.4" customHeight="1" x14ac:dyDescent="0.3">
      <c r="A50" s="679" t="s">
        <v>507</v>
      </c>
      <c r="B50" s="670" t="s">
        <v>509</v>
      </c>
      <c r="C50" s="704" t="s">
        <v>527</v>
      </c>
      <c r="D50" s="722" t="s">
        <v>528</v>
      </c>
      <c r="E50" s="704" t="s">
        <v>1616</v>
      </c>
      <c r="F50" s="722" t="s">
        <v>1617</v>
      </c>
      <c r="G50" s="704" t="s">
        <v>1722</v>
      </c>
      <c r="H50" s="704" t="s">
        <v>1723</v>
      </c>
      <c r="I50" s="238">
        <v>0.92</v>
      </c>
      <c r="J50" s="238">
        <v>500</v>
      </c>
      <c r="K50" s="712">
        <v>460</v>
      </c>
    </row>
    <row r="51" spans="1:11" ht="14.4" customHeight="1" x14ac:dyDescent="0.3">
      <c r="A51" s="679" t="s">
        <v>507</v>
      </c>
      <c r="B51" s="670" t="s">
        <v>509</v>
      </c>
      <c r="C51" s="704" t="s">
        <v>527</v>
      </c>
      <c r="D51" s="722" t="s">
        <v>528</v>
      </c>
      <c r="E51" s="704" t="s">
        <v>1616</v>
      </c>
      <c r="F51" s="722" t="s">
        <v>1617</v>
      </c>
      <c r="G51" s="704" t="s">
        <v>1654</v>
      </c>
      <c r="H51" s="704" t="s">
        <v>1655</v>
      </c>
      <c r="I51" s="238">
        <v>2.0699999999999998</v>
      </c>
      <c r="J51" s="238">
        <v>100</v>
      </c>
      <c r="K51" s="712">
        <v>207</v>
      </c>
    </row>
    <row r="52" spans="1:11" ht="14.4" customHeight="1" x14ac:dyDescent="0.3">
      <c r="A52" s="679" t="s">
        <v>507</v>
      </c>
      <c r="B52" s="670" t="s">
        <v>509</v>
      </c>
      <c r="C52" s="704" t="s">
        <v>527</v>
      </c>
      <c r="D52" s="722" t="s">
        <v>528</v>
      </c>
      <c r="E52" s="704" t="s">
        <v>1618</v>
      </c>
      <c r="F52" s="722" t="s">
        <v>1619</v>
      </c>
      <c r="G52" s="704" t="s">
        <v>1724</v>
      </c>
      <c r="H52" s="704" t="s">
        <v>1725</v>
      </c>
      <c r="I52" s="238">
        <v>11.15</v>
      </c>
      <c r="J52" s="238">
        <v>50</v>
      </c>
      <c r="K52" s="712">
        <v>557.5</v>
      </c>
    </row>
    <row r="53" spans="1:11" ht="14.4" customHeight="1" x14ac:dyDescent="0.3">
      <c r="A53" s="679" t="s">
        <v>507</v>
      </c>
      <c r="B53" s="670" t="s">
        <v>509</v>
      </c>
      <c r="C53" s="704" t="s">
        <v>527</v>
      </c>
      <c r="D53" s="722" t="s">
        <v>528</v>
      </c>
      <c r="E53" s="704" t="s">
        <v>1618</v>
      </c>
      <c r="F53" s="722" t="s">
        <v>1619</v>
      </c>
      <c r="G53" s="704" t="s">
        <v>1726</v>
      </c>
      <c r="H53" s="704" t="s">
        <v>1727</v>
      </c>
      <c r="I53" s="238">
        <v>2.1800000000000002</v>
      </c>
      <c r="J53" s="238">
        <v>200</v>
      </c>
      <c r="K53" s="712">
        <v>435.48</v>
      </c>
    </row>
    <row r="54" spans="1:11" ht="14.4" customHeight="1" x14ac:dyDescent="0.3">
      <c r="A54" s="679" t="s">
        <v>507</v>
      </c>
      <c r="B54" s="670" t="s">
        <v>509</v>
      </c>
      <c r="C54" s="704" t="s">
        <v>527</v>
      </c>
      <c r="D54" s="722" t="s">
        <v>528</v>
      </c>
      <c r="E54" s="704" t="s">
        <v>1618</v>
      </c>
      <c r="F54" s="722" t="s">
        <v>1619</v>
      </c>
      <c r="G54" s="704" t="s">
        <v>1728</v>
      </c>
      <c r="H54" s="704" t="s">
        <v>1729</v>
      </c>
      <c r="I54" s="238">
        <v>17.97</v>
      </c>
      <c r="J54" s="238">
        <v>25</v>
      </c>
      <c r="K54" s="712">
        <v>449.25</v>
      </c>
    </row>
    <row r="55" spans="1:11" ht="14.4" customHeight="1" x14ac:dyDescent="0.3">
      <c r="A55" s="679" t="s">
        <v>507</v>
      </c>
      <c r="B55" s="670" t="s">
        <v>509</v>
      </c>
      <c r="C55" s="704" t="s">
        <v>527</v>
      </c>
      <c r="D55" s="722" t="s">
        <v>528</v>
      </c>
      <c r="E55" s="704" t="s">
        <v>1618</v>
      </c>
      <c r="F55" s="722" t="s">
        <v>1619</v>
      </c>
      <c r="G55" s="704" t="s">
        <v>1662</v>
      </c>
      <c r="H55" s="704" t="s">
        <v>1663</v>
      </c>
      <c r="I55" s="238">
        <v>5.57</v>
      </c>
      <c r="J55" s="238">
        <v>60</v>
      </c>
      <c r="K55" s="712">
        <v>334.2</v>
      </c>
    </row>
    <row r="56" spans="1:11" ht="14.4" customHeight="1" x14ac:dyDescent="0.3">
      <c r="A56" s="679" t="s">
        <v>507</v>
      </c>
      <c r="B56" s="670" t="s">
        <v>509</v>
      </c>
      <c r="C56" s="704" t="s">
        <v>527</v>
      </c>
      <c r="D56" s="722" t="s">
        <v>528</v>
      </c>
      <c r="E56" s="704" t="s">
        <v>1618</v>
      </c>
      <c r="F56" s="722" t="s">
        <v>1619</v>
      </c>
      <c r="G56" s="704" t="s">
        <v>1730</v>
      </c>
      <c r="H56" s="704" t="s">
        <v>1731</v>
      </c>
      <c r="I56" s="238">
        <v>1.78</v>
      </c>
      <c r="J56" s="238">
        <v>50</v>
      </c>
      <c r="K56" s="712">
        <v>89</v>
      </c>
    </row>
    <row r="57" spans="1:11" ht="14.4" customHeight="1" x14ac:dyDescent="0.3">
      <c r="A57" s="679" t="s">
        <v>507</v>
      </c>
      <c r="B57" s="670" t="s">
        <v>509</v>
      </c>
      <c r="C57" s="704" t="s">
        <v>527</v>
      </c>
      <c r="D57" s="722" t="s">
        <v>528</v>
      </c>
      <c r="E57" s="704" t="s">
        <v>1618</v>
      </c>
      <c r="F57" s="722" t="s">
        <v>1619</v>
      </c>
      <c r="G57" s="704" t="s">
        <v>1664</v>
      </c>
      <c r="H57" s="704" t="s">
        <v>1665</v>
      </c>
      <c r="I57" s="238">
        <v>1.77</v>
      </c>
      <c r="J57" s="238">
        <v>50</v>
      </c>
      <c r="K57" s="712">
        <v>88.5</v>
      </c>
    </row>
    <row r="58" spans="1:11" ht="14.4" customHeight="1" x14ac:dyDescent="0.3">
      <c r="A58" s="679" t="s">
        <v>507</v>
      </c>
      <c r="B58" s="670" t="s">
        <v>509</v>
      </c>
      <c r="C58" s="704" t="s">
        <v>527</v>
      </c>
      <c r="D58" s="722" t="s">
        <v>528</v>
      </c>
      <c r="E58" s="704" t="s">
        <v>1618</v>
      </c>
      <c r="F58" s="722" t="s">
        <v>1619</v>
      </c>
      <c r="G58" s="704" t="s">
        <v>1732</v>
      </c>
      <c r="H58" s="704" t="s">
        <v>1733</v>
      </c>
      <c r="I58" s="238">
        <v>2.81</v>
      </c>
      <c r="J58" s="238">
        <v>100</v>
      </c>
      <c r="K58" s="712">
        <v>281</v>
      </c>
    </row>
    <row r="59" spans="1:11" ht="14.4" customHeight="1" x14ac:dyDescent="0.3">
      <c r="A59" s="679" t="s">
        <v>507</v>
      </c>
      <c r="B59" s="670" t="s">
        <v>509</v>
      </c>
      <c r="C59" s="704" t="s">
        <v>527</v>
      </c>
      <c r="D59" s="722" t="s">
        <v>528</v>
      </c>
      <c r="E59" s="704" t="s">
        <v>1618</v>
      </c>
      <c r="F59" s="722" t="s">
        <v>1619</v>
      </c>
      <c r="G59" s="704" t="s">
        <v>1674</v>
      </c>
      <c r="H59" s="704" t="s">
        <v>1675</v>
      </c>
      <c r="I59" s="238">
        <v>2.1800000000000002</v>
      </c>
      <c r="J59" s="238">
        <v>200</v>
      </c>
      <c r="K59" s="712">
        <v>436</v>
      </c>
    </row>
    <row r="60" spans="1:11" ht="14.4" customHeight="1" x14ac:dyDescent="0.3">
      <c r="A60" s="679" t="s">
        <v>507</v>
      </c>
      <c r="B60" s="670" t="s">
        <v>509</v>
      </c>
      <c r="C60" s="704" t="s">
        <v>527</v>
      </c>
      <c r="D60" s="722" t="s">
        <v>528</v>
      </c>
      <c r="E60" s="704" t="s">
        <v>1618</v>
      </c>
      <c r="F60" s="722" t="s">
        <v>1619</v>
      </c>
      <c r="G60" s="704" t="s">
        <v>1678</v>
      </c>
      <c r="H60" s="704" t="s">
        <v>1679</v>
      </c>
      <c r="I60" s="238">
        <v>5.13</v>
      </c>
      <c r="J60" s="238">
        <v>80</v>
      </c>
      <c r="K60" s="712">
        <v>410.4</v>
      </c>
    </row>
    <row r="61" spans="1:11" ht="14.4" customHeight="1" x14ac:dyDescent="0.3">
      <c r="A61" s="679" t="s">
        <v>507</v>
      </c>
      <c r="B61" s="670" t="s">
        <v>509</v>
      </c>
      <c r="C61" s="704" t="s">
        <v>527</v>
      </c>
      <c r="D61" s="722" t="s">
        <v>528</v>
      </c>
      <c r="E61" s="704" t="s">
        <v>1618</v>
      </c>
      <c r="F61" s="722" t="s">
        <v>1619</v>
      </c>
      <c r="G61" s="704" t="s">
        <v>1734</v>
      </c>
      <c r="H61" s="704" t="s">
        <v>1735</v>
      </c>
      <c r="I61" s="238">
        <v>17.98</v>
      </c>
      <c r="J61" s="238">
        <v>50</v>
      </c>
      <c r="K61" s="712">
        <v>899</v>
      </c>
    </row>
    <row r="62" spans="1:11" ht="14.4" customHeight="1" x14ac:dyDescent="0.3">
      <c r="A62" s="679" t="s">
        <v>507</v>
      </c>
      <c r="B62" s="670" t="s">
        <v>509</v>
      </c>
      <c r="C62" s="704" t="s">
        <v>527</v>
      </c>
      <c r="D62" s="722" t="s">
        <v>528</v>
      </c>
      <c r="E62" s="704" t="s">
        <v>1618</v>
      </c>
      <c r="F62" s="722" t="s">
        <v>1619</v>
      </c>
      <c r="G62" s="704" t="s">
        <v>1680</v>
      </c>
      <c r="H62" s="704" t="s">
        <v>1681</v>
      </c>
      <c r="I62" s="238">
        <v>17.98</v>
      </c>
      <c r="J62" s="238">
        <v>50</v>
      </c>
      <c r="K62" s="712">
        <v>899</v>
      </c>
    </row>
    <row r="63" spans="1:11" ht="14.4" customHeight="1" x14ac:dyDescent="0.3">
      <c r="A63" s="679" t="s">
        <v>507</v>
      </c>
      <c r="B63" s="670" t="s">
        <v>509</v>
      </c>
      <c r="C63" s="704" t="s">
        <v>527</v>
      </c>
      <c r="D63" s="722" t="s">
        <v>528</v>
      </c>
      <c r="E63" s="704" t="s">
        <v>1618</v>
      </c>
      <c r="F63" s="722" t="s">
        <v>1619</v>
      </c>
      <c r="G63" s="704" t="s">
        <v>1736</v>
      </c>
      <c r="H63" s="704" t="s">
        <v>1737</v>
      </c>
      <c r="I63" s="238">
        <v>15</v>
      </c>
      <c r="J63" s="238">
        <v>10</v>
      </c>
      <c r="K63" s="712">
        <v>150</v>
      </c>
    </row>
    <row r="64" spans="1:11" ht="14.4" customHeight="1" x14ac:dyDescent="0.3">
      <c r="A64" s="679" t="s">
        <v>507</v>
      </c>
      <c r="B64" s="670" t="s">
        <v>509</v>
      </c>
      <c r="C64" s="704" t="s">
        <v>527</v>
      </c>
      <c r="D64" s="722" t="s">
        <v>528</v>
      </c>
      <c r="E64" s="704" t="s">
        <v>1618</v>
      </c>
      <c r="F64" s="722" t="s">
        <v>1619</v>
      </c>
      <c r="G64" s="704" t="s">
        <v>1738</v>
      </c>
      <c r="H64" s="704" t="s">
        <v>1739</v>
      </c>
      <c r="I64" s="238">
        <v>5.21</v>
      </c>
      <c r="J64" s="238">
        <v>25</v>
      </c>
      <c r="K64" s="712">
        <v>130.25</v>
      </c>
    </row>
    <row r="65" spans="1:11" ht="14.4" customHeight="1" x14ac:dyDescent="0.3">
      <c r="A65" s="679" t="s">
        <v>507</v>
      </c>
      <c r="B65" s="670" t="s">
        <v>509</v>
      </c>
      <c r="C65" s="704" t="s">
        <v>527</v>
      </c>
      <c r="D65" s="722" t="s">
        <v>528</v>
      </c>
      <c r="E65" s="704" t="s">
        <v>1618</v>
      </c>
      <c r="F65" s="722" t="s">
        <v>1619</v>
      </c>
      <c r="G65" s="704" t="s">
        <v>1686</v>
      </c>
      <c r="H65" s="704" t="s">
        <v>1687</v>
      </c>
      <c r="I65" s="238">
        <v>13.2</v>
      </c>
      <c r="J65" s="238">
        <v>20</v>
      </c>
      <c r="K65" s="712">
        <v>264</v>
      </c>
    </row>
    <row r="66" spans="1:11" ht="14.4" customHeight="1" x14ac:dyDescent="0.3">
      <c r="A66" s="679" t="s">
        <v>507</v>
      </c>
      <c r="B66" s="670" t="s">
        <v>509</v>
      </c>
      <c r="C66" s="704" t="s">
        <v>527</v>
      </c>
      <c r="D66" s="722" t="s">
        <v>528</v>
      </c>
      <c r="E66" s="704" t="s">
        <v>1618</v>
      </c>
      <c r="F66" s="722" t="s">
        <v>1619</v>
      </c>
      <c r="G66" s="704" t="s">
        <v>1688</v>
      </c>
      <c r="H66" s="704" t="s">
        <v>1689</v>
      </c>
      <c r="I66" s="238">
        <v>1.56</v>
      </c>
      <c r="J66" s="238">
        <v>75</v>
      </c>
      <c r="K66" s="712">
        <v>117</v>
      </c>
    </row>
    <row r="67" spans="1:11" ht="14.4" customHeight="1" x14ac:dyDescent="0.3">
      <c r="A67" s="679" t="s">
        <v>507</v>
      </c>
      <c r="B67" s="670" t="s">
        <v>509</v>
      </c>
      <c r="C67" s="704" t="s">
        <v>527</v>
      </c>
      <c r="D67" s="722" t="s">
        <v>528</v>
      </c>
      <c r="E67" s="704" t="s">
        <v>1618</v>
      </c>
      <c r="F67" s="722" t="s">
        <v>1619</v>
      </c>
      <c r="G67" s="704" t="s">
        <v>1690</v>
      </c>
      <c r="H67" s="704" t="s">
        <v>1691</v>
      </c>
      <c r="I67" s="238">
        <v>21.23</v>
      </c>
      <c r="J67" s="238">
        <v>6</v>
      </c>
      <c r="K67" s="712">
        <v>127.38</v>
      </c>
    </row>
    <row r="68" spans="1:11" ht="14.4" customHeight="1" x14ac:dyDescent="0.3">
      <c r="A68" s="679" t="s">
        <v>507</v>
      </c>
      <c r="B68" s="670" t="s">
        <v>509</v>
      </c>
      <c r="C68" s="704" t="s">
        <v>527</v>
      </c>
      <c r="D68" s="722" t="s">
        <v>528</v>
      </c>
      <c r="E68" s="704" t="s">
        <v>1618</v>
      </c>
      <c r="F68" s="722" t="s">
        <v>1619</v>
      </c>
      <c r="G68" s="704" t="s">
        <v>1740</v>
      </c>
      <c r="H68" s="704" t="s">
        <v>1741</v>
      </c>
      <c r="I68" s="238">
        <v>0.47</v>
      </c>
      <c r="J68" s="238">
        <v>100</v>
      </c>
      <c r="K68" s="712">
        <v>47</v>
      </c>
    </row>
    <row r="69" spans="1:11" ht="14.4" customHeight="1" x14ac:dyDescent="0.3">
      <c r="A69" s="679" t="s">
        <v>507</v>
      </c>
      <c r="B69" s="670" t="s">
        <v>509</v>
      </c>
      <c r="C69" s="704" t="s">
        <v>527</v>
      </c>
      <c r="D69" s="722" t="s">
        <v>528</v>
      </c>
      <c r="E69" s="704" t="s">
        <v>1618</v>
      </c>
      <c r="F69" s="722" t="s">
        <v>1619</v>
      </c>
      <c r="G69" s="704" t="s">
        <v>1698</v>
      </c>
      <c r="H69" s="704" t="s">
        <v>1699</v>
      </c>
      <c r="I69" s="238">
        <v>9.1999999999999993</v>
      </c>
      <c r="J69" s="238">
        <v>200</v>
      </c>
      <c r="K69" s="712">
        <v>1840</v>
      </c>
    </row>
    <row r="70" spans="1:11" ht="14.4" customHeight="1" x14ac:dyDescent="0.3">
      <c r="A70" s="679" t="s">
        <v>507</v>
      </c>
      <c r="B70" s="670" t="s">
        <v>509</v>
      </c>
      <c r="C70" s="704" t="s">
        <v>527</v>
      </c>
      <c r="D70" s="722" t="s">
        <v>528</v>
      </c>
      <c r="E70" s="704" t="s">
        <v>1618</v>
      </c>
      <c r="F70" s="722" t="s">
        <v>1619</v>
      </c>
      <c r="G70" s="704" t="s">
        <v>1742</v>
      </c>
      <c r="H70" s="704" t="s">
        <v>1743</v>
      </c>
      <c r="I70" s="238">
        <v>172.5</v>
      </c>
      <c r="J70" s="238">
        <v>1</v>
      </c>
      <c r="K70" s="712">
        <v>172.5</v>
      </c>
    </row>
    <row r="71" spans="1:11" ht="14.4" customHeight="1" x14ac:dyDescent="0.3">
      <c r="A71" s="679" t="s">
        <v>507</v>
      </c>
      <c r="B71" s="670" t="s">
        <v>509</v>
      </c>
      <c r="C71" s="704" t="s">
        <v>527</v>
      </c>
      <c r="D71" s="722" t="s">
        <v>528</v>
      </c>
      <c r="E71" s="704" t="s">
        <v>1618</v>
      </c>
      <c r="F71" s="722" t="s">
        <v>1619</v>
      </c>
      <c r="G71" s="704" t="s">
        <v>1744</v>
      </c>
      <c r="H71" s="704" t="s">
        <v>1745</v>
      </c>
      <c r="I71" s="238">
        <v>9.68</v>
      </c>
      <c r="J71" s="238">
        <v>100</v>
      </c>
      <c r="K71" s="712">
        <v>968</v>
      </c>
    </row>
    <row r="72" spans="1:11" ht="14.4" customHeight="1" x14ac:dyDescent="0.3">
      <c r="A72" s="679" t="s">
        <v>507</v>
      </c>
      <c r="B72" s="670" t="s">
        <v>509</v>
      </c>
      <c r="C72" s="704" t="s">
        <v>527</v>
      </c>
      <c r="D72" s="722" t="s">
        <v>528</v>
      </c>
      <c r="E72" s="704" t="s">
        <v>1618</v>
      </c>
      <c r="F72" s="722" t="s">
        <v>1619</v>
      </c>
      <c r="G72" s="704" t="s">
        <v>1746</v>
      </c>
      <c r="H72" s="704" t="s">
        <v>1747</v>
      </c>
      <c r="I72" s="238">
        <v>272.25</v>
      </c>
      <c r="J72" s="238">
        <v>1</v>
      </c>
      <c r="K72" s="712">
        <v>272.25</v>
      </c>
    </row>
    <row r="73" spans="1:11" ht="14.4" customHeight="1" x14ac:dyDescent="0.3">
      <c r="A73" s="679" t="s">
        <v>507</v>
      </c>
      <c r="B73" s="670" t="s">
        <v>509</v>
      </c>
      <c r="C73" s="704" t="s">
        <v>527</v>
      </c>
      <c r="D73" s="722" t="s">
        <v>528</v>
      </c>
      <c r="E73" s="704" t="s">
        <v>1620</v>
      </c>
      <c r="F73" s="722" t="s">
        <v>1621</v>
      </c>
      <c r="G73" s="704" t="s">
        <v>1700</v>
      </c>
      <c r="H73" s="704" t="s">
        <v>1701</v>
      </c>
      <c r="I73" s="238">
        <v>8.5</v>
      </c>
      <c r="J73" s="238">
        <v>10</v>
      </c>
      <c r="K73" s="712">
        <v>85</v>
      </c>
    </row>
    <row r="74" spans="1:11" ht="14.4" customHeight="1" x14ac:dyDescent="0.3">
      <c r="A74" s="679" t="s">
        <v>507</v>
      </c>
      <c r="B74" s="670" t="s">
        <v>509</v>
      </c>
      <c r="C74" s="704" t="s">
        <v>527</v>
      </c>
      <c r="D74" s="722" t="s">
        <v>528</v>
      </c>
      <c r="E74" s="704" t="s">
        <v>1636</v>
      </c>
      <c r="F74" s="722" t="s">
        <v>1637</v>
      </c>
      <c r="G74" s="704" t="s">
        <v>1702</v>
      </c>
      <c r="H74" s="704" t="s">
        <v>1703</v>
      </c>
      <c r="I74" s="238">
        <v>0.3</v>
      </c>
      <c r="J74" s="238">
        <v>300</v>
      </c>
      <c r="K74" s="712">
        <v>90</v>
      </c>
    </row>
    <row r="75" spans="1:11" ht="14.4" customHeight="1" x14ac:dyDescent="0.3">
      <c r="A75" s="679" t="s">
        <v>507</v>
      </c>
      <c r="B75" s="670" t="s">
        <v>509</v>
      </c>
      <c r="C75" s="704" t="s">
        <v>527</v>
      </c>
      <c r="D75" s="722" t="s">
        <v>528</v>
      </c>
      <c r="E75" s="704" t="s">
        <v>1636</v>
      </c>
      <c r="F75" s="722" t="s">
        <v>1637</v>
      </c>
      <c r="G75" s="704" t="s">
        <v>1704</v>
      </c>
      <c r="H75" s="704" t="s">
        <v>1705</v>
      </c>
      <c r="I75" s="238">
        <v>0.3</v>
      </c>
      <c r="J75" s="238">
        <v>100</v>
      </c>
      <c r="K75" s="712">
        <v>30</v>
      </c>
    </row>
    <row r="76" spans="1:11" ht="14.4" customHeight="1" x14ac:dyDescent="0.3">
      <c r="A76" s="679" t="s">
        <v>507</v>
      </c>
      <c r="B76" s="670" t="s">
        <v>509</v>
      </c>
      <c r="C76" s="704" t="s">
        <v>527</v>
      </c>
      <c r="D76" s="722" t="s">
        <v>528</v>
      </c>
      <c r="E76" s="704" t="s">
        <v>1636</v>
      </c>
      <c r="F76" s="722" t="s">
        <v>1637</v>
      </c>
      <c r="G76" s="704" t="s">
        <v>1748</v>
      </c>
      <c r="H76" s="704" t="s">
        <v>1749</v>
      </c>
      <c r="I76" s="238">
        <v>0.3</v>
      </c>
      <c r="J76" s="238">
        <v>300</v>
      </c>
      <c r="K76" s="712">
        <v>90</v>
      </c>
    </row>
    <row r="77" spans="1:11" ht="14.4" customHeight="1" x14ac:dyDescent="0.3">
      <c r="A77" s="679" t="s">
        <v>507</v>
      </c>
      <c r="B77" s="670" t="s">
        <v>509</v>
      </c>
      <c r="C77" s="704" t="s">
        <v>527</v>
      </c>
      <c r="D77" s="722" t="s">
        <v>528</v>
      </c>
      <c r="E77" s="704" t="s">
        <v>1638</v>
      </c>
      <c r="F77" s="722" t="s">
        <v>1639</v>
      </c>
      <c r="G77" s="704" t="s">
        <v>1710</v>
      </c>
      <c r="H77" s="704" t="s">
        <v>1711</v>
      </c>
      <c r="I77" s="238">
        <v>0.77</v>
      </c>
      <c r="J77" s="238">
        <v>1500</v>
      </c>
      <c r="K77" s="712">
        <v>1155</v>
      </c>
    </row>
    <row r="78" spans="1:11" ht="14.4" customHeight="1" x14ac:dyDescent="0.3">
      <c r="A78" s="679" t="s">
        <v>507</v>
      </c>
      <c r="B78" s="670" t="s">
        <v>509</v>
      </c>
      <c r="C78" s="704" t="s">
        <v>529</v>
      </c>
      <c r="D78" s="722" t="s">
        <v>530</v>
      </c>
      <c r="E78" s="704" t="s">
        <v>1616</v>
      </c>
      <c r="F78" s="722" t="s">
        <v>1617</v>
      </c>
      <c r="G78" s="704" t="s">
        <v>1640</v>
      </c>
      <c r="H78" s="704" t="s">
        <v>1641</v>
      </c>
      <c r="I78" s="238">
        <v>27.37</v>
      </c>
      <c r="J78" s="238">
        <v>2</v>
      </c>
      <c r="K78" s="712">
        <v>54.74</v>
      </c>
    </row>
    <row r="79" spans="1:11" ht="14.4" customHeight="1" x14ac:dyDescent="0.3">
      <c r="A79" s="679" t="s">
        <v>507</v>
      </c>
      <c r="B79" s="670" t="s">
        <v>509</v>
      </c>
      <c r="C79" s="704" t="s">
        <v>529</v>
      </c>
      <c r="D79" s="722" t="s">
        <v>530</v>
      </c>
      <c r="E79" s="704" t="s">
        <v>1616</v>
      </c>
      <c r="F79" s="722" t="s">
        <v>1617</v>
      </c>
      <c r="G79" s="704" t="s">
        <v>1750</v>
      </c>
      <c r="H79" s="704" t="s">
        <v>1751</v>
      </c>
      <c r="I79" s="238">
        <v>2.4700000000000002</v>
      </c>
      <c r="J79" s="238">
        <v>100</v>
      </c>
      <c r="K79" s="712">
        <v>247</v>
      </c>
    </row>
    <row r="80" spans="1:11" ht="14.4" customHeight="1" x14ac:dyDescent="0.3">
      <c r="A80" s="679" t="s">
        <v>507</v>
      </c>
      <c r="B80" s="670" t="s">
        <v>509</v>
      </c>
      <c r="C80" s="704" t="s">
        <v>529</v>
      </c>
      <c r="D80" s="722" t="s">
        <v>530</v>
      </c>
      <c r="E80" s="704" t="s">
        <v>1616</v>
      </c>
      <c r="F80" s="722" t="s">
        <v>1617</v>
      </c>
      <c r="G80" s="704" t="s">
        <v>1752</v>
      </c>
      <c r="H80" s="704" t="s">
        <v>1753</v>
      </c>
      <c r="I80" s="238">
        <v>22.15</v>
      </c>
      <c r="J80" s="238">
        <v>2</v>
      </c>
      <c r="K80" s="712">
        <v>44.3</v>
      </c>
    </row>
    <row r="81" spans="1:11" ht="14.4" customHeight="1" x14ac:dyDescent="0.3">
      <c r="A81" s="679" t="s">
        <v>507</v>
      </c>
      <c r="B81" s="670" t="s">
        <v>509</v>
      </c>
      <c r="C81" s="704" t="s">
        <v>529</v>
      </c>
      <c r="D81" s="722" t="s">
        <v>530</v>
      </c>
      <c r="E81" s="704" t="s">
        <v>1616</v>
      </c>
      <c r="F81" s="722" t="s">
        <v>1617</v>
      </c>
      <c r="G81" s="704" t="s">
        <v>1642</v>
      </c>
      <c r="H81" s="704" t="s">
        <v>1643</v>
      </c>
      <c r="I81" s="238">
        <v>0.6</v>
      </c>
      <c r="J81" s="238">
        <v>60</v>
      </c>
      <c r="K81" s="712">
        <v>36</v>
      </c>
    </row>
    <row r="82" spans="1:11" ht="14.4" customHeight="1" x14ac:dyDescent="0.3">
      <c r="A82" s="679" t="s">
        <v>507</v>
      </c>
      <c r="B82" s="670" t="s">
        <v>509</v>
      </c>
      <c r="C82" s="704" t="s">
        <v>529</v>
      </c>
      <c r="D82" s="722" t="s">
        <v>530</v>
      </c>
      <c r="E82" s="704" t="s">
        <v>1616</v>
      </c>
      <c r="F82" s="722" t="s">
        <v>1617</v>
      </c>
      <c r="G82" s="704" t="s">
        <v>1754</v>
      </c>
      <c r="H82" s="704" t="s">
        <v>1755</v>
      </c>
      <c r="I82" s="238">
        <v>1.59</v>
      </c>
      <c r="J82" s="238">
        <v>90</v>
      </c>
      <c r="K82" s="712">
        <v>143.1</v>
      </c>
    </row>
    <row r="83" spans="1:11" ht="14.4" customHeight="1" x14ac:dyDescent="0.3">
      <c r="A83" s="679" t="s">
        <v>507</v>
      </c>
      <c r="B83" s="670" t="s">
        <v>509</v>
      </c>
      <c r="C83" s="704" t="s">
        <v>529</v>
      </c>
      <c r="D83" s="722" t="s">
        <v>530</v>
      </c>
      <c r="E83" s="704" t="s">
        <v>1618</v>
      </c>
      <c r="F83" s="722" t="s">
        <v>1619</v>
      </c>
      <c r="G83" s="704" t="s">
        <v>1730</v>
      </c>
      <c r="H83" s="704" t="s">
        <v>1731</v>
      </c>
      <c r="I83" s="238">
        <v>1.78</v>
      </c>
      <c r="J83" s="238">
        <v>10</v>
      </c>
      <c r="K83" s="712">
        <v>17.8</v>
      </c>
    </row>
    <row r="84" spans="1:11" ht="14.4" customHeight="1" x14ac:dyDescent="0.3">
      <c r="A84" s="679" t="s">
        <v>507</v>
      </c>
      <c r="B84" s="670" t="s">
        <v>509</v>
      </c>
      <c r="C84" s="704" t="s">
        <v>529</v>
      </c>
      <c r="D84" s="722" t="s">
        <v>530</v>
      </c>
      <c r="E84" s="704" t="s">
        <v>1618</v>
      </c>
      <c r="F84" s="722" t="s">
        <v>1619</v>
      </c>
      <c r="G84" s="704" t="s">
        <v>1756</v>
      </c>
      <c r="H84" s="704" t="s">
        <v>1757</v>
      </c>
      <c r="I84" s="238">
        <v>1.76</v>
      </c>
      <c r="J84" s="238">
        <v>20</v>
      </c>
      <c r="K84" s="712">
        <v>35.200000000000003</v>
      </c>
    </row>
    <row r="85" spans="1:11" ht="14.4" customHeight="1" x14ac:dyDescent="0.3">
      <c r="A85" s="679" t="s">
        <v>507</v>
      </c>
      <c r="B85" s="670" t="s">
        <v>509</v>
      </c>
      <c r="C85" s="704" t="s">
        <v>529</v>
      </c>
      <c r="D85" s="722" t="s">
        <v>530</v>
      </c>
      <c r="E85" s="704" t="s">
        <v>1618</v>
      </c>
      <c r="F85" s="722" t="s">
        <v>1619</v>
      </c>
      <c r="G85" s="704" t="s">
        <v>1666</v>
      </c>
      <c r="H85" s="704" t="s">
        <v>1667</v>
      </c>
      <c r="I85" s="238">
        <v>1.75</v>
      </c>
      <c r="J85" s="238">
        <v>20</v>
      </c>
      <c r="K85" s="712">
        <v>35</v>
      </c>
    </row>
    <row r="86" spans="1:11" ht="14.4" customHeight="1" x14ac:dyDescent="0.3">
      <c r="A86" s="679" t="s">
        <v>507</v>
      </c>
      <c r="B86" s="670" t="s">
        <v>509</v>
      </c>
      <c r="C86" s="704" t="s">
        <v>529</v>
      </c>
      <c r="D86" s="722" t="s">
        <v>530</v>
      </c>
      <c r="E86" s="704" t="s">
        <v>1618</v>
      </c>
      <c r="F86" s="722" t="s">
        <v>1619</v>
      </c>
      <c r="G86" s="704" t="s">
        <v>1668</v>
      </c>
      <c r="H86" s="704" t="s">
        <v>1669</v>
      </c>
      <c r="I86" s="238">
        <v>0.01</v>
      </c>
      <c r="J86" s="238">
        <v>100</v>
      </c>
      <c r="K86" s="712">
        <v>1</v>
      </c>
    </row>
    <row r="87" spans="1:11" ht="14.4" customHeight="1" x14ac:dyDescent="0.3">
      <c r="A87" s="679" t="s">
        <v>507</v>
      </c>
      <c r="B87" s="670" t="s">
        <v>509</v>
      </c>
      <c r="C87" s="704" t="s">
        <v>529</v>
      </c>
      <c r="D87" s="722" t="s">
        <v>530</v>
      </c>
      <c r="E87" s="704" t="s">
        <v>1618</v>
      </c>
      <c r="F87" s="722" t="s">
        <v>1619</v>
      </c>
      <c r="G87" s="704" t="s">
        <v>1732</v>
      </c>
      <c r="H87" s="704" t="s">
        <v>1733</v>
      </c>
      <c r="I87" s="238">
        <v>2.8</v>
      </c>
      <c r="J87" s="238">
        <v>10</v>
      </c>
      <c r="K87" s="712">
        <v>28</v>
      </c>
    </row>
    <row r="88" spans="1:11" ht="14.4" customHeight="1" x14ac:dyDescent="0.3">
      <c r="A88" s="679" t="s">
        <v>507</v>
      </c>
      <c r="B88" s="670" t="s">
        <v>509</v>
      </c>
      <c r="C88" s="704" t="s">
        <v>529</v>
      </c>
      <c r="D88" s="722" t="s">
        <v>530</v>
      </c>
      <c r="E88" s="704" t="s">
        <v>1618</v>
      </c>
      <c r="F88" s="722" t="s">
        <v>1619</v>
      </c>
      <c r="G88" s="704" t="s">
        <v>1758</v>
      </c>
      <c r="H88" s="704" t="s">
        <v>1759</v>
      </c>
      <c r="I88" s="238">
        <v>3.15</v>
      </c>
      <c r="J88" s="238">
        <v>3</v>
      </c>
      <c r="K88" s="712">
        <v>9.4499999999999993</v>
      </c>
    </row>
    <row r="89" spans="1:11" ht="14.4" customHeight="1" x14ac:dyDescent="0.3">
      <c r="A89" s="679" t="s">
        <v>507</v>
      </c>
      <c r="B89" s="670" t="s">
        <v>509</v>
      </c>
      <c r="C89" s="704" t="s">
        <v>529</v>
      </c>
      <c r="D89" s="722" t="s">
        <v>530</v>
      </c>
      <c r="E89" s="704" t="s">
        <v>1618</v>
      </c>
      <c r="F89" s="722" t="s">
        <v>1619</v>
      </c>
      <c r="G89" s="704" t="s">
        <v>1760</v>
      </c>
      <c r="H89" s="704" t="s">
        <v>1761</v>
      </c>
      <c r="I89" s="238">
        <v>2.85</v>
      </c>
      <c r="J89" s="238">
        <v>20</v>
      </c>
      <c r="K89" s="712">
        <v>57</v>
      </c>
    </row>
    <row r="90" spans="1:11" ht="14.4" customHeight="1" x14ac:dyDescent="0.3">
      <c r="A90" s="679" t="s">
        <v>507</v>
      </c>
      <c r="B90" s="670" t="s">
        <v>509</v>
      </c>
      <c r="C90" s="704" t="s">
        <v>529</v>
      </c>
      <c r="D90" s="722" t="s">
        <v>530</v>
      </c>
      <c r="E90" s="704" t="s">
        <v>1636</v>
      </c>
      <c r="F90" s="722" t="s">
        <v>1637</v>
      </c>
      <c r="G90" s="704" t="s">
        <v>1702</v>
      </c>
      <c r="H90" s="704" t="s">
        <v>1703</v>
      </c>
      <c r="I90" s="238">
        <v>0.31</v>
      </c>
      <c r="J90" s="238">
        <v>100</v>
      </c>
      <c r="K90" s="712">
        <v>31</v>
      </c>
    </row>
    <row r="91" spans="1:11" ht="14.4" customHeight="1" x14ac:dyDescent="0.3">
      <c r="A91" s="679" t="s">
        <v>507</v>
      </c>
      <c r="B91" s="670" t="s">
        <v>509</v>
      </c>
      <c r="C91" s="704" t="s">
        <v>531</v>
      </c>
      <c r="D91" s="722" t="s">
        <v>532</v>
      </c>
      <c r="E91" s="704" t="s">
        <v>1616</v>
      </c>
      <c r="F91" s="722" t="s">
        <v>1617</v>
      </c>
      <c r="G91" s="704" t="s">
        <v>1762</v>
      </c>
      <c r="H91" s="704" t="s">
        <v>1763</v>
      </c>
      <c r="I91" s="238">
        <v>9.3000000000000007</v>
      </c>
      <c r="J91" s="238">
        <v>100</v>
      </c>
      <c r="K91" s="712">
        <v>929.96</v>
      </c>
    </row>
    <row r="92" spans="1:11" ht="14.4" customHeight="1" x14ac:dyDescent="0.3">
      <c r="A92" s="679" t="s">
        <v>507</v>
      </c>
      <c r="B92" s="670" t="s">
        <v>509</v>
      </c>
      <c r="C92" s="704" t="s">
        <v>531</v>
      </c>
      <c r="D92" s="722" t="s">
        <v>532</v>
      </c>
      <c r="E92" s="704" t="s">
        <v>1616</v>
      </c>
      <c r="F92" s="722" t="s">
        <v>1617</v>
      </c>
      <c r="G92" s="704" t="s">
        <v>1712</v>
      </c>
      <c r="H92" s="704" t="s">
        <v>1713</v>
      </c>
      <c r="I92" s="238">
        <v>12.074999999999999</v>
      </c>
      <c r="J92" s="238">
        <v>120</v>
      </c>
      <c r="K92" s="712">
        <v>1449</v>
      </c>
    </row>
    <row r="93" spans="1:11" ht="14.4" customHeight="1" x14ac:dyDescent="0.3">
      <c r="A93" s="679" t="s">
        <v>507</v>
      </c>
      <c r="B93" s="670" t="s">
        <v>509</v>
      </c>
      <c r="C93" s="704" t="s">
        <v>531</v>
      </c>
      <c r="D93" s="722" t="s">
        <v>532</v>
      </c>
      <c r="E93" s="704" t="s">
        <v>1616</v>
      </c>
      <c r="F93" s="722" t="s">
        <v>1617</v>
      </c>
      <c r="G93" s="704" t="s">
        <v>1764</v>
      </c>
      <c r="H93" s="704" t="s">
        <v>1765</v>
      </c>
      <c r="I93" s="238">
        <v>14.21</v>
      </c>
      <c r="J93" s="238">
        <v>80</v>
      </c>
      <c r="K93" s="712">
        <v>1136.8</v>
      </c>
    </row>
    <row r="94" spans="1:11" ht="14.4" customHeight="1" x14ac:dyDescent="0.3">
      <c r="A94" s="679" t="s">
        <v>507</v>
      </c>
      <c r="B94" s="670" t="s">
        <v>509</v>
      </c>
      <c r="C94" s="704" t="s">
        <v>531</v>
      </c>
      <c r="D94" s="722" t="s">
        <v>532</v>
      </c>
      <c r="E94" s="704" t="s">
        <v>1616</v>
      </c>
      <c r="F94" s="722" t="s">
        <v>1617</v>
      </c>
      <c r="G94" s="704" t="s">
        <v>1766</v>
      </c>
      <c r="H94" s="704" t="s">
        <v>1767</v>
      </c>
      <c r="I94" s="238">
        <v>0.4</v>
      </c>
      <c r="J94" s="238">
        <v>12000</v>
      </c>
      <c r="K94" s="712">
        <v>4800</v>
      </c>
    </row>
    <row r="95" spans="1:11" ht="14.4" customHeight="1" x14ac:dyDescent="0.3">
      <c r="A95" s="679" t="s">
        <v>507</v>
      </c>
      <c r="B95" s="670" t="s">
        <v>509</v>
      </c>
      <c r="C95" s="704" t="s">
        <v>531</v>
      </c>
      <c r="D95" s="722" t="s">
        <v>532</v>
      </c>
      <c r="E95" s="704" t="s">
        <v>1616</v>
      </c>
      <c r="F95" s="722" t="s">
        <v>1617</v>
      </c>
      <c r="G95" s="704" t="s">
        <v>1640</v>
      </c>
      <c r="H95" s="704" t="s">
        <v>1641</v>
      </c>
      <c r="I95" s="238">
        <v>27.36</v>
      </c>
      <c r="J95" s="238">
        <v>96</v>
      </c>
      <c r="K95" s="712">
        <v>2626.56</v>
      </c>
    </row>
    <row r="96" spans="1:11" ht="14.4" customHeight="1" x14ac:dyDescent="0.3">
      <c r="A96" s="679" t="s">
        <v>507</v>
      </c>
      <c r="B96" s="670" t="s">
        <v>509</v>
      </c>
      <c r="C96" s="704" t="s">
        <v>531</v>
      </c>
      <c r="D96" s="722" t="s">
        <v>532</v>
      </c>
      <c r="E96" s="704" t="s">
        <v>1616</v>
      </c>
      <c r="F96" s="722" t="s">
        <v>1617</v>
      </c>
      <c r="G96" s="704" t="s">
        <v>1716</v>
      </c>
      <c r="H96" s="704" t="s">
        <v>1717</v>
      </c>
      <c r="I96" s="238">
        <v>1.38</v>
      </c>
      <c r="J96" s="238">
        <v>200</v>
      </c>
      <c r="K96" s="712">
        <v>276</v>
      </c>
    </row>
    <row r="97" spans="1:11" ht="14.4" customHeight="1" x14ac:dyDescent="0.3">
      <c r="A97" s="679" t="s">
        <v>507</v>
      </c>
      <c r="B97" s="670" t="s">
        <v>509</v>
      </c>
      <c r="C97" s="704" t="s">
        <v>531</v>
      </c>
      <c r="D97" s="722" t="s">
        <v>532</v>
      </c>
      <c r="E97" s="704" t="s">
        <v>1616</v>
      </c>
      <c r="F97" s="722" t="s">
        <v>1617</v>
      </c>
      <c r="G97" s="704" t="s">
        <v>1768</v>
      </c>
      <c r="H97" s="704" t="s">
        <v>1769</v>
      </c>
      <c r="I97" s="238">
        <v>3.95</v>
      </c>
      <c r="J97" s="238">
        <v>1000</v>
      </c>
      <c r="K97" s="712">
        <v>3947.85</v>
      </c>
    </row>
    <row r="98" spans="1:11" ht="14.4" customHeight="1" x14ac:dyDescent="0.3">
      <c r="A98" s="679" t="s">
        <v>507</v>
      </c>
      <c r="B98" s="670" t="s">
        <v>509</v>
      </c>
      <c r="C98" s="704" t="s">
        <v>531</v>
      </c>
      <c r="D98" s="722" t="s">
        <v>532</v>
      </c>
      <c r="E98" s="704" t="s">
        <v>1616</v>
      </c>
      <c r="F98" s="722" t="s">
        <v>1617</v>
      </c>
      <c r="G98" s="704" t="s">
        <v>1720</v>
      </c>
      <c r="H98" s="704" t="s">
        <v>1721</v>
      </c>
      <c r="I98" s="238">
        <v>0.44</v>
      </c>
      <c r="J98" s="238">
        <v>12000</v>
      </c>
      <c r="K98" s="712">
        <v>5280</v>
      </c>
    </row>
    <row r="99" spans="1:11" ht="14.4" customHeight="1" x14ac:dyDescent="0.3">
      <c r="A99" s="679" t="s">
        <v>507</v>
      </c>
      <c r="B99" s="670" t="s">
        <v>509</v>
      </c>
      <c r="C99" s="704" t="s">
        <v>531</v>
      </c>
      <c r="D99" s="722" t="s">
        <v>532</v>
      </c>
      <c r="E99" s="704" t="s">
        <v>1616</v>
      </c>
      <c r="F99" s="722" t="s">
        <v>1617</v>
      </c>
      <c r="G99" s="704" t="s">
        <v>1644</v>
      </c>
      <c r="H99" s="704" t="s">
        <v>1645</v>
      </c>
      <c r="I99" s="238">
        <v>8.58</v>
      </c>
      <c r="J99" s="238">
        <v>180</v>
      </c>
      <c r="K99" s="712">
        <v>1544.4</v>
      </c>
    </row>
    <row r="100" spans="1:11" ht="14.4" customHeight="1" x14ac:dyDescent="0.3">
      <c r="A100" s="679" t="s">
        <v>507</v>
      </c>
      <c r="B100" s="670" t="s">
        <v>509</v>
      </c>
      <c r="C100" s="704" t="s">
        <v>531</v>
      </c>
      <c r="D100" s="722" t="s">
        <v>532</v>
      </c>
      <c r="E100" s="704" t="s">
        <v>1616</v>
      </c>
      <c r="F100" s="722" t="s">
        <v>1617</v>
      </c>
      <c r="G100" s="704" t="s">
        <v>1770</v>
      </c>
      <c r="H100" s="704" t="s">
        <v>1771</v>
      </c>
      <c r="I100" s="238">
        <v>9.7749999999999986</v>
      </c>
      <c r="J100" s="238">
        <v>100</v>
      </c>
      <c r="K100" s="712">
        <v>977.5</v>
      </c>
    </row>
    <row r="101" spans="1:11" ht="14.4" customHeight="1" x14ac:dyDescent="0.3">
      <c r="A101" s="679" t="s">
        <v>507</v>
      </c>
      <c r="B101" s="670" t="s">
        <v>509</v>
      </c>
      <c r="C101" s="704" t="s">
        <v>531</v>
      </c>
      <c r="D101" s="722" t="s">
        <v>532</v>
      </c>
      <c r="E101" s="704" t="s">
        <v>1616</v>
      </c>
      <c r="F101" s="722" t="s">
        <v>1617</v>
      </c>
      <c r="G101" s="704" t="s">
        <v>1652</v>
      </c>
      <c r="H101" s="704" t="s">
        <v>1653</v>
      </c>
      <c r="I101" s="238">
        <v>1.5150000000000001</v>
      </c>
      <c r="J101" s="238">
        <v>200</v>
      </c>
      <c r="K101" s="712">
        <v>303</v>
      </c>
    </row>
    <row r="102" spans="1:11" ht="14.4" customHeight="1" x14ac:dyDescent="0.3">
      <c r="A102" s="679" t="s">
        <v>507</v>
      </c>
      <c r="B102" s="670" t="s">
        <v>509</v>
      </c>
      <c r="C102" s="704" t="s">
        <v>531</v>
      </c>
      <c r="D102" s="722" t="s">
        <v>532</v>
      </c>
      <c r="E102" s="704" t="s">
        <v>1616</v>
      </c>
      <c r="F102" s="722" t="s">
        <v>1617</v>
      </c>
      <c r="G102" s="704" t="s">
        <v>1654</v>
      </c>
      <c r="H102" s="704" t="s">
        <v>1655</v>
      </c>
      <c r="I102" s="238">
        <v>2.0649999999999999</v>
      </c>
      <c r="J102" s="238">
        <v>200</v>
      </c>
      <c r="K102" s="712">
        <v>413</v>
      </c>
    </row>
    <row r="103" spans="1:11" ht="14.4" customHeight="1" x14ac:dyDescent="0.3">
      <c r="A103" s="679" t="s">
        <v>507</v>
      </c>
      <c r="B103" s="670" t="s">
        <v>509</v>
      </c>
      <c r="C103" s="704" t="s">
        <v>531</v>
      </c>
      <c r="D103" s="722" t="s">
        <v>532</v>
      </c>
      <c r="E103" s="704" t="s">
        <v>1618</v>
      </c>
      <c r="F103" s="722" t="s">
        <v>1619</v>
      </c>
      <c r="G103" s="704" t="s">
        <v>1772</v>
      </c>
      <c r="H103" s="704" t="s">
        <v>1773</v>
      </c>
      <c r="I103" s="238">
        <v>268.62</v>
      </c>
      <c r="J103" s="238">
        <v>60</v>
      </c>
      <c r="K103" s="712">
        <v>16117.199999999999</v>
      </c>
    </row>
    <row r="104" spans="1:11" ht="14.4" customHeight="1" x14ac:dyDescent="0.3">
      <c r="A104" s="679" t="s">
        <v>507</v>
      </c>
      <c r="B104" s="670" t="s">
        <v>509</v>
      </c>
      <c r="C104" s="704" t="s">
        <v>531</v>
      </c>
      <c r="D104" s="722" t="s">
        <v>532</v>
      </c>
      <c r="E104" s="704" t="s">
        <v>1618</v>
      </c>
      <c r="F104" s="722" t="s">
        <v>1619</v>
      </c>
      <c r="G104" s="704" t="s">
        <v>1774</v>
      </c>
      <c r="H104" s="704" t="s">
        <v>1775</v>
      </c>
      <c r="I104" s="238">
        <v>15.925000000000001</v>
      </c>
      <c r="J104" s="238">
        <v>200</v>
      </c>
      <c r="K104" s="712">
        <v>3185</v>
      </c>
    </row>
    <row r="105" spans="1:11" ht="14.4" customHeight="1" x14ac:dyDescent="0.3">
      <c r="A105" s="679" t="s">
        <v>507</v>
      </c>
      <c r="B105" s="670" t="s">
        <v>509</v>
      </c>
      <c r="C105" s="704" t="s">
        <v>531</v>
      </c>
      <c r="D105" s="722" t="s">
        <v>532</v>
      </c>
      <c r="E105" s="704" t="s">
        <v>1618</v>
      </c>
      <c r="F105" s="722" t="s">
        <v>1619</v>
      </c>
      <c r="G105" s="704" t="s">
        <v>1776</v>
      </c>
      <c r="H105" s="704" t="s">
        <v>1777</v>
      </c>
      <c r="I105" s="238">
        <v>7.43</v>
      </c>
      <c r="J105" s="238">
        <v>800</v>
      </c>
      <c r="K105" s="712">
        <v>5944</v>
      </c>
    </row>
    <row r="106" spans="1:11" ht="14.4" customHeight="1" x14ac:dyDescent="0.3">
      <c r="A106" s="679" t="s">
        <v>507</v>
      </c>
      <c r="B106" s="670" t="s">
        <v>509</v>
      </c>
      <c r="C106" s="704" t="s">
        <v>531</v>
      </c>
      <c r="D106" s="722" t="s">
        <v>532</v>
      </c>
      <c r="E106" s="704" t="s">
        <v>1618</v>
      </c>
      <c r="F106" s="722" t="s">
        <v>1619</v>
      </c>
      <c r="G106" s="704" t="s">
        <v>1778</v>
      </c>
      <c r="H106" s="704" t="s">
        <v>1779</v>
      </c>
      <c r="I106" s="238">
        <v>0.93</v>
      </c>
      <c r="J106" s="238">
        <v>1000</v>
      </c>
      <c r="K106" s="712">
        <v>930</v>
      </c>
    </row>
    <row r="107" spans="1:11" ht="14.4" customHeight="1" x14ac:dyDescent="0.3">
      <c r="A107" s="679" t="s">
        <v>507</v>
      </c>
      <c r="B107" s="670" t="s">
        <v>509</v>
      </c>
      <c r="C107" s="704" t="s">
        <v>531</v>
      </c>
      <c r="D107" s="722" t="s">
        <v>532</v>
      </c>
      <c r="E107" s="704" t="s">
        <v>1618</v>
      </c>
      <c r="F107" s="722" t="s">
        <v>1619</v>
      </c>
      <c r="G107" s="704" t="s">
        <v>1780</v>
      </c>
      <c r="H107" s="704" t="s">
        <v>1781</v>
      </c>
      <c r="I107" s="238">
        <v>1.4350000000000001</v>
      </c>
      <c r="J107" s="238">
        <v>1000</v>
      </c>
      <c r="K107" s="712">
        <v>1435</v>
      </c>
    </row>
    <row r="108" spans="1:11" ht="14.4" customHeight="1" x14ac:dyDescent="0.3">
      <c r="A108" s="679" t="s">
        <v>507</v>
      </c>
      <c r="B108" s="670" t="s">
        <v>509</v>
      </c>
      <c r="C108" s="704" t="s">
        <v>531</v>
      </c>
      <c r="D108" s="722" t="s">
        <v>532</v>
      </c>
      <c r="E108" s="704" t="s">
        <v>1618</v>
      </c>
      <c r="F108" s="722" t="s">
        <v>1619</v>
      </c>
      <c r="G108" s="704" t="s">
        <v>1660</v>
      </c>
      <c r="H108" s="704" t="s">
        <v>1661</v>
      </c>
      <c r="I108" s="238">
        <v>0.42</v>
      </c>
      <c r="J108" s="238">
        <v>900</v>
      </c>
      <c r="K108" s="712">
        <v>378</v>
      </c>
    </row>
    <row r="109" spans="1:11" ht="14.4" customHeight="1" x14ac:dyDescent="0.3">
      <c r="A109" s="679" t="s">
        <v>507</v>
      </c>
      <c r="B109" s="670" t="s">
        <v>509</v>
      </c>
      <c r="C109" s="704" t="s">
        <v>531</v>
      </c>
      <c r="D109" s="722" t="s">
        <v>532</v>
      </c>
      <c r="E109" s="704" t="s">
        <v>1618</v>
      </c>
      <c r="F109" s="722" t="s">
        <v>1619</v>
      </c>
      <c r="G109" s="704" t="s">
        <v>1782</v>
      </c>
      <c r="H109" s="704" t="s">
        <v>1783</v>
      </c>
      <c r="I109" s="238">
        <v>0.57499999999999996</v>
      </c>
      <c r="J109" s="238">
        <v>900</v>
      </c>
      <c r="K109" s="712">
        <v>517</v>
      </c>
    </row>
    <row r="110" spans="1:11" ht="14.4" customHeight="1" x14ac:dyDescent="0.3">
      <c r="A110" s="679" t="s">
        <v>507</v>
      </c>
      <c r="B110" s="670" t="s">
        <v>509</v>
      </c>
      <c r="C110" s="704" t="s">
        <v>531</v>
      </c>
      <c r="D110" s="722" t="s">
        <v>532</v>
      </c>
      <c r="E110" s="704" t="s">
        <v>1618</v>
      </c>
      <c r="F110" s="722" t="s">
        <v>1619</v>
      </c>
      <c r="G110" s="704" t="s">
        <v>1784</v>
      </c>
      <c r="H110" s="704" t="s">
        <v>1785</v>
      </c>
      <c r="I110" s="238">
        <v>185.76</v>
      </c>
      <c r="J110" s="238">
        <v>100</v>
      </c>
      <c r="K110" s="712">
        <v>18575.919999999998</v>
      </c>
    </row>
    <row r="111" spans="1:11" ht="14.4" customHeight="1" x14ac:dyDescent="0.3">
      <c r="A111" s="679" t="s">
        <v>507</v>
      </c>
      <c r="B111" s="670" t="s">
        <v>509</v>
      </c>
      <c r="C111" s="704" t="s">
        <v>531</v>
      </c>
      <c r="D111" s="722" t="s">
        <v>532</v>
      </c>
      <c r="E111" s="704" t="s">
        <v>1618</v>
      </c>
      <c r="F111" s="722" t="s">
        <v>1619</v>
      </c>
      <c r="G111" s="704" t="s">
        <v>1726</v>
      </c>
      <c r="H111" s="704" t="s">
        <v>1727</v>
      </c>
      <c r="I111" s="238">
        <v>2.1800000000000002</v>
      </c>
      <c r="J111" s="238">
        <v>500</v>
      </c>
      <c r="K111" s="712">
        <v>1090</v>
      </c>
    </row>
    <row r="112" spans="1:11" ht="14.4" customHeight="1" x14ac:dyDescent="0.3">
      <c r="A112" s="679" t="s">
        <v>507</v>
      </c>
      <c r="B112" s="670" t="s">
        <v>509</v>
      </c>
      <c r="C112" s="704" t="s">
        <v>531</v>
      </c>
      <c r="D112" s="722" t="s">
        <v>532</v>
      </c>
      <c r="E112" s="704" t="s">
        <v>1618</v>
      </c>
      <c r="F112" s="722" t="s">
        <v>1619</v>
      </c>
      <c r="G112" s="704" t="s">
        <v>1786</v>
      </c>
      <c r="H112" s="704" t="s">
        <v>1787</v>
      </c>
      <c r="I112" s="238">
        <v>80.58</v>
      </c>
      <c r="J112" s="238">
        <v>160</v>
      </c>
      <c r="K112" s="712">
        <v>12892.8</v>
      </c>
    </row>
    <row r="113" spans="1:11" ht="14.4" customHeight="1" x14ac:dyDescent="0.3">
      <c r="A113" s="679" t="s">
        <v>507</v>
      </c>
      <c r="B113" s="670" t="s">
        <v>509</v>
      </c>
      <c r="C113" s="704" t="s">
        <v>531</v>
      </c>
      <c r="D113" s="722" t="s">
        <v>532</v>
      </c>
      <c r="E113" s="704" t="s">
        <v>1618</v>
      </c>
      <c r="F113" s="722" t="s">
        <v>1619</v>
      </c>
      <c r="G113" s="704" t="s">
        <v>1662</v>
      </c>
      <c r="H113" s="704" t="s">
        <v>1663</v>
      </c>
      <c r="I113" s="238">
        <v>5.57</v>
      </c>
      <c r="J113" s="238">
        <v>80</v>
      </c>
      <c r="K113" s="712">
        <v>445.6</v>
      </c>
    </row>
    <row r="114" spans="1:11" ht="14.4" customHeight="1" x14ac:dyDescent="0.3">
      <c r="A114" s="679" t="s">
        <v>507</v>
      </c>
      <c r="B114" s="670" t="s">
        <v>509</v>
      </c>
      <c r="C114" s="704" t="s">
        <v>531</v>
      </c>
      <c r="D114" s="722" t="s">
        <v>532</v>
      </c>
      <c r="E114" s="704" t="s">
        <v>1618</v>
      </c>
      <c r="F114" s="722" t="s">
        <v>1619</v>
      </c>
      <c r="G114" s="704" t="s">
        <v>1788</v>
      </c>
      <c r="H114" s="704" t="s">
        <v>1789</v>
      </c>
      <c r="I114" s="238">
        <v>58.08</v>
      </c>
      <c r="J114" s="238">
        <v>80</v>
      </c>
      <c r="K114" s="712">
        <v>4646.3999999999996</v>
      </c>
    </row>
    <row r="115" spans="1:11" ht="14.4" customHeight="1" x14ac:dyDescent="0.3">
      <c r="A115" s="679" t="s">
        <v>507</v>
      </c>
      <c r="B115" s="670" t="s">
        <v>509</v>
      </c>
      <c r="C115" s="704" t="s">
        <v>531</v>
      </c>
      <c r="D115" s="722" t="s">
        <v>532</v>
      </c>
      <c r="E115" s="704" t="s">
        <v>1618</v>
      </c>
      <c r="F115" s="722" t="s">
        <v>1619</v>
      </c>
      <c r="G115" s="704" t="s">
        <v>1790</v>
      </c>
      <c r="H115" s="704" t="s">
        <v>1791</v>
      </c>
      <c r="I115" s="238">
        <v>17.195</v>
      </c>
      <c r="J115" s="238">
        <v>11</v>
      </c>
      <c r="K115" s="712">
        <v>189.19</v>
      </c>
    </row>
    <row r="116" spans="1:11" ht="14.4" customHeight="1" x14ac:dyDescent="0.3">
      <c r="A116" s="679" t="s">
        <v>507</v>
      </c>
      <c r="B116" s="670" t="s">
        <v>509</v>
      </c>
      <c r="C116" s="704" t="s">
        <v>531</v>
      </c>
      <c r="D116" s="722" t="s">
        <v>532</v>
      </c>
      <c r="E116" s="704" t="s">
        <v>1618</v>
      </c>
      <c r="F116" s="722" t="s">
        <v>1619</v>
      </c>
      <c r="G116" s="704" t="s">
        <v>1792</v>
      </c>
      <c r="H116" s="704" t="s">
        <v>1793</v>
      </c>
      <c r="I116" s="238">
        <v>2.78</v>
      </c>
      <c r="J116" s="238">
        <v>600</v>
      </c>
      <c r="K116" s="712">
        <v>1668</v>
      </c>
    </row>
    <row r="117" spans="1:11" ht="14.4" customHeight="1" x14ac:dyDescent="0.3">
      <c r="A117" s="679" t="s">
        <v>507</v>
      </c>
      <c r="B117" s="670" t="s">
        <v>509</v>
      </c>
      <c r="C117" s="704" t="s">
        <v>531</v>
      </c>
      <c r="D117" s="722" t="s">
        <v>532</v>
      </c>
      <c r="E117" s="704" t="s">
        <v>1618</v>
      </c>
      <c r="F117" s="722" t="s">
        <v>1619</v>
      </c>
      <c r="G117" s="704" t="s">
        <v>1794</v>
      </c>
      <c r="H117" s="704" t="s">
        <v>1795</v>
      </c>
      <c r="I117" s="238">
        <v>35.479999999999997</v>
      </c>
      <c r="J117" s="238">
        <v>250</v>
      </c>
      <c r="K117" s="712">
        <v>8869.11</v>
      </c>
    </row>
    <row r="118" spans="1:11" ht="14.4" customHeight="1" x14ac:dyDescent="0.3">
      <c r="A118" s="679" t="s">
        <v>507</v>
      </c>
      <c r="B118" s="670" t="s">
        <v>509</v>
      </c>
      <c r="C118" s="704" t="s">
        <v>531</v>
      </c>
      <c r="D118" s="722" t="s">
        <v>532</v>
      </c>
      <c r="E118" s="704" t="s">
        <v>1618</v>
      </c>
      <c r="F118" s="722" t="s">
        <v>1619</v>
      </c>
      <c r="G118" s="704" t="s">
        <v>1730</v>
      </c>
      <c r="H118" s="704" t="s">
        <v>1731</v>
      </c>
      <c r="I118" s="238">
        <v>1.78</v>
      </c>
      <c r="J118" s="238">
        <v>400</v>
      </c>
      <c r="K118" s="712">
        <v>712</v>
      </c>
    </row>
    <row r="119" spans="1:11" ht="14.4" customHeight="1" x14ac:dyDescent="0.3">
      <c r="A119" s="679" t="s">
        <v>507</v>
      </c>
      <c r="B119" s="670" t="s">
        <v>509</v>
      </c>
      <c r="C119" s="704" t="s">
        <v>531</v>
      </c>
      <c r="D119" s="722" t="s">
        <v>532</v>
      </c>
      <c r="E119" s="704" t="s">
        <v>1618</v>
      </c>
      <c r="F119" s="722" t="s">
        <v>1619</v>
      </c>
      <c r="G119" s="704" t="s">
        <v>1664</v>
      </c>
      <c r="H119" s="704" t="s">
        <v>1665</v>
      </c>
      <c r="I119" s="238">
        <v>1.79</v>
      </c>
      <c r="J119" s="238">
        <v>150</v>
      </c>
      <c r="K119" s="712">
        <v>269</v>
      </c>
    </row>
    <row r="120" spans="1:11" ht="14.4" customHeight="1" x14ac:dyDescent="0.3">
      <c r="A120" s="679" t="s">
        <v>507</v>
      </c>
      <c r="B120" s="670" t="s">
        <v>509</v>
      </c>
      <c r="C120" s="704" t="s">
        <v>531</v>
      </c>
      <c r="D120" s="722" t="s">
        <v>532</v>
      </c>
      <c r="E120" s="704" t="s">
        <v>1618</v>
      </c>
      <c r="F120" s="722" t="s">
        <v>1619</v>
      </c>
      <c r="G120" s="704" t="s">
        <v>1796</v>
      </c>
      <c r="H120" s="704" t="s">
        <v>1797</v>
      </c>
      <c r="I120" s="238">
        <v>2.835</v>
      </c>
      <c r="J120" s="238">
        <v>200</v>
      </c>
      <c r="K120" s="712">
        <v>567</v>
      </c>
    </row>
    <row r="121" spans="1:11" ht="14.4" customHeight="1" x14ac:dyDescent="0.3">
      <c r="A121" s="679" t="s">
        <v>507</v>
      </c>
      <c r="B121" s="670" t="s">
        <v>509</v>
      </c>
      <c r="C121" s="704" t="s">
        <v>531</v>
      </c>
      <c r="D121" s="722" t="s">
        <v>532</v>
      </c>
      <c r="E121" s="704" t="s">
        <v>1618</v>
      </c>
      <c r="F121" s="722" t="s">
        <v>1619</v>
      </c>
      <c r="G121" s="704" t="s">
        <v>1798</v>
      </c>
      <c r="H121" s="704" t="s">
        <v>1799</v>
      </c>
      <c r="I121" s="238">
        <v>1.7650000000000001</v>
      </c>
      <c r="J121" s="238">
        <v>300</v>
      </c>
      <c r="K121" s="712">
        <v>530</v>
      </c>
    </row>
    <row r="122" spans="1:11" ht="14.4" customHeight="1" x14ac:dyDescent="0.3">
      <c r="A122" s="679" t="s">
        <v>507</v>
      </c>
      <c r="B122" s="670" t="s">
        <v>509</v>
      </c>
      <c r="C122" s="704" t="s">
        <v>531</v>
      </c>
      <c r="D122" s="722" t="s">
        <v>532</v>
      </c>
      <c r="E122" s="704" t="s">
        <v>1618</v>
      </c>
      <c r="F122" s="722" t="s">
        <v>1619</v>
      </c>
      <c r="G122" s="704" t="s">
        <v>1666</v>
      </c>
      <c r="H122" s="704" t="s">
        <v>1667</v>
      </c>
      <c r="I122" s="238">
        <v>1.7549999999999999</v>
      </c>
      <c r="J122" s="238">
        <v>200</v>
      </c>
      <c r="K122" s="712">
        <v>351</v>
      </c>
    </row>
    <row r="123" spans="1:11" ht="14.4" customHeight="1" x14ac:dyDescent="0.3">
      <c r="A123" s="679" t="s">
        <v>507</v>
      </c>
      <c r="B123" s="670" t="s">
        <v>509</v>
      </c>
      <c r="C123" s="704" t="s">
        <v>531</v>
      </c>
      <c r="D123" s="722" t="s">
        <v>532</v>
      </c>
      <c r="E123" s="704" t="s">
        <v>1618</v>
      </c>
      <c r="F123" s="722" t="s">
        <v>1619</v>
      </c>
      <c r="G123" s="704" t="s">
        <v>1668</v>
      </c>
      <c r="H123" s="704" t="s">
        <v>1669</v>
      </c>
      <c r="I123" s="238">
        <v>0.01</v>
      </c>
      <c r="J123" s="238">
        <v>200</v>
      </c>
      <c r="K123" s="712">
        <v>2</v>
      </c>
    </row>
    <row r="124" spans="1:11" ht="14.4" customHeight="1" x14ac:dyDescent="0.3">
      <c r="A124" s="679" t="s">
        <v>507</v>
      </c>
      <c r="B124" s="670" t="s">
        <v>509</v>
      </c>
      <c r="C124" s="704" t="s">
        <v>531</v>
      </c>
      <c r="D124" s="722" t="s">
        <v>532</v>
      </c>
      <c r="E124" s="704" t="s">
        <v>1618</v>
      </c>
      <c r="F124" s="722" t="s">
        <v>1619</v>
      </c>
      <c r="G124" s="704" t="s">
        <v>1800</v>
      </c>
      <c r="H124" s="704" t="s">
        <v>1801</v>
      </c>
      <c r="I124" s="238">
        <v>2.06</v>
      </c>
      <c r="J124" s="238">
        <v>400</v>
      </c>
      <c r="K124" s="712">
        <v>824</v>
      </c>
    </row>
    <row r="125" spans="1:11" ht="14.4" customHeight="1" x14ac:dyDescent="0.3">
      <c r="A125" s="679" t="s">
        <v>507</v>
      </c>
      <c r="B125" s="670" t="s">
        <v>509</v>
      </c>
      <c r="C125" s="704" t="s">
        <v>531</v>
      </c>
      <c r="D125" s="722" t="s">
        <v>532</v>
      </c>
      <c r="E125" s="704" t="s">
        <v>1618</v>
      </c>
      <c r="F125" s="722" t="s">
        <v>1619</v>
      </c>
      <c r="G125" s="704" t="s">
        <v>1732</v>
      </c>
      <c r="H125" s="704" t="s">
        <v>1733</v>
      </c>
      <c r="I125" s="238">
        <v>2.81</v>
      </c>
      <c r="J125" s="238">
        <v>400</v>
      </c>
      <c r="K125" s="712">
        <v>1124</v>
      </c>
    </row>
    <row r="126" spans="1:11" ht="14.4" customHeight="1" x14ac:dyDescent="0.3">
      <c r="A126" s="679" t="s">
        <v>507</v>
      </c>
      <c r="B126" s="670" t="s">
        <v>509</v>
      </c>
      <c r="C126" s="704" t="s">
        <v>531</v>
      </c>
      <c r="D126" s="722" t="s">
        <v>532</v>
      </c>
      <c r="E126" s="704" t="s">
        <v>1618</v>
      </c>
      <c r="F126" s="722" t="s">
        <v>1619</v>
      </c>
      <c r="G126" s="704" t="s">
        <v>1670</v>
      </c>
      <c r="H126" s="704" t="s">
        <v>1671</v>
      </c>
      <c r="I126" s="238">
        <v>1.9950000000000001</v>
      </c>
      <c r="J126" s="238">
        <v>400</v>
      </c>
      <c r="K126" s="712">
        <v>798</v>
      </c>
    </row>
    <row r="127" spans="1:11" ht="14.4" customHeight="1" x14ac:dyDescent="0.3">
      <c r="A127" s="679" t="s">
        <v>507</v>
      </c>
      <c r="B127" s="670" t="s">
        <v>509</v>
      </c>
      <c r="C127" s="704" t="s">
        <v>531</v>
      </c>
      <c r="D127" s="722" t="s">
        <v>532</v>
      </c>
      <c r="E127" s="704" t="s">
        <v>1618</v>
      </c>
      <c r="F127" s="722" t="s">
        <v>1619</v>
      </c>
      <c r="G127" s="704" t="s">
        <v>1802</v>
      </c>
      <c r="H127" s="704" t="s">
        <v>1803</v>
      </c>
      <c r="I127" s="238">
        <v>8.76</v>
      </c>
      <c r="J127" s="238">
        <v>450</v>
      </c>
      <c r="K127" s="712">
        <v>3942.18</v>
      </c>
    </row>
    <row r="128" spans="1:11" ht="14.4" customHeight="1" x14ac:dyDescent="0.3">
      <c r="A128" s="679" t="s">
        <v>507</v>
      </c>
      <c r="B128" s="670" t="s">
        <v>509</v>
      </c>
      <c r="C128" s="704" t="s">
        <v>531</v>
      </c>
      <c r="D128" s="722" t="s">
        <v>532</v>
      </c>
      <c r="E128" s="704" t="s">
        <v>1618</v>
      </c>
      <c r="F128" s="722" t="s">
        <v>1619</v>
      </c>
      <c r="G128" s="704" t="s">
        <v>1804</v>
      </c>
      <c r="H128" s="704" t="s">
        <v>1805</v>
      </c>
      <c r="I128" s="238">
        <v>37.15</v>
      </c>
      <c r="J128" s="238">
        <v>400</v>
      </c>
      <c r="K128" s="712">
        <v>14860</v>
      </c>
    </row>
    <row r="129" spans="1:11" ht="14.4" customHeight="1" x14ac:dyDescent="0.3">
      <c r="A129" s="679" t="s">
        <v>507</v>
      </c>
      <c r="B129" s="670" t="s">
        <v>509</v>
      </c>
      <c r="C129" s="704" t="s">
        <v>531</v>
      </c>
      <c r="D129" s="722" t="s">
        <v>532</v>
      </c>
      <c r="E129" s="704" t="s">
        <v>1618</v>
      </c>
      <c r="F129" s="722" t="s">
        <v>1619</v>
      </c>
      <c r="G129" s="704" t="s">
        <v>1674</v>
      </c>
      <c r="H129" s="704" t="s">
        <v>1675</v>
      </c>
      <c r="I129" s="238">
        <v>2.1800000000000002</v>
      </c>
      <c r="J129" s="238">
        <v>400</v>
      </c>
      <c r="K129" s="712">
        <v>872</v>
      </c>
    </row>
    <row r="130" spans="1:11" ht="14.4" customHeight="1" x14ac:dyDescent="0.3">
      <c r="A130" s="679" t="s">
        <v>507</v>
      </c>
      <c r="B130" s="670" t="s">
        <v>509</v>
      </c>
      <c r="C130" s="704" t="s">
        <v>531</v>
      </c>
      <c r="D130" s="722" t="s">
        <v>532</v>
      </c>
      <c r="E130" s="704" t="s">
        <v>1618</v>
      </c>
      <c r="F130" s="722" t="s">
        <v>1619</v>
      </c>
      <c r="G130" s="704" t="s">
        <v>1806</v>
      </c>
      <c r="H130" s="704" t="s">
        <v>1807</v>
      </c>
      <c r="I130" s="238">
        <v>34.729999999999997</v>
      </c>
      <c r="J130" s="238">
        <v>40</v>
      </c>
      <c r="K130" s="712">
        <v>1389.1</v>
      </c>
    </row>
    <row r="131" spans="1:11" ht="14.4" customHeight="1" x14ac:dyDescent="0.3">
      <c r="A131" s="679" t="s">
        <v>507</v>
      </c>
      <c r="B131" s="670" t="s">
        <v>509</v>
      </c>
      <c r="C131" s="704" t="s">
        <v>531</v>
      </c>
      <c r="D131" s="722" t="s">
        <v>532</v>
      </c>
      <c r="E131" s="704" t="s">
        <v>1618</v>
      </c>
      <c r="F131" s="722" t="s">
        <v>1619</v>
      </c>
      <c r="G131" s="704" t="s">
        <v>1808</v>
      </c>
      <c r="H131" s="704" t="s">
        <v>1809</v>
      </c>
      <c r="I131" s="238">
        <v>365.27</v>
      </c>
      <c r="J131" s="238">
        <v>70</v>
      </c>
      <c r="K131" s="712">
        <v>25569.21</v>
      </c>
    </row>
    <row r="132" spans="1:11" ht="14.4" customHeight="1" x14ac:dyDescent="0.3">
      <c r="A132" s="679" t="s">
        <v>507</v>
      </c>
      <c r="B132" s="670" t="s">
        <v>509</v>
      </c>
      <c r="C132" s="704" t="s">
        <v>531</v>
      </c>
      <c r="D132" s="722" t="s">
        <v>532</v>
      </c>
      <c r="E132" s="704" t="s">
        <v>1618</v>
      </c>
      <c r="F132" s="722" t="s">
        <v>1619</v>
      </c>
      <c r="G132" s="704" t="s">
        <v>1810</v>
      </c>
      <c r="H132" s="704" t="s">
        <v>1811</v>
      </c>
      <c r="I132" s="238">
        <v>243.20999999999998</v>
      </c>
      <c r="J132" s="238">
        <v>40</v>
      </c>
      <c r="K132" s="712">
        <v>9728.4</v>
      </c>
    </row>
    <row r="133" spans="1:11" ht="14.4" customHeight="1" x14ac:dyDescent="0.3">
      <c r="A133" s="679" t="s">
        <v>507</v>
      </c>
      <c r="B133" s="670" t="s">
        <v>509</v>
      </c>
      <c r="C133" s="704" t="s">
        <v>531</v>
      </c>
      <c r="D133" s="722" t="s">
        <v>532</v>
      </c>
      <c r="E133" s="704" t="s">
        <v>1618</v>
      </c>
      <c r="F133" s="722" t="s">
        <v>1619</v>
      </c>
      <c r="G133" s="704" t="s">
        <v>1812</v>
      </c>
      <c r="H133" s="704" t="s">
        <v>1813</v>
      </c>
      <c r="I133" s="238">
        <v>440.44</v>
      </c>
      <c r="J133" s="238">
        <v>20</v>
      </c>
      <c r="K133" s="712">
        <v>8808.7999999999993</v>
      </c>
    </row>
    <row r="134" spans="1:11" ht="14.4" customHeight="1" x14ac:dyDescent="0.3">
      <c r="A134" s="679" t="s">
        <v>507</v>
      </c>
      <c r="B134" s="670" t="s">
        <v>509</v>
      </c>
      <c r="C134" s="704" t="s">
        <v>531</v>
      </c>
      <c r="D134" s="722" t="s">
        <v>532</v>
      </c>
      <c r="E134" s="704" t="s">
        <v>1618</v>
      </c>
      <c r="F134" s="722" t="s">
        <v>1619</v>
      </c>
      <c r="G134" s="704" t="s">
        <v>1678</v>
      </c>
      <c r="H134" s="704" t="s">
        <v>1679</v>
      </c>
      <c r="I134" s="238">
        <v>5.13</v>
      </c>
      <c r="J134" s="238">
        <v>200</v>
      </c>
      <c r="K134" s="712">
        <v>1026</v>
      </c>
    </row>
    <row r="135" spans="1:11" ht="14.4" customHeight="1" x14ac:dyDescent="0.3">
      <c r="A135" s="679" t="s">
        <v>507</v>
      </c>
      <c r="B135" s="670" t="s">
        <v>509</v>
      </c>
      <c r="C135" s="704" t="s">
        <v>531</v>
      </c>
      <c r="D135" s="722" t="s">
        <v>532</v>
      </c>
      <c r="E135" s="704" t="s">
        <v>1618</v>
      </c>
      <c r="F135" s="722" t="s">
        <v>1619</v>
      </c>
      <c r="G135" s="704" t="s">
        <v>1814</v>
      </c>
      <c r="H135" s="704" t="s">
        <v>1815</v>
      </c>
      <c r="I135" s="238">
        <v>7.95</v>
      </c>
      <c r="J135" s="238">
        <v>200</v>
      </c>
      <c r="K135" s="712">
        <v>1590</v>
      </c>
    </row>
    <row r="136" spans="1:11" ht="14.4" customHeight="1" x14ac:dyDescent="0.3">
      <c r="A136" s="679" t="s">
        <v>507</v>
      </c>
      <c r="B136" s="670" t="s">
        <v>509</v>
      </c>
      <c r="C136" s="704" t="s">
        <v>531</v>
      </c>
      <c r="D136" s="722" t="s">
        <v>532</v>
      </c>
      <c r="E136" s="704" t="s">
        <v>1618</v>
      </c>
      <c r="F136" s="722" t="s">
        <v>1619</v>
      </c>
      <c r="G136" s="704" t="s">
        <v>1816</v>
      </c>
      <c r="H136" s="704" t="s">
        <v>1817</v>
      </c>
      <c r="I136" s="238">
        <v>143.99</v>
      </c>
      <c r="J136" s="238">
        <v>100</v>
      </c>
      <c r="K136" s="712">
        <v>14399</v>
      </c>
    </row>
    <row r="137" spans="1:11" ht="14.4" customHeight="1" x14ac:dyDescent="0.3">
      <c r="A137" s="679" t="s">
        <v>507</v>
      </c>
      <c r="B137" s="670" t="s">
        <v>509</v>
      </c>
      <c r="C137" s="704" t="s">
        <v>531</v>
      </c>
      <c r="D137" s="722" t="s">
        <v>532</v>
      </c>
      <c r="E137" s="704" t="s">
        <v>1618</v>
      </c>
      <c r="F137" s="722" t="s">
        <v>1619</v>
      </c>
      <c r="G137" s="704" t="s">
        <v>1818</v>
      </c>
      <c r="H137" s="704" t="s">
        <v>1819</v>
      </c>
      <c r="I137" s="238">
        <v>46.06</v>
      </c>
      <c r="J137" s="238">
        <v>50</v>
      </c>
      <c r="K137" s="712">
        <v>2303.1999999999998</v>
      </c>
    </row>
    <row r="138" spans="1:11" ht="14.4" customHeight="1" x14ac:dyDescent="0.3">
      <c r="A138" s="679" t="s">
        <v>507</v>
      </c>
      <c r="B138" s="670" t="s">
        <v>509</v>
      </c>
      <c r="C138" s="704" t="s">
        <v>531</v>
      </c>
      <c r="D138" s="722" t="s">
        <v>532</v>
      </c>
      <c r="E138" s="704" t="s">
        <v>1618</v>
      </c>
      <c r="F138" s="722" t="s">
        <v>1619</v>
      </c>
      <c r="G138" s="704" t="s">
        <v>1736</v>
      </c>
      <c r="H138" s="704" t="s">
        <v>1737</v>
      </c>
      <c r="I138" s="238">
        <v>15.004999999999999</v>
      </c>
      <c r="J138" s="238">
        <v>60</v>
      </c>
      <c r="K138" s="712">
        <v>900.3</v>
      </c>
    </row>
    <row r="139" spans="1:11" ht="14.4" customHeight="1" x14ac:dyDescent="0.3">
      <c r="A139" s="679" t="s">
        <v>507</v>
      </c>
      <c r="B139" s="670" t="s">
        <v>509</v>
      </c>
      <c r="C139" s="704" t="s">
        <v>531</v>
      </c>
      <c r="D139" s="722" t="s">
        <v>532</v>
      </c>
      <c r="E139" s="704" t="s">
        <v>1618</v>
      </c>
      <c r="F139" s="722" t="s">
        <v>1619</v>
      </c>
      <c r="G139" s="704" t="s">
        <v>1760</v>
      </c>
      <c r="H139" s="704" t="s">
        <v>1761</v>
      </c>
      <c r="I139" s="238">
        <v>2.85</v>
      </c>
      <c r="J139" s="238">
        <v>100</v>
      </c>
      <c r="K139" s="712">
        <v>285</v>
      </c>
    </row>
    <row r="140" spans="1:11" ht="14.4" customHeight="1" x14ac:dyDescent="0.3">
      <c r="A140" s="679" t="s">
        <v>507</v>
      </c>
      <c r="B140" s="670" t="s">
        <v>509</v>
      </c>
      <c r="C140" s="704" t="s">
        <v>531</v>
      </c>
      <c r="D140" s="722" t="s">
        <v>532</v>
      </c>
      <c r="E140" s="704" t="s">
        <v>1618</v>
      </c>
      <c r="F140" s="722" t="s">
        <v>1619</v>
      </c>
      <c r="G140" s="704" t="s">
        <v>1684</v>
      </c>
      <c r="H140" s="704" t="s">
        <v>1685</v>
      </c>
      <c r="I140" s="238">
        <v>13.2</v>
      </c>
      <c r="J140" s="238">
        <v>20</v>
      </c>
      <c r="K140" s="712">
        <v>264</v>
      </c>
    </row>
    <row r="141" spans="1:11" ht="14.4" customHeight="1" x14ac:dyDescent="0.3">
      <c r="A141" s="679" t="s">
        <v>507</v>
      </c>
      <c r="B141" s="670" t="s">
        <v>509</v>
      </c>
      <c r="C141" s="704" t="s">
        <v>531</v>
      </c>
      <c r="D141" s="722" t="s">
        <v>532</v>
      </c>
      <c r="E141" s="704" t="s">
        <v>1618</v>
      </c>
      <c r="F141" s="722" t="s">
        <v>1619</v>
      </c>
      <c r="G141" s="704" t="s">
        <v>1686</v>
      </c>
      <c r="H141" s="704" t="s">
        <v>1687</v>
      </c>
      <c r="I141" s="238">
        <v>13.2</v>
      </c>
      <c r="J141" s="238">
        <v>20</v>
      </c>
      <c r="K141" s="712">
        <v>264</v>
      </c>
    </row>
    <row r="142" spans="1:11" ht="14.4" customHeight="1" x14ac:dyDescent="0.3">
      <c r="A142" s="679" t="s">
        <v>507</v>
      </c>
      <c r="B142" s="670" t="s">
        <v>509</v>
      </c>
      <c r="C142" s="704" t="s">
        <v>531</v>
      </c>
      <c r="D142" s="722" t="s">
        <v>532</v>
      </c>
      <c r="E142" s="704" t="s">
        <v>1618</v>
      </c>
      <c r="F142" s="722" t="s">
        <v>1619</v>
      </c>
      <c r="G142" s="704" t="s">
        <v>1820</v>
      </c>
      <c r="H142" s="704" t="s">
        <v>1821</v>
      </c>
      <c r="I142" s="238">
        <v>13.2</v>
      </c>
      <c r="J142" s="238">
        <v>20</v>
      </c>
      <c r="K142" s="712">
        <v>264</v>
      </c>
    </row>
    <row r="143" spans="1:11" ht="14.4" customHeight="1" x14ac:dyDescent="0.3">
      <c r="A143" s="679" t="s">
        <v>507</v>
      </c>
      <c r="B143" s="670" t="s">
        <v>509</v>
      </c>
      <c r="C143" s="704" t="s">
        <v>531</v>
      </c>
      <c r="D143" s="722" t="s">
        <v>532</v>
      </c>
      <c r="E143" s="704" t="s">
        <v>1618</v>
      </c>
      <c r="F143" s="722" t="s">
        <v>1619</v>
      </c>
      <c r="G143" s="704" t="s">
        <v>1688</v>
      </c>
      <c r="H143" s="704" t="s">
        <v>1689</v>
      </c>
      <c r="I143" s="238">
        <v>1.5550000000000002</v>
      </c>
      <c r="J143" s="238">
        <v>2250</v>
      </c>
      <c r="K143" s="712">
        <v>3498.75</v>
      </c>
    </row>
    <row r="144" spans="1:11" ht="14.4" customHeight="1" x14ac:dyDescent="0.3">
      <c r="A144" s="679" t="s">
        <v>507</v>
      </c>
      <c r="B144" s="670" t="s">
        <v>509</v>
      </c>
      <c r="C144" s="704" t="s">
        <v>531</v>
      </c>
      <c r="D144" s="722" t="s">
        <v>532</v>
      </c>
      <c r="E144" s="704" t="s">
        <v>1618</v>
      </c>
      <c r="F144" s="722" t="s">
        <v>1619</v>
      </c>
      <c r="G144" s="704" t="s">
        <v>1690</v>
      </c>
      <c r="H144" s="704" t="s">
        <v>1691</v>
      </c>
      <c r="I144" s="238">
        <v>21.23</v>
      </c>
      <c r="J144" s="238">
        <v>10</v>
      </c>
      <c r="K144" s="712">
        <v>212.3</v>
      </c>
    </row>
    <row r="145" spans="1:11" ht="14.4" customHeight="1" x14ac:dyDescent="0.3">
      <c r="A145" s="679" t="s">
        <v>507</v>
      </c>
      <c r="B145" s="670" t="s">
        <v>509</v>
      </c>
      <c r="C145" s="704" t="s">
        <v>531</v>
      </c>
      <c r="D145" s="722" t="s">
        <v>532</v>
      </c>
      <c r="E145" s="704" t="s">
        <v>1618</v>
      </c>
      <c r="F145" s="722" t="s">
        <v>1619</v>
      </c>
      <c r="G145" s="704" t="s">
        <v>1694</v>
      </c>
      <c r="H145" s="704" t="s">
        <v>1695</v>
      </c>
      <c r="I145" s="238">
        <v>9.5399999999999991</v>
      </c>
      <c r="J145" s="238">
        <v>50</v>
      </c>
      <c r="K145" s="712">
        <v>477</v>
      </c>
    </row>
    <row r="146" spans="1:11" ht="14.4" customHeight="1" x14ac:dyDescent="0.3">
      <c r="A146" s="679" t="s">
        <v>507</v>
      </c>
      <c r="B146" s="670" t="s">
        <v>509</v>
      </c>
      <c r="C146" s="704" t="s">
        <v>531</v>
      </c>
      <c r="D146" s="722" t="s">
        <v>532</v>
      </c>
      <c r="E146" s="704" t="s">
        <v>1618</v>
      </c>
      <c r="F146" s="722" t="s">
        <v>1619</v>
      </c>
      <c r="G146" s="704" t="s">
        <v>1822</v>
      </c>
      <c r="H146" s="704" t="s">
        <v>1823</v>
      </c>
      <c r="I146" s="238">
        <v>524.78</v>
      </c>
      <c r="J146" s="238">
        <v>40</v>
      </c>
      <c r="K146" s="712">
        <v>20991.08</v>
      </c>
    </row>
    <row r="147" spans="1:11" ht="14.4" customHeight="1" x14ac:dyDescent="0.3">
      <c r="A147" s="679" t="s">
        <v>507</v>
      </c>
      <c r="B147" s="670" t="s">
        <v>509</v>
      </c>
      <c r="C147" s="704" t="s">
        <v>531</v>
      </c>
      <c r="D147" s="722" t="s">
        <v>532</v>
      </c>
      <c r="E147" s="704" t="s">
        <v>1618</v>
      </c>
      <c r="F147" s="722" t="s">
        <v>1619</v>
      </c>
      <c r="G147" s="704" t="s">
        <v>1824</v>
      </c>
      <c r="H147" s="704" t="s">
        <v>1825</v>
      </c>
      <c r="I147" s="238">
        <v>6.65</v>
      </c>
      <c r="J147" s="238">
        <v>50</v>
      </c>
      <c r="K147" s="712">
        <v>332.5</v>
      </c>
    </row>
    <row r="148" spans="1:11" ht="14.4" customHeight="1" x14ac:dyDescent="0.3">
      <c r="A148" s="679" t="s">
        <v>507</v>
      </c>
      <c r="B148" s="670" t="s">
        <v>509</v>
      </c>
      <c r="C148" s="704" t="s">
        <v>531</v>
      </c>
      <c r="D148" s="722" t="s">
        <v>532</v>
      </c>
      <c r="E148" s="704" t="s">
        <v>1618</v>
      </c>
      <c r="F148" s="722" t="s">
        <v>1619</v>
      </c>
      <c r="G148" s="704" t="s">
        <v>1826</v>
      </c>
      <c r="H148" s="704" t="s">
        <v>1827</v>
      </c>
      <c r="I148" s="238">
        <v>18.149999999999999</v>
      </c>
      <c r="J148" s="238">
        <v>100</v>
      </c>
      <c r="K148" s="712">
        <v>1815</v>
      </c>
    </row>
    <row r="149" spans="1:11" ht="14.4" customHeight="1" x14ac:dyDescent="0.3">
      <c r="A149" s="679" t="s">
        <v>507</v>
      </c>
      <c r="B149" s="670" t="s">
        <v>509</v>
      </c>
      <c r="C149" s="704" t="s">
        <v>531</v>
      </c>
      <c r="D149" s="722" t="s">
        <v>532</v>
      </c>
      <c r="E149" s="704" t="s">
        <v>1618</v>
      </c>
      <c r="F149" s="722" t="s">
        <v>1619</v>
      </c>
      <c r="G149" s="704" t="s">
        <v>1828</v>
      </c>
      <c r="H149" s="704" t="s">
        <v>1829</v>
      </c>
      <c r="I149" s="238">
        <v>6.6550000000000002</v>
      </c>
      <c r="J149" s="238">
        <v>50</v>
      </c>
      <c r="K149" s="712">
        <v>332.7</v>
      </c>
    </row>
    <row r="150" spans="1:11" ht="14.4" customHeight="1" x14ac:dyDescent="0.3">
      <c r="A150" s="679" t="s">
        <v>507</v>
      </c>
      <c r="B150" s="670" t="s">
        <v>509</v>
      </c>
      <c r="C150" s="704" t="s">
        <v>531</v>
      </c>
      <c r="D150" s="722" t="s">
        <v>532</v>
      </c>
      <c r="E150" s="704" t="s">
        <v>1618</v>
      </c>
      <c r="F150" s="722" t="s">
        <v>1619</v>
      </c>
      <c r="G150" s="704" t="s">
        <v>1830</v>
      </c>
      <c r="H150" s="704" t="s">
        <v>1831</v>
      </c>
      <c r="I150" s="238">
        <v>0.47</v>
      </c>
      <c r="J150" s="238">
        <v>400</v>
      </c>
      <c r="K150" s="712">
        <v>188</v>
      </c>
    </row>
    <row r="151" spans="1:11" ht="14.4" customHeight="1" x14ac:dyDescent="0.3">
      <c r="A151" s="679" t="s">
        <v>507</v>
      </c>
      <c r="B151" s="670" t="s">
        <v>509</v>
      </c>
      <c r="C151" s="704" t="s">
        <v>531</v>
      </c>
      <c r="D151" s="722" t="s">
        <v>532</v>
      </c>
      <c r="E151" s="704" t="s">
        <v>1618</v>
      </c>
      <c r="F151" s="722" t="s">
        <v>1619</v>
      </c>
      <c r="G151" s="704" t="s">
        <v>1832</v>
      </c>
      <c r="H151" s="704" t="s">
        <v>1833</v>
      </c>
      <c r="I151" s="238">
        <v>2.6</v>
      </c>
      <c r="J151" s="238">
        <v>400</v>
      </c>
      <c r="K151" s="712">
        <v>1040</v>
      </c>
    </row>
    <row r="152" spans="1:11" ht="14.4" customHeight="1" x14ac:dyDescent="0.3">
      <c r="A152" s="679" t="s">
        <v>507</v>
      </c>
      <c r="B152" s="670" t="s">
        <v>509</v>
      </c>
      <c r="C152" s="704" t="s">
        <v>531</v>
      </c>
      <c r="D152" s="722" t="s">
        <v>532</v>
      </c>
      <c r="E152" s="704" t="s">
        <v>1618</v>
      </c>
      <c r="F152" s="722" t="s">
        <v>1619</v>
      </c>
      <c r="G152" s="704" t="s">
        <v>1834</v>
      </c>
      <c r="H152" s="704" t="s">
        <v>1835</v>
      </c>
      <c r="I152" s="238">
        <v>2.605</v>
      </c>
      <c r="J152" s="238">
        <v>700</v>
      </c>
      <c r="K152" s="712">
        <v>1824</v>
      </c>
    </row>
    <row r="153" spans="1:11" ht="14.4" customHeight="1" x14ac:dyDescent="0.3">
      <c r="A153" s="679" t="s">
        <v>507</v>
      </c>
      <c r="B153" s="670" t="s">
        <v>509</v>
      </c>
      <c r="C153" s="704" t="s">
        <v>531</v>
      </c>
      <c r="D153" s="722" t="s">
        <v>532</v>
      </c>
      <c r="E153" s="704" t="s">
        <v>1618</v>
      </c>
      <c r="F153" s="722" t="s">
        <v>1619</v>
      </c>
      <c r="G153" s="704" t="s">
        <v>1836</v>
      </c>
      <c r="H153" s="704" t="s">
        <v>1837</v>
      </c>
      <c r="I153" s="238">
        <v>15.39</v>
      </c>
      <c r="J153" s="238">
        <v>100</v>
      </c>
      <c r="K153" s="712">
        <v>1539</v>
      </c>
    </row>
    <row r="154" spans="1:11" ht="14.4" customHeight="1" x14ac:dyDescent="0.3">
      <c r="A154" s="679" t="s">
        <v>507</v>
      </c>
      <c r="B154" s="670" t="s">
        <v>509</v>
      </c>
      <c r="C154" s="704" t="s">
        <v>531</v>
      </c>
      <c r="D154" s="722" t="s">
        <v>532</v>
      </c>
      <c r="E154" s="704" t="s">
        <v>1618</v>
      </c>
      <c r="F154" s="722" t="s">
        <v>1619</v>
      </c>
      <c r="G154" s="704" t="s">
        <v>1838</v>
      </c>
      <c r="H154" s="704" t="s">
        <v>1839</v>
      </c>
      <c r="I154" s="238">
        <v>61.06</v>
      </c>
      <c r="J154" s="238">
        <v>100</v>
      </c>
      <c r="K154" s="712">
        <v>6105.66</v>
      </c>
    </row>
    <row r="155" spans="1:11" ht="14.4" customHeight="1" x14ac:dyDescent="0.3">
      <c r="A155" s="679" t="s">
        <v>507</v>
      </c>
      <c r="B155" s="670" t="s">
        <v>509</v>
      </c>
      <c r="C155" s="704" t="s">
        <v>531</v>
      </c>
      <c r="D155" s="722" t="s">
        <v>532</v>
      </c>
      <c r="E155" s="704" t="s">
        <v>1618</v>
      </c>
      <c r="F155" s="722" t="s">
        <v>1619</v>
      </c>
      <c r="G155" s="704" t="s">
        <v>1840</v>
      </c>
      <c r="H155" s="704" t="s">
        <v>1841</v>
      </c>
      <c r="I155" s="238">
        <v>25.99</v>
      </c>
      <c r="J155" s="238">
        <v>50</v>
      </c>
      <c r="K155" s="712">
        <v>1299.6199999999999</v>
      </c>
    </row>
    <row r="156" spans="1:11" ht="14.4" customHeight="1" x14ac:dyDescent="0.3">
      <c r="A156" s="679" t="s">
        <v>507</v>
      </c>
      <c r="B156" s="670" t="s">
        <v>509</v>
      </c>
      <c r="C156" s="704" t="s">
        <v>531</v>
      </c>
      <c r="D156" s="722" t="s">
        <v>532</v>
      </c>
      <c r="E156" s="704" t="s">
        <v>1618</v>
      </c>
      <c r="F156" s="722" t="s">
        <v>1619</v>
      </c>
      <c r="G156" s="704" t="s">
        <v>1842</v>
      </c>
      <c r="H156" s="704" t="s">
        <v>1843</v>
      </c>
      <c r="I156" s="238">
        <v>907.5</v>
      </c>
      <c r="J156" s="238">
        <v>24</v>
      </c>
      <c r="K156" s="712">
        <v>21780</v>
      </c>
    </row>
    <row r="157" spans="1:11" ht="14.4" customHeight="1" x14ac:dyDescent="0.3">
      <c r="A157" s="679" t="s">
        <v>507</v>
      </c>
      <c r="B157" s="670" t="s">
        <v>509</v>
      </c>
      <c r="C157" s="704" t="s">
        <v>531</v>
      </c>
      <c r="D157" s="722" t="s">
        <v>532</v>
      </c>
      <c r="E157" s="704" t="s">
        <v>1618</v>
      </c>
      <c r="F157" s="722" t="s">
        <v>1619</v>
      </c>
      <c r="G157" s="704" t="s">
        <v>1844</v>
      </c>
      <c r="H157" s="704" t="s">
        <v>1845</v>
      </c>
      <c r="I157" s="238">
        <v>24.2</v>
      </c>
      <c r="J157" s="238">
        <v>50</v>
      </c>
      <c r="K157" s="712">
        <v>1210</v>
      </c>
    </row>
    <row r="158" spans="1:11" ht="14.4" customHeight="1" x14ac:dyDescent="0.3">
      <c r="A158" s="679" t="s">
        <v>507</v>
      </c>
      <c r="B158" s="670" t="s">
        <v>509</v>
      </c>
      <c r="C158" s="704" t="s">
        <v>531</v>
      </c>
      <c r="D158" s="722" t="s">
        <v>532</v>
      </c>
      <c r="E158" s="704" t="s">
        <v>1618</v>
      </c>
      <c r="F158" s="722" t="s">
        <v>1619</v>
      </c>
      <c r="G158" s="704" t="s">
        <v>1846</v>
      </c>
      <c r="H158" s="704" t="s">
        <v>1847</v>
      </c>
      <c r="I158" s="238">
        <v>24.2</v>
      </c>
      <c r="J158" s="238">
        <v>100</v>
      </c>
      <c r="K158" s="712">
        <v>2420</v>
      </c>
    </row>
    <row r="159" spans="1:11" ht="14.4" customHeight="1" x14ac:dyDescent="0.3">
      <c r="A159" s="679" t="s">
        <v>507</v>
      </c>
      <c r="B159" s="670" t="s">
        <v>509</v>
      </c>
      <c r="C159" s="704" t="s">
        <v>531</v>
      </c>
      <c r="D159" s="722" t="s">
        <v>532</v>
      </c>
      <c r="E159" s="704" t="s">
        <v>1618</v>
      </c>
      <c r="F159" s="722" t="s">
        <v>1619</v>
      </c>
      <c r="G159" s="704" t="s">
        <v>1848</v>
      </c>
      <c r="H159" s="704" t="s">
        <v>1849</v>
      </c>
      <c r="I159" s="238">
        <v>365.27</v>
      </c>
      <c r="J159" s="238">
        <v>40</v>
      </c>
      <c r="K159" s="712">
        <v>14610.98</v>
      </c>
    </row>
    <row r="160" spans="1:11" ht="14.4" customHeight="1" x14ac:dyDescent="0.3">
      <c r="A160" s="679" t="s">
        <v>507</v>
      </c>
      <c r="B160" s="670" t="s">
        <v>509</v>
      </c>
      <c r="C160" s="704" t="s">
        <v>531</v>
      </c>
      <c r="D160" s="722" t="s">
        <v>532</v>
      </c>
      <c r="E160" s="704" t="s">
        <v>1618</v>
      </c>
      <c r="F160" s="722" t="s">
        <v>1619</v>
      </c>
      <c r="G160" s="704" t="s">
        <v>1850</v>
      </c>
      <c r="H160" s="704" t="s">
        <v>1851</v>
      </c>
      <c r="I160" s="238">
        <v>365.27</v>
      </c>
      <c r="J160" s="238">
        <v>-20</v>
      </c>
      <c r="K160" s="712">
        <v>-7305.49</v>
      </c>
    </row>
    <row r="161" spans="1:11" ht="14.4" customHeight="1" x14ac:dyDescent="0.3">
      <c r="A161" s="679" t="s">
        <v>507</v>
      </c>
      <c r="B161" s="670" t="s">
        <v>509</v>
      </c>
      <c r="C161" s="704" t="s">
        <v>531</v>
      </c>
      <c r="D161" s="722" t="s">
        <v>532</v>
      </c>
      <c r="E161" s="704" t="s">
        <v>1618</v>
      </c>
      <c r="F161" s="722" t="s">
        <v>1619</v>
      </c>
      <c r="G161" s="704" t="s">
        <v>1698</v>
      </c>
      <c r="H161" s="704" t="s">
        <v>1699</v>
      </c>
      <c r="I161" s="238">
        <v>9.1999999999999993</v>
      </c>
      <c r="J161" s="238">
        <v>300</v>
      </c>
      <c r="K161" s="712">
        <v>2760</v>
      </c>
    </row>
    <row r="162" spans="1:11" ht="14.4" customHeight="1" x14ac:dyDescent="0.3">
      <c r="A162" s="679" t="s">
        <v>507</v>
      </c>
      <c r="B162" s="670" t="s">
        <v>509</v>
      </c>
      <c r="C162" s="704" t="s">
        <v>531</v>
      </c>
      <c r="D162" s="722" t="s">
        <v>532</v>
      </c>
      <c r="E162" s="704" t="s">
        <v>1618</v>
      </c>
      <c r="F162" s="722" t="s">
        <v>1619</v>
      </c>
      <c r="G162" s="704" t="s">
        <v>1852</v>
      </c>
      <c r="H162" s="704" t="s">
        <v>1853</v>
      </c>
      <c r="I162" s="238">
        <v>365.28</v>
      </c>
      <c r="J162" s="238">
        <v>10</v>
      </c>
      <c r="K162" s="712">
        <v>3652.75</v>
      </c>
    </row>
    <row r="163" spans="1:11" ht="14.4" customHeight="1" x14ac:dyDescent="0.3">
      <c r="A163" s="679" t="s">
        <v>507</v>
      </c>
      <c r="B163" s="670" t="s">
        <v>509</v>
      </c>
      <c r="C163" s="704" t="s">
        <v>531</v>
      </c>
      <c r="D163" s="722" t="s">
        <v>532</v>
      </c>
      <c r="E163" s="704" t="s">
        <v>1618</v>
      </c>
      <c r="F163" s="722" t="s">
        <v>1619</v>
      </c>
      <c r="G163" s="704" t="s">
        <v>1854</v>
      </c>
      <c r="H163" s="704" t="s">
        <v>1855</v>
      </c>
      <c r="I163" s="238">
        <v>365.27</v>
      </c>
      <c r="J163" s="238">
        <v>-60</v>
      </c>
      <c r="K163" s="712">
        <v>-21916.379999999997</v>
      </c>
    </row>
    <row r="164" spans="1:11" ht="14.4" customHeight="1" x14ac:dyDescent="0.3">
      <c r="A164" s="679" t="s">
        <v>507</v>
      </c>
      <c r="B164" s="670" t="s">
        <v>509</v>
      </c>
      <c r="C164" s="704" t="s">
        <v>531</v>
      </c>
      <c r="D164" s="722" t="s">
        <v>532</v>
      </c>
      <c r="E164" s="704" t="s">
        <v>1618</v>
      </c>
      <c r="F164" s="722" t="s">
        <v>1619</v>
      </c>
      <c r="G164" s="704" t="s">
        <v>1856</v>
      </c>
      <c r="H164" s="704" t="s">
        <v>1857</v>
      </c>
      <c r="I164" s="238">
        <v>350.9</v>
      </c>
      <c r="J164" s="238">
        <v>2</v>
      </c>
      <c r="K164" s="712">
        <v>701.8</v>
      </c>
    </row>
    <row r="165" spans="1:11" ht="14.4" customHeight="1" x14ac:dyDescent="0.3">
      <c r="A165" s="679" t="s">
        <v>507</v>
      </c>
      <c r="B165" s="670" t="s">
        <v>509</v>
      </c>
      <c r="C165" s="704" t="s">
        <v>531</v>
      </c>
      <c r="D165" s="722" t="s">
        <v>532</v>
      </c>
      <c r="E165" s="704" t="s">
        <v>1628</v>
      </c>
      <c r="F165" s="722" t="s">
        <v>1629</v>
      </c>
      <c r="G165" s="704" t="s">
        <v>1858</v>
      </c>
      <c r="H165" s="704" t="s">
        <v>1859</v>
      </c>
      <c r="I165" s="238">
        <v>928.20500000000004</v>
      </c>
      <c r="J165" s="238">
        <v>20</v>
      </c>
      <c r="K165" s="712">
        <v>18564.09</v>
      </c>
    </row>
    <row r="166" spans="1:11" ht="14.4" customHeight="1" x14ac:dyDescent="0.3">
      <c r="A166" s="679" t="s">
        <v>507</v>
      </c>
      <c r="B166" s="670" t="s">
        <v>509</v>
      </c>
      <c r="C166" s="704" t="s">
        <v>531</v>
      </c>
      <c r="D166" s="722" t="s">
        <v>532</v>
      </c>
      <c r="E166" s="704" t="s">
        <v>1628</v>
      </c>
      <c r="F166" s="722" t="s">
        <v>1629</v>
      </c>
      <c r="G166" s="704" t="s">
        <v>1860</v>
      </c>
      <c r="H166" s="704" t="s">
        <v>1861</v>
      </c>
      <c r="I166" s="238">
        <v>319.91000000000003</v>
      </c>
      <c r="J166" s="238">
        <v>40</v>
      </c>
      <c r="K166" s="712">
        <v>12796.48</v>
      </c>
    </row>
    <row r="167" spans="1:11" ht="14.4" customHeight="1" x14ac:dyDescent="0.3">
      <c r="A167" s="679" t="s">
        <v>507</v>
      </c>
      <c r="B167" s="670" t="s">
        <v>509</v>
      </c>
      <c r="C167" s="704" t="s">
        <v>531</v>
      </c>
      <c r="D167" s="722" t="s">
        <v>532</v>
      </c>
      <c r="E167" s="704" t="s">
        <v>1628</v>
      </c>
      <c r="F167" s="722" t="s">
        <v>1629</v>
      </c>
      <c r="G167" s="704" t="s">
        <v>1862</v>
      </c>
      <c r="H167" s="704" t="s">
        <v>1863</v>
      </c>
      <c r="I167" s="238">
        <v>928.2</v>
      </c>
      <c r="J167" s="238">
        <v>20</v>
      </c>
      <c r="K167" s="712">
        <v>18564.060000000001</v>
      </c>
    </row>
    <row r="168" spans="1:11" ht="14.4" customHeight="1" x14ac:dyDescent="0.3">
      <c r="A168" s="679" t="s">
        <v>507</v>
      </c>
      <c r="B168" s="670" t="s">
        <v>509</v>
      </c>
      <c r="C168" s="704" t="s">
        <v>531</v>
      </c>
      <c r="D168" s="722" t="s">
        <v>532</v>
      </c>
      <c r="E168" s="704" t="s">
        <v>1632</v>
      </c>
      <c r="F168" s="722" t="s">
        <v>1633</v>
      </c>
      <c r="G168" s="704" t="s">
        <v>1864</v>
      </c>
      <c r="H168" s="704" t="s">
        <v>1865</v>
      </c>
      <c r="I168" s="238">
        <v>8.17</v>
      </c>
      <c r="J168" s="238">
        <v>600</v>
      </c>
      <c r="K168" s="712">
        <v>4902</v>
      </c>
    </row>
    <row r="169" spans="1:11" ht="14.4" customHeight="1" x14ac:dyDescent="0.3">
      <c r="A169" s="679" t="s">
        <v>507</v>
      </c>
      <c r="B169" s="670" t="s">
        <v>509</v>
      </c>
      <c r="C169" s="704" t="s">
        <v>531</v>
      </c>
      <c r="D169" s="722" t="s">
        <v>532</v>
      </c>
      <c r="E169" s="704" t="s">
        <v>1632</v>
      </c>
      <c r="F169" s="722" t="s">
        <v>1633</v>
      </c>
      <c r="G169" s="704" t="s">
        <v>1866</v>
      </c>
      <c r="H169" s="704" t="s">
        <v>1867</v>
      </c>
      <c r="I169" s="238">
        <v>25.57</v>
      </c>
      <c r="J169" s="238">
        <v>100</v>
      </c>
      <c r="K169" s="712">
        <v>2556.73</v>
      </c>
    </row>
    <row r="170" spans="1:11" ht="14.4" customHeight="1" x14ac:dyDescent="0.3">
      <c r="A170" s="679" t="s">
        <v>507</v>
      </c>
      <c r="B170" s="670" t="s">
        <v>509</v>
      </c>
      <c r="C170" s="704" t="s">
        <v>531</v>
      </c>
      <c r="D170" s="722" t="s">
        <v>532</v>
      </c>
      <c r="E170" s="704" t="s">
        <v>1636</v>
      </c>
      <c r="F170" s="722" t="s">
        <v>1637</v>
      </c>
      <c r="G170" s="704" t="s">
        <v>1868</v>
      </c>
      <c r="H170" s="704" t="s">
        <v>1869</v>
      </c>
      <c r="I170" s="238">
        <v>0.30499999999999999</v>
      </c>
      <c r="J170" s="238">
        <v>200</v>
      </c>
      <c r="K170" s="712">
        <v>61</v>
      </c>
    </row>
    <row r="171" spans="1:11" ht="14.4" customHeight="1" x14ac:dyDescent="0.3">
      <c r="A171" s="679" t="s">
        <v>507</v>
      </c>
      <c r="B171" s="670" t="s">
        <v>509</v>
      </c>
      <c r="C171" s="704" t="s">
        <v>531</v>
      </c>
      <c r="D171" s="722" t="s">
        <v>532</v>
      </c>
      <c r="E171" s="704" t="s">
        <v>1636</v>
      </c>
      <c r="F171" s="722" t="s">
        <v>1637</v>
      </c>
      <c r="G171" s="704" t="s">
        <v>1702</v>
      </c>
      <c r="H171" s="704" t="s">
        <v>1703</v>
      </c>
      <c r="I171" s="238">
        <v>0.3</v>
      </c>
      <c r="J171" s="238">
        <v>600</v>
      </c>
      <c r="K171" s="712">
        <v>180</v>
      </c>
    </row>
    <row r="172" spans="1:11" ht="14.4" customHeight="1" x14ac:dyDescent="0.3">
      <c r="A172" s="679" t="s">
        <v>507</v>
      </c>
      <c r="B172" s="670" t="s">
        <v>509</v>
      </c>
      <c r="C172" s="704" t="s">
        <v>531</v>
      </c>
      <c r="D172" s="722" t="s">
        <v>532</v>
      </c>
      <c r="E172" s="704" t="s">
        <v>1636</v>
      </c>
      <c r="F172" s="722" t="s">
        <v>1637</v>
      </c>
      <c r="G172" s="704" t="s">
        <v>1748</v>
      </c>
      <c r="H172" s="704" t="s">
        <v>1749</v>
      </c>
      <c r="I172" s="238">
        <v>0.3</v>
      </c>
      <c r="J172" s="238">
        <v>2200</v>
      </c>
      <c r="K172" s="712">
        <v>660</v>
      </c>
    </row>
    <row r="173" spans="1:11" ht="14.4" customHeight="1" x14ac:dyDescent="0.3">
      <c r="A173" s="679" t="s">
        <v>507</v>
      </c>
      <c r="B173" s="670" t="s">
        <v>509</v>
      </c>
      <c r="C173" s="704" t="s">
        <v>531</v>
      </c>
      <c r="D173" s="722" t="s">
        <v>532</v>
      </c>
      <c r="E173" s="704" t="s">
        <v>1638</v>
      </c>
      <c r="F173" s="722" t="s">
        <v>1639</v>
      </c>
      <c r="G173" s="704" t="s">
        <v>1708</v>
      </c>
      <c r="H173" s="704" t="s">
        <v>1709</v>
      </c>
      <c r="I173" s="238">
        <v>0.77500000000000002</v>
      </c>
      <c r="J173" s="238">
        <v>11000</v>
      </c>
      <c r="K173" s="712">
        <v>8530</v>
      </c>
    </row>
    <row r="174" spans="1:11" ht="14.4" customHeight="1" x14ac:dyDescent="0.3">
      <c r="A174" s="679" t="s">
        <v>507</v>
      </c>
      <c r="B174" s="670" t="s">
        <v>509</v>
      </c>
      <c r="C174" s="704" t="s">
        <v>531</v>
      </c>
      <c r="D174" s="722" t="s">
        <v>532</v>
      </c>
      <c r="E174" s="704" t="s">
        <v>1638</v>
      </c>
      <c r="F174" s="722" t="s">
        <v>1639</v>
      </c>
      <c r="G174" s="704" t="s">
        <v>1710</v>
      </c>
      <c r="H174" s="704" t="s">
        <v>1711</v>
      </c>
      <c r="I174" s="238">
        <v>0.77</v>
      </c>
      <c r="J174" s="238">
        <v>16000</v>
      </c>
      <c r="K174" s="712">
        <v>12320</v>
      </c>
    </row>
    <row r="175" spans="1:11" ht="14.4" customHeight="1" x14ac:dyDescent="0.3">
      <c r="A175" s="679" t="s">
        <v>507</v>
      </c>
      <c r="B175" s="670" t="s">
        <v>509</v>
      </c>
      <c r="C175" s="704" t="s">
        <v>531</v>
      </c>
      <c r="D175" s="722" t="s">
        <v>532</v>
      </c>
      <c r="E175" s="704" t="s">
        <v>1638</v>
      </c>
      <c r="F175" s="722" t="s">
        <v>1639</v>
      </c>
      <c r="G175" s="704" t="s">
        <v>1870</v>
      </c>
      <c r="H175" s="704" t="s">
        <v>1871</v>
      </c>
      <c r="I175" s="238">
        <v>0.77500000000000002</v>
      </c>
      <c r="J175" s="238">
        <v>6000</v>
      </c>
      <c r="K175" s="712">
        <v>4650</v>
      </c>
    </row>
    <row r="176" spans="1:11" ht="14.4" customHeight="1" x14ac:dyDescent="0.3">
      <c r="A176" s="679" t="s">
        <v>507</v>
      </c>
      <c r="B176" s="670" t="s">
        <v>509</v>
      </c>
      <c r="C176" s="704" t="s">
        <v>531</v>
      </c>
      <c r="D176" s="722" t="s">
        <v>532</v>
      </c>
      <c r="E176" s="704" t="s">
        <v>1614</v>
      </c>
      <c r="F176" s="722" t="s">
        <v>1615</v>
      </c>
      <c r="G176" s="704" t="s">
        <v>1872</v>
      </c>
      <c r="H176" s="704" t="s">
        <v>1873</v>
      </c>
      <c r="I176" s="238">
        <v>139.44</v>
      </c>
      <c r="J176" s="238">
        <v>4</v>
      </c>
      <c r="K176" s="712">
        <v>557.76</v>
      </c>
    </row>
    <row r="177" spans="1:11" ht="14.4" customHeight="1" x14ac:dyDescent="0.3">
      <c r="A177" s="679" t="s">
        <v>507</v>
      </c>
      <c r="B177" s="670" t="s">
        <v>509</v>
      </c>
      <c r="C177" s="704" t="s">
        <v>531</v>
      </c>
      <c r="D177" s="722" t="s">
        <v>532</v>
      </c>
      <c r="E177" s="704" t="s">
        <v>1614</v>
      </c>
      <c r="F177" s="722" t="s">
        <v>1615</v>
      </c>
      <c r="G177" s="704" t="s">
        <v>1874</v>
      </c>
      <c r="H177" s="704" t="s">
        <v>1875</v>
      </c>
      <c r="I177" s="238">
        <v>139.43</v>
      </c>
      <c r="J177" s="238">
        <v>4</v>
      </c>
      <c r="K177" s="712">
        <v>557.71</v>
      </c>
    </row>
    <row r="178" spans="1:11" ht="14.4" customHeight="1" x14ac:dyDescent="0.3">
      <c r="A178" s="679" t="s">
        <v>507</v>
      </c>
      <c r="B178" s="670" t="s">
        <v>509</v>
      </c>
      <c r="C178" s="704" t="s">
        <v>533</v>
      </c>
      <c r="D178" s="722" t="s">
        <v>534</v>
      </c>
      <c r="E178" s="704" t="s">
        <v>1616</v>
      </c>
      <c r="F178" s="722" t="s">
        <v>1617</v>
      </c>
      <c r="G178" s="704" t="s">
        <v>1876</v>
      </c>
      <c r="H178" s="704" t="s">
        <v>1877</v>
      </c>
      <c r="I178" s="238">
        <v>183.1</v>
      </c>
      <c r="J178" s="238">
        <v>4</v>
      </c>
      <c r="K178" s="712">
        <v>732.4</v>
      </c>
    </row>
    <row r="179" spans="1:11" ht="14.4" customHeight="1" x14ac:dyDescent="0.3">
      <c r="A179" s="679" t="s">
        <v>507</v>
      </c>
      <c r="B179" s="670" t="s">
        <v>509</v>
      </c>
      <c r="C179" s="704" t="s">
        <v>533</v>
      </c>
      <c r="D179" s="722" t="s">
        <v>534</v>
      </c>
      <c r="E179" s="704" t="s">
        <v>1616</v>
      </c>
      <c r="F179" s="722" t="s">
        <v>1617</v>
      </c>
      <c r="G179" s="704" t="s">
        <v>1878</v>
      </c>
      <c r="H179" s="704" t="s">
        <v>1879</v>
      </c>
      <c r="I179" s="238">
        <v>82.8</v>
      </c>
      <c r="J179" s="238">
        <v>70</v>
      </c>
      <c r="K179" s="712">
        <v>5796</v>
      </c>
    </row>
    <row r="180" spans="1:11" ht="14.4" customHeight="1" x14ac:dyDescent="0.3">
      <c r="A180" s="679" t="s">
        <v>507</v>
      </c>
      <c r="B180" s="670" t="s">
        <v>509</v>
      </c>
      <c r="C180" s="704" t="s">
        <v>533</v>
      </c>
      <c r="D180" s="722" t="s">
        <v>534</v>
      </c>
      <c r="E180" s="704" t="s">
        <v>1616</v>
      </c>
      <c r="F180" s="722" t="s">
        <v>1617</v>
      </c>
      <c r="G180" s="704" t="s">
        <v>1880</v>
      </c>
      <c r="H180" s="704" t="s">
        <v>1881</v>
      </c>
      <c r="I180" s="238">
        <v>3.7850000000000001</v>
      </c>
      <c r="J180" s="238">
        <v>220</v>
      </c>
      <c r="K180" s="712">
        <v>832.8</v>
      </c>
    </row>
    <row r="181" spans="1:11" ht="14.4" customHeight="1" x14ac:dyDescent="0.3">
      <c r="A181" s="679" t="s">
        <v>507</v>
      </c>
      <c r="B181" s="670" t="s">
        <v>509</v>
      </c>
      <c r="C181" s="704" t="s">
        <v>533</v>
      </c>
      <c r="D181" s="722" t="s">
        <v>534</v>
      </c>
      <c r="E181" s="704" t="s">
        <v>1616</v>
      </c>
      <c r="F181" s="722" t="s">
        <v>1617</v>
      </c>
      <c r="G181" s="704" t="s">
        <v>1712</v>
      </c>
      <c r="H181" s="704" t="s">
        <v>1713</v>
      </c>
      <c r="I181" s="238">
        <v>12.074999999999999</v>
      </c>
      <c r="J181" s="238">
        <v>10</v>
      </c>
      <c r="K181" s="712">
        <v>120.75</v>
      </c>
    </row>
    <row r="182" spans="1:11" ht="14.4" customHeight="1" x14ac:dyDescent="0.3">
      <c r="A182" s="679" t="s">
        <v>507</v>
      </c>
      <c r="B182" s="670" t="s">
        <v>509</v>
      </c>
      <c r="C182" s="704" t="s">
        <v>533</v>
      </c>
      <c r="D182" s="722" t="s">
        <v>534</v>
      </c>
      <c r="E182" s="704" t="s">
        <v>1616</v>
      </c>
      <c r="F182" s="722" t="s">
        <v>1617</v>
      </c>
      <c r="G182" s="704" t="s">
        <v>1882</v>
      </c>
      <c r="H182" s="704" t="s">
        <v>1883</v>
      </c>
      <c r="I182" s="238">
        <v>2.96</v>
      </c>
      <c r="J182" s="238">
        <v>40</v>
      </c>
      <c r="K182" s="712">
        <v>118.4</v>
      </c>
    </row>
    <row r="183" spans="1:11" ht="14.4" customHeight="1" x14ac:dyDescent="0.3">
      <c r="A183" s="679" t="s">
        <v>507</v>
      </c>
      <c r="B183" s="670" t="s">
        <v>509</v>
      </c>
      <c r="C183" s="704" t="s">
        <v>533</v>
      </c>
      <c r="D183" s="722" t="s">
        <v>534</v>
      </c>
      <c r="E183" s="704" t="s">
        <v>1616</v>
      </c>
      <c r="F183" s="722" t="s">
        <v>1617</v>
      </c>
      <c r="G183" s="704" t="s">
        <v>1884</v>
      </c>
      <c r="H183" s="704" t="s">
        <v>1885</v>
      </c>
      <c r="I183" s="238">
        <v>2.27</v>
      </c>
      <c r="J183" s="238">
        <v>2080</v>
      </c>
      <c r="K183" s="712">
        <v>4721.6000000000004</v>
      </c>
    </row>
    <row r="184" spans="1:11" ht="14.4" customHeight="1" x14ac:dyDescent="0.3">
      <c r="A184" s="679" t="s">
        <v>507</v>
      </c>
      <c r="B184" s="670" t="s">
        <v>509</v>
      </c>
      <c r="C184" s="704" t="s">
        <v>533</v>
      </c>
      <c r="D184" s="722" t="s">
        <v>534</v>
      </c>
      <c r="E184" s="704" t="s">
        <v>1616</v>
      </c>
      <c r="F184" s="722" t="s">
        <v>1617</v>
      </c>
      <c r="G184" s="704" t="s">
        <v>1886</v>
      </c>
      <c r="H184" s="704" t="s">
        <v>1887</v>
      </c>
      <c r="I184" s="238">
        <v>0.27</v>
      </c>
      <c r="J184" s="238">
        <v>6000</v>
      </c>
      <c r="K184" s="712">
        <v>1620</v>
      </c>
    </row>
    <row r="185" spans="1:11" ht="14.4" customHeight="1" x14ac:dyDescent="0.3">
      <c r="A185" s="679" t="s">
        <v>507</v>
      </c>
      <c r="B185" s="670" t="s">
        <v>509</v>
      </c>
      <c r="C185" s="704" t="s">
        <v>533</v>
      </c>
      <c r="D185" s="722" t="s">
        <v>534</v>
      </c>
      <c r="E185" s="704" t="s">
        <v>1616</v>
      </c>
      <c r="F185" s="722" t="s">
        <v>1617</v>
      </c>
      <c r="G185" s="704" t="s">
        <v>1888</v>
      </c>
      <c r="H185" s="704" t="s">
        <v>1889</v>
      </c>
      <c r="I185" s="238">
        <v>61.2</v>
      </c>
      <c r="J185" s="238">
        <v>8</v>
      </c>
      <c r="K185" s="712">
        <v>489.6</v>
      </c>
    </row>
    <row r="186" spans="1:11" ht="14.4" customHeight="1" x14ac:dyDescent="0.3">
      <c r="A186" s="679" t="s">
        <v>507</v>
      </c>
      <c r="B186" s="670" t="s">
        <v>509</v>
      </c>
      <c r="C186" s="704" t="s">
        <v>533</v>
      </c>
      <c r="D186" s="722" t="s">
        <v>534</v>
      </c>
      <c r="E186" s="704" t="s">
        <v>1616</v>
      </c>
      <c r="F186" s="722" t="s">
        <v>1617</v>
      </c>
      <c r="G186" s="704" t="s">
        <v>1890</v>
      </c>
      <c r="H186" s="704" t="s">
        <v>1891</v>
      </c>
      <c r="I186" s="238">
        <v>54.86</v>
      </c>
      <c r="J186" s="238">
        <v>20</v>
      </c>
      <c r="K186" s="712">
        <v>1097.2</v>
      </c>
    </row>
    <row r="187" spans="1:11" ht="14.4" customHeight="1" x14ac:dyDescent="0.3">
      <c r="A187" s="679" t="s">
        <v>507</v>
      </c>
      <c r="B187" s="670" t="s">
        <v>509</v>
      </c>
      <c r="C187" s="704" t="s">
        <v>533</v>
      </c>
      <c r="D187" s="722" t="s">
        <v>534</v>
      </c>
      <c r="E187" s="704" t="s">
        <v>1616</v>
      </c>
      <c r="F187" s="722" t="s">
        <v>1617</v>
      </c>
      <c r="G187" s="704" t="s">
        <v>1714</v>
      </c>
      <c r="H187" s="704" t="s">
        <v>1715</v>
      </c>
      <c r="I187" s="238">
        <v>30.18</v>
      </c>
      <c r="J187" s="238">
        <v>10</v>
      </c>
      <c r="K187" s="712">
        <v>301.8</v>
      </c>
    </row>
    <row r="188" spans="1:11" ht="14.4" customHeight="1" x14ac:dyDescent="0.3">
      <c r="A188" s="679" t="s">
        <v>507</v>
      </c>
      <c r="B188" s="670" t="s">
        <v>509</v>
      </c>
      <c r="C188" s="704" t="s">
        <v>533</v>
      </c>
      <c r="D188" s="722" t="s">
        <v>534</v>
      </c>
      <c r="E188" s="704" t="s">
        <v>1616</v>
      </c>
      <c r="F188" s="722" t="s">
        <v>1617</v>
      </c>
      <c r="G188" s="704" t="s">
        <v>1892</v>
      </c>
      <c r="H188" s="704" t="s">
        <v>1893</v>
      </c>
      <c r="I188" s="238">
        <v>2.21</v>
      </c>
      <c r="J188" s="238">
        <v>7000</v>
      </c>
      <c r="K188" s="712">
        <v>15472.1</v>
      </c>
    </row>
    <row r="189" spans="1:11" ht="14.4" customHeight="1" x14ac:dyDescent="0.3">
      <c r="A189" s="679" t="s">
        <v>507</v>
      </c>
      <c r="B189" s="670" t="s">
        <v>509</v>
      </c>
      <c r="C189" s="704" t="s">
        <v>533</v>
      </c>
      <c r="D189" s="722" t="s">
        <v>534</v>
      </c>
      <c r="E189" s="704" t="s">
        <v>1616</v>
      </c>
      <c r="F189" s="722" t="s">
        <v>1617</v>
      </c>
      <c r="G189" s="704" t="s">
        <v>1894</v>
      </c>
      <c r="H189" s="704" t="s">
        <v>1895</v>
      </c>
      <c r="I189" s="238">
        <v>357.46</v>
      </c>
      <c r="J189" s="238">
        <v>120</v>
      </c>
      <c r="K189" s="712">
        <v>42895.08</v>
      </c>
    </row>
    <row r="190" spans="1:11" ht="14.4" customHeight="1" x14ac:dyDescent="0.3">
      <c r="A190" s="679" t="s">
        <v>507</v>
      </c>
      <c r="B190" s="670" t="s">
        <v>509</v>
      </c>
      <c r="C190" s="704" t="s">
        <v>533</v>
      </c>
      <c r="D190" s="722" t="s">
        <v>534</v>
      </c>
      <c r="E190" s="704" t="s">
        <v>1616</v>
      </c>
      <c r="F190" s="722" t="s">
        <v>1617</v>
      </c>
      <c r="G190" s="704" t="s">
        <v>1896</v>
      </c>
      <c r="H190" s="704" t="s">
        <v>1897</v>
      </c>
      <c r="I190" s="238">
        <v>98.38</v>
      </c>
      <c r="J190" s="238">
        <v>20</v>
      </c>
      <c r="K190" s="712">
        <v>1967.6</v>
      </c>
    </row>
    <row r="191" spans="1:11" ht="14.4" customHeight="1" x14ac:dyDescent="0.3">
      <c r="A191" s="679" t="s">
        <v>507</v>
      </c>
      <c r="B191" s="670" t="s">
        <v>509</v>
      </c>
      <c r="C191" s="704" t="s">
        <v>533</v>
      </c>
      <c r="D191" s="722" t="s">
        <v>534</v>
      </c>
      <c r="E191" s="704" t="s">
        <v>1616</v>
      </c>
      <c r="F191" s="722" t="s">
        <v>1617</v>
      </c>
      <c r="G191" s="704" t="s">
        <v>1898</v>
      </c>
      <c r="H191" s="704" t="s">
        <v>1899</v>
      </c>
      <c r="I191" s="238">
        <v>28.26</v>
      </c>
      <c r="J191" s="238">
        <v>320</v>
      </c>
      <c r="K191" s="712">
        <v>9042.33</v>
      </c>
    </row>
    <row r="192" spans="1:11" ht="14.4" customHeight="1" x14ac:dyDescent="0.3">
      <c r="A192" s="679" t="s">
        <v>507</v>
      </c>
      <c r="B192" s="670" t="s">
        <v>509</v>
      </c>
      <c r="C192" s="704" t="s">
        <v>533</v>
      </c>
      <c r="D192" s="722" t="s">
        <v>534</v>
      </c>
      <c r="E192" s="704" t="s">
        <v>1616</v>
      </c>
      <c r="F192" s="722" t="s">
        <v>1617</v>
      </c>
      <c r="G192" s="704" t="s">
        <v>1900</v>
      </c>
      <c r="H192" s="704" t="s">
        <v>1901</v>
      </c>
      <c r="I192" s="238">
        <v>0.85499999999999998</v>
      </c>
      <c r="J192" s="238">
        <v>200</v>
      </c>
      <c r="K192" s="712">
        <v>171</v>
      </c>
    </row>
    <row r="193" spans="1:11" ht="14.4" customHeight="1" x14ac:dyDescent="0.3">
      <c r="A193" s="679" t="s">
        <v>507</v>
      </c>
      <c r="B193" s="670" t="s">
        <v>509</v>
      </c>
      <c r="C193" s="704" t="s">
        <v>533</v>
      </c>
      <c r="D193" s="722" t="s">
        <v>534</v>
      </c>
      <c r="E193" s="704" t="s">
        <v>1616</v>
      </c>
      <c r="F193" s="722" t="s">
        <v>1617</v>
      </c>
      <c r="G193" s="704" t="s">
        <v>1902</v>
      </c>
      <c r="H193" s="704" t="s">
        <v>1903</v>
      </c>
      <c r="I193" s="238">
        <v>3266.69</v>
      </c>
      <c r="J193" s="238">
        <v>10</v>
      </c>
      <c r="K193" s="712">
        <v>32666.9</v>
      </c>
    </row>
    <row r="194" spans="1:11" ht="14.4" customHeight="1" x14ac:dyDescent="0.3">
      <c r="A194" s="679" t="s">
        <v>507</v>
      </c>
      <c r="B194" s="670" t="s">
        <v>509</v>
      </c>
      <c r="C194" s="704" t="s">
        <v>533</v>
      </c>
      <c r="D194" s="722" t="s">
        <v>534</v>
      </c>
      <c r="E194" s="704" t="s">
        <v>1618</v>
      </c>
      <c r="F194" s="722" t="s">
        <v>1619</v>
      </c>
      <c r="G194" s="704" t="s">
        <v>1904</v>
      </c>
      <c r="H194" s="704" t="s">
        <v>1905</v>
      </c>
      <c r="I194" s="238">
        <v>1719.25</v>
      </c>
      <c r="J194" s="238">
        <v>4</v>
      </c>
      <c r="K194" s="712">
        <v>6877</v>
      </c>
    </row>
    <row r="195" spans="1:11" ht="14.4" customHeight="1" x14ac:dyDescent="0.3">
      <c r="A195" s="679" t="s">
        <v>507</v>
      </c>
      <c r="B195" s="670" t="s">
        <v>509</v>
      </c>
      <c r="C195" s="704" t="s">
        <v>533</v>
      </c>
      <c r="D195" s="722" t="s">
        <v>534</v>
      </c>
      <c r="E195" s="704" t="s">
        <v>1618</v>
      </c>
      <c r="F195" s="722" t="s">
        <v>1619</v>
      </c>
      <c r="G195" s="704" t="s">
        <v>1906</v>
      </c>
      <c r="H195" s="704" t="s">
        <v>1907</v>
      </c>
      <c r="I195" s="238">
        <v>3.51</v>
      </c>
      <c r="J195" s="238">
        <v>60</v>
      </c>
      <c r="K195" s="712">
        <v>210.6</v>
      </c>
    </row>
    <row r="196" spans="1:11" ht="14.4" customHeight="1" x14ac:dyDescent="0.3">
      <c r="A196" s="679" t="s">
        <v>507</v>
      </c>
      <c r="B196" s="670" t="s">
        <v>509</v>
      </c>
      <c r="C196" s="704" t="s">
        <v>533</v>
      </c>
      <c r="D196" s="722" t="s">
        <v>534</v>
      </c>
      <c r="E196" s="704" t="s">
        <v>1618</v>
      </c>
      <c r="F196" s="722" t="s">
        <v>1619</v>
      </c>
      <c r="G196" s="704" t="s">
        <v>1908</v>
      </c>
      <c r="H196" s="704" t="s">
        <v>1909</v>
      </c>
      <c r="I196" s="238">
        <v>12.73</v>
      </c>
      <c r="J196" s="238">
        <v>60</v>
      </c>
      <c r="K196" s="712">
        <v>763.8</v>
      </c>
    </row>
    <row r="197" spans="1:11" ht="14.4" customHeight="1" x14ac:dyDescent="0.3">
      <c r="A197" s="679" t="s">
        <v>507</v>
      </c>
      <c r="B197" s="670" t="s">
        <v>509</v>
      </c>
      <c r="C197" s="704" t="s">
        <v>533</v>
      </c>
      <c r="D197" s="722" t="s">
        <v>534</v>
      </c>
      <c r="E197" s="704" t="s">
        <v>1618</v>
      </c>
      <c r="F197" s="722" t="s">
        <v>1619</v>
      </c>
      <c r="G197" s="704" t="s">
        <v>1910</v>
      </c>
      <c r="H197" s="704" t="s">
        <v>1911</v>
      </c>
      <c r="I197" s="238">
        <v>12.72</v>
      </c>
      <c r="J197" s="238">
        <v>60</v>
      </c>
      <c r="K197" s="712">
        <v>763.2</v>
      </c>
    </row>
    <row r="198" spans="1:11" ht="14.4" customHeight="1" x14ac:dyDescent="0.3">
      <c r="A198" s="679" t="s">
        <v>507</v>
      </c>
      <c r="B198" s="670" t="s">
        <v>509</v>
      </c>
      <c r="C198" s="704" t="s">
        <v>533</v>
      </c>
      <c r="D198" s="722" t="s">
        <v>534</v>
      </c>
      <c r="E198" s="704" t="s">
        <v>1618</v>
      </c>
      <c r="F198" s="722" t="s">
        <v>1619</v>
      </c>
      <c r="G198" s="704" t="s">
        <v>1780</v>
      </c>
      <c r="H198" s="704" t="s">
        <v>1781</v>
      </c>
      <c r="I198" s="238">
        <v>1.4350000000000001</v>
      </c>
      <c r="J198" s="238">
        <v>800</v>
      </c>
      <c r="K198" s="712">
        <v>1148</v>
      </c>
    </row>
    <row r="199" spans="1:11" ht="14.4" customHeight="1" x14ac:dyDescent="0.3">
      <c r="A199" s="679" t="s">
        <v>507</v>
      </c>
      <c r="B199" s="670" t="s">
        <v>509</v>
      </c>
      <c r="C199" s="704" t="s">
        <v>533</v>
      </c>
      <c r="D199" s="722" t="s">
        <v>534</v>
      </c>
      <c r="E199" s="704" t="s">
        <v>1618</v>
      </c>
      <c r="F199" s="722" t="s">
        <v>1619</v>
      </c>
      <c r="G199" s="704" t="s">
        <v>1912</v>
      </c>
      <c r="H199" s="704" t="s">
        <v>1913</v>
      </c>
      <c r="I199" s="238">
        <v>1.85</v>
      </c>
      <c r="J199" s="238">
        <v>1000</v>
      </c>
      <c r="K199" s="712">
        <v>1850</v>
      </c>
    </row>
    <row r="200" spans="1:11" ht="14.4" customHeight="1" x14ac:dyDescent="0.3">
      <c r="A200" s="679" t="s">
        <v>507</v>
      </c>
      <c r="B200" s="670" t="s">
        <v>509</v>
      </c>
      <c r="C200" s="704" t="s">
        <v>533</v>
      </c>
      <c r="D200" s="722" t="s">
        <v>534</v>
      </c>
      <c r="E200" s="704" t="s">
        <v>1618</v>
      </c>
      <c r="F200" s="722" t="s">
        <v>1619</v>
      </c>
      <c r="G200" s="704" t="s">
        <v>1786</v>
      </c>
      <c r="H200" s="704" t="s">
        <v>1787</v>
      </c>
      <c r="I200" s="238">
        <v>80.569999999999993</v>
      </c>
      <c r="J200" s="238">
        <v>240</v>
      </c>
      <c r="K200" s="712">
        <v>19336.8</v>
      </c>
    </row>
    <row r="201" spans="1:11" ht="14.4" customHeight="1" x14ac:dyDescent="0.3">
      <c r="A201" s="679" t="s">
        <v>507</v>
      </c>
      <c r="B201" s="670" t="s">
        <v>509</v>
      </c>
      <c r="C201" s="704" t="s">
        <v>533</v>
      </c>
      <c r="D201" s="722" t="s">
        <v>534</v>
      </c>
      <c r="E201" s="704" t="s">
        <v>1618</v>
      </c>
      <c r="F201" s="722" t="s">
        <v>1619</v>
      </c>
      <c r="G201" s="704" t="s">
        <v>1914</v>
      </c>
      <c r="H201" s="704" t="s">
        <v>1915</v>
      </c>
      <c r="I201" s="238">
        <v>34</v>
      </c>
      <c r="J201" s="238">
        <v>160</v>
      </c>
      <c r="K201" s="712">
        <v>5440</v>
      </c>
    </row>
    <row r="202" spans="1:11" ht="14.4" customHeight="1" x14ac:dyDescent="0.3">
      <c r="A202" s="679" t="s">
        <v>507</v>
      </c>
      <c r="B202" s="670" t="s">
        <v>509</v>
      </c>
      <c r="C202" s="704" t="s">
        <v>533</v>
      </c>
      <c r="D202" s="722" t="s">
        <v>534</v>
      </c>
      <c r="E202" s="704" t="s">
        <v>1618</v>
      </c>
      <c r="F202" s="722" t="s">
        <v>1619</v>
      </c>
      <c r="G202" s="704" t="s">
        <v>1916</v>
      </c>
      <c r="H202" s="704" t="s">
        <v>1917</v>
      </c>
      <c r="I202" s="238">
        <v>4.2350000000000003</v>
      </c>
      <c r="J202" s="238">
        <v>60</v>
      </c>
      <c r="K202" s="712">
        <v>254.10000000000002</v>
      </c>
    </row>
    <row r="203" spans="1:11" ht="14.4" customHeight="1" x14ac:dyDescent="0.3">
      <c r="A203" s="679" t="s">
        <v>507</v>
      </c>
      <c r="B203" s="670" t="s">
        <v>509</v>
      </c>
      <c r="C203" s="704" t="s">
        <v>533</v>
      </c>
      <c r="D203" s="722" t="s">
        <v>534</v>
      </c>
      <c r="E203" s="704" t="s">
        <v>1618</v>
      </c>
      <c r="F203" s="722" t="s">
        <v>1619</v>
      </c>
      <c r="G203" s="704" t="s">
        <v>1918</v>
      </c>
      <c r="H203" s="704" t="s">
        <v>1919</v>
      </c>
      <c r="I203" s="238">
        <v>102.25</v>
      </c>
      <c r="J203" s="238">
        <v>20</v>
      </c>
      <c r="K203" s="712">
        <v>2044.9</v>
      </c>
    </row>
    <row r="204" spans="1:11" ht="14.4" customHeight="1" x14ac:dyDescent="0.3">
      <c r="A204" s="679" t="s">
        <v>507</v>
      </c>
      <c r="B204" s="670" t="s">
        <v>509</v>
      </c>
      <c r="C204" s="704" t="s">
        <v>533</v>
      </c>
      <c r="D204" s="722" t="s">
        <v>534</v>
      </c>
      <c r="E204" s="704" t="s">
        <v>1618</v>
      </c>
      <c r="F204" s="722" t="s">
        <v>1619</v>
      </c>
      <c r="G204" s="704" t="s">
        <v>1920</v>
      </c>
      <c r="H204" s="704" t="s">
        <v>1921</v>
      </c>
      <c r="I204" s="238">
        <v>11495.5</v>
      </c>
      <c r="J204" s="238">
        <v>13</v>
      </c>
      <c r="K204" s="712">
        <v>149441.54999999999</v>
      </c>
    </row>
    <row r="205" spans="1:11" ht="14.4" customHeight="1" x14ac:dyDescent="0.3">
      <c r="A205" s="679" t="s">
        <v>507</v>
      </c>
      <c r="B205" s="670" t="s">
        <v>509</v>
      </c>
      <c r="C205" s="704" t="s">
        <v>533</v>
      </c>
      <c r="D205" s="722" t="s">
        <v>534</v>
      </c>
      <c r="E205" s="704" t="s">
        <v>1618</v>
      </c>
      <c r="F205" s="722" t="s">
        <v>1619</v>
      </c>
      <c r="G205" s="704" t="s">
        <v>1922</v>
      </c>
      <c r="H205" s="704" t="s">
        <v>1923</v>
      </c>
      <c r="I205" s="238">
        <v>2656.93</v>
      </c>
      <c r="J205" s="238">
        <v>14</v>
      </c>
      <c r="K205" s="712">
        <v>37197.020000000004</v>
      </c>
    </row>
    <row r="206" spans="1:11" ht="14.4" customHeight="1" x14ac:dyDescent="0.3">
      <c r="A206" s="679" t="s">
        <v>507</v>
      </c>
      <c r="B206" s="670" t="s">
        <v>509</v>
      </c>
      <c r="C206" s="704" t="s">
        <v>533</v>
      </c>
      <c r="D206" s="722" t="s">
        <v>534</v>
      </c>
      <c r="E206" s="704" t="s">
        <v>1618</v>
      </c>
      <c r="F206" s="722" t="s">
        <v>1619</v>
      </c>
      <c r="G206" s="704" t="s">
        <v>1924</v>
      </c>
      <c r="H206" s="704" t="s">
        <v>1925</v>
      </c>
      <c r="I206" s="238">
        <v>2.9050000000000002</v>
      </c>
      <c r="J206" s="238">
        <v>400</v>
      </c>
      <c r="K206" s="712">
        <v>1162</v>
      </c>
    </row>
    <row r="207" spans="1:11" ht="14.4" customHeight="1" x14ac:dyDescent="0.3">
      <c r="A207" s="679" t="s">
        <v>507</v>
      </c>
      <c r="B207" s="670" t="s">
        <v>509</v>
      </c>
      <c r="C207" s="704" t="s">
        <v>533</v>
      </c>
      <c r="D207" s="722" t="s">
        <v>534</v>
      </c>
      <c r="E207" s="704" t="s">
        <v>1618</v>
      </c>
      <c r="F207" s="722" t="s">
        <v>1619</v>
      </c>
      <c r="G207" s="704" t="s">
        <v>1926</v>
      </c>
      <c r="H207" s="704" t="s">
        <v>1927</v>
      </c>
      <c r="I207" s="238">
        <v>28.8</v>
      </c>
      <c r="J207" s="238">
        <v>150</v>
      </c>
      <c r="K207" s="712">
        <v>4319.7</v>
      </c>
    </row>
    <row r="208" spans="1:11" ht="14.4" customHeight="1" x14ac:dyDescent="0.3">
      <c r="A208" s="679" t="s">
        <v>507</v>
      </c>
      <c r="B208" s="670" t="s">
        <v>509</v>
      </c>
      <c r="C208" s="704" t="s">
        <v>533</v>
      </c>
      <c r="D208" s="722" t="s">
        <v>534</v>
      </c>
      <c r="E208" s="704" t="s">
        <v>1618</v>
      </c>
      <c r="F208" s="722" t="s">
        <v>1619</v>
      </c>
      <c r="G208" s="704" t="s">
        <v>1928</v>
      </c>
      <c r="H208" s="704" t="s">
        <v>1929</v>
      </c>
      <c r="I208" s="238">
        <v>91.72</v>
      </c>
      <c r="J208" s="238">
        <v>8</v>
      </c>
      <c r="K208" s="712">
        <v>733.75</v>
      </c>
    </row>
    <row r="209" spans="1:11" ht="14.4" customHeight="1" x14ac:dyDescent="0.3">
      <c r="A209" s="679" t="s">
        <v>507</v>
      </c>
      <c r="B209" s="670" t="s">
        <v>509</v>
      </c>
      <c r="C209" s="704" t="s">
        <v>533</v>
      </c>
      <c r="D209" s="722" t="s">
        <v>534</v>
      </c>
      <c r="E209" s="704" t="s">
        <v>1618</v>
      </c>
      <c r="F209" s="722" t="s">
        <v>1619</v>
      </c>
      <c r="G209" s="704" t="s">
        <v>1930</v>
      </c>
      <c r="H209" s="704" t="s">
        <v>1931</v>
      </c>
      <c r="I209" s="238">
        <v>2392.17</v>
      </c>
      <c r="J209" s="238">
        <v>6</v>
      </c>
      <c r="K209" s="712">
        <v>14353.01</v>
      </c>
    </row>
    <row r="210" spans="1:11" ht="14.4" customHeight="1" x14ac:dyDescent="0.3">
      <c r="A210" s="679" t="s">
        <v>507</v>
      </c>
      <c r="B210" s="670" t="s">
        <v>509</v>
      </c>
      <c r="C210" s="704" t="s">
        <v>533</v>
      </c>
      <c r="D210" s="722" t="s">
        <v>534</v>
      </c>
      <c r="E210" s="704" t="s">
        <v>1618</v>
      </c>
      <c r="F210" s="722" t="s">
        <v>1619</v>
      </c>
      <c r="G210" s="704" t="s">
        <v>1682</v>
      </c>
      <c r="H210" s="704" t="s">
        <v>1683</v>
      </c>
      <c r="I210" s="238">
        <v>12.105</v>
      </c>
      <c r="J210" s="238">
        <v>28</v>
      </c>
      <c r="K210" s="712">
        <v>338.94</v>
      </c>
    </row>
    <row r="211" spans="1:11" ht="14.4" customHeight="1" x14ac:dyDescent="0.3">
      <c r="A211" s="679" t="s">
        <v>507</v>
      </c>
      <c r="B211" s="670" t="s">
        <v>509</v>
      </c>
      <c r="C211" s="704" t="s">
        <v>533</v>
      </c>
      <c r="D211" s="722" t="s">
        <v>534</v>
      </c>
      <c r="E211" s="704" t="s">
        <v>1618</v>
      </c>
      <c r="F211" s="722" t="s">
        <v>1619</v>
      </c>
      <c r="G211" s="704" t="s">
        <v>1932</v>
      </c>
      <c r="H211" s="704" t="s">
        <v>1933</v>
      </c>
      <c r="I211" s="238">
        <v>2308.5500000000002</v>
      </c>
      <c r="J211" s="238">
        <v>6</v>
      </c>
      <c r="K211" s="712">
        <v>13851.28</v>
      </c>
    </row>
    <row r="212" spans="1:11" ht="14.4" customHeight="1" x14ac:dyDescent="0.3">
      <c r="A212" s="679" t="s">
        <v>507</v>
      </c>
      <c r="B212" s="670" t="s">
        <v>509</v>
      </c>
      <c r="C212" s="704" t="s">
        <v>533</v>
      </c>
      <c r="D212" s="722" t="s">
        <v>534</v>
      </c>
      <c r="E212" s="704" t="s">
        <v>1618</v>
      </c>
      <c r="F212" s="722" t="s">
        <v>1619</v>
      </c>
      <c r="G212" s="704" t="s">
        <v>1934</v>
      </c>
      <c r="H212" s="704" t="s">
        <v>1935</v>
      </c>
      <c r="I212" s="238">
        <v>2510.2199999999998</v>
      </c>
      <c r="J212" s="238">
        <v>4</v>
      </c>
      <c r="K212" s="712">
        <v>10040.879999999999</v>
      </c>
    </row>
    <row r="213" spans="1:11" ht="14.4" customHeight="1" x14ac:dyDescent="0.3">
      <c r="A213" s="679" t="s">
        <v>507</v>
      </c>
      <c r="B213" s="670" t="s">
        <v>509</v>
      </c>
      <c r="C213" s="704" t="s">
        <v>533</v>
      </c>
      <c r="D213" s="722" t="s">
        <v>534</v>
      </c>
      <c r="E213" s="704" t="s">
        <v>1618</v>
      </c>
      <c r="F213" s="722" t="s">
        <v>1619</v>
      </c>
      <c r="G213" s="704" t="s">
        <v>1936</v>
      </c>
      <c r="H213" s="704" t="s">
        <v>1937</v>
      </c>
      <c r="I213" s="238">
        <v>2308.5500000000002</v>
      </c>
      <c r="J213" s="238">
        <v>3</v>
      </c>
      <c r="K213" s="712">
        <v>6925.64</v>
      </c>
    </row>
    <row r="214" spans="1:11" ht="14.4" customHeight="1" x14ac:dyDescent="0.3">
      <c r="A214" s="679" t="s">
        <v>507</v>
      </c>
      <c r="B214" s="670" t="s">
        <v>509</v>
      </c>
      <c r="C214" s="704" t="s">
        <v>533</v>
      </c>
      <c r="D214" s="722" t="s">
        <v>534</v>
      </c>
      <c r="E214" s="704" t="s">
        <v>1618</v>
      </c>
      <c r="F214" s="722" t="s">
        <v>1619</v>
      </c>
      <c r="G214" s="704" t="s">
        <v>1938</v>
      </c>
      <c r="H214" s="704" t="s">
        <v>1939</v>
      </c>
      <c r="I214" s="238">
        <v>2510.2199999999998</v>
      </c>
      <c r="J214" s="238">
        <v>10</v>
      </c>
      <c r="K214" s="712">
        <v>25102.19</v>
      </c>
    </row>
    <row r="215" spans="1:11" ht="14.4" customHeight="1" x14ac:dyDescent="0.3">
      <c r="A215" s="679" t="s">
        <v>507</v>
      </c>
      <c r="B215" s="670" t="s">
        <v>509</v>
      </c>
      <c r="C215" s="704" t="s">
        <v>533</v>
      </c>
      <c r="D215" s="722" t="s">
        <v>534</v>
      </c>
      <c r="E215" s="704" t="s">
        <v>1618</v>
      </c>
      <c r="F215" s="722" t="s">
        <v>1619</v>
      </c>
      <c r="G215" s="704" t="s">
        <v>1940</v>
      </c>
      <c r="H215" s="704" t="s">
        <v>1941</v>
      </c>
      <c r="I215" s="238">
        <v>2795.1</v>
      </c>
      <c r="J215" s="238">
        <v>4</v>
      </c>
      <c r="K215" s="712">
        <v>11180.4</v>
      </c>
    </row>
    <row r="216" spans="1:11" ht="14.4" customHeight="1" x14ac:dyDescent="0.3">
      <c r="A216" s="679" t="s">
        <v>507</v>
      </c>
      <c r="B216" s="670" t="s">
        <v>509</v>
      </c>
      <c r="C216" s="704" t="s">
        <v>533</v>
      </c>
      <c r="D216" s="722" t="s">
        <v>534</v>
      </c>
      <c r="E216" s="704" t="s">
        <v>1618</v>
      </c>
      <c r="F216" s="722" t="s">
        <v>1619</v>
      </c>
      <c r="G216" s="704" t="s">
        <v>1942</v>
      </c>
      <c r="H216" s="704" t="s">
        <v>1943</v>
      </c>
      <c r="I216" s="238">
        <v>64.739999999999995</v>
      </c>
      <c r="J216" s="238">
        <v>40</v>
      </c>
      <c r="K216" s="712">
        <v>2589.4</v>
      </c>
    </row>
    <row r="217" spans="1:11" ht="14.4" customHeight="1" x14ac:dyDescent="0.3">
      <c r="A217" s="679" t="s">
        <v>507</v>
      </c>
      <c r="B217" s="670" t="s">
        <v>509</v>
      </c>
      <c r="C217" s="704" t="s">
        <v>533</v>
      </c>
      <c r="D217" s="722" t="s">
        <v>534</v>
      </c>
      <c r="E217" s="704" t="s">
        <v>1618</v>
      </c>
      <c r="F217" s="722" t="s">
        <v>1619</v>
      </c>
      <c r="G217" s="704" t="s">
        <v>1690</v>
      </c>
      <c r="H217" s="704" t="s">
        <v>1691</v>
      </c>
      <c r="I217" s="238">
        <v>21.234999999999999</v>
      </c>
      <c r="J217" s="238">
        <v>4</v>
      </c>
      <c r="K217" s="712">
        <v>84.94</v>
      </c>
    </row>
    <row r="218" spans="1:11" ht="14.4" customHeight="1" x14ac:dyDescent="0.3">
      <c r="A218" s="679" t="s">
        <v>507</v>
      </c>
      <c r="B218" s="670" t="s">
        <v>509</v>
      </c>
      <c r="C218" s="704" t="s">
        <v>533</v>
      </c>
      <c r="D218" s="722" t="s">
        <v>534</v>
      </c>
      <c r="E218" s="704" t="s">
        <v>1618</v>
      </c>
      <c r="F218" s="722" t="s">
        <v>1619</v>
      </c>
      <c r="G218" s="704" t="s">
        <v>1944</v>
      </c>
      <c r="H218" s="704" t="s">
        <v>1945</v>
      </c>
      <c r="I218" s="238">
        <v>17.3</v>
      </c>
      <c r="J218" s="238">
        <v>100</v>
      </c>
      <c r="K218" s="712">
        <v>1730.3</v>
      </c>
    </row>
    <row r="219" spans="1:11" ht="14.4" customHeight="1" x14ac:dyDescent="0.3">
      <c r="A219" s="679" t="s">
        <v>507</v>
      </c>
      <c r="B219" s="670" t="s">
        <v>509</v>
      </c>
      <c r="C219" s="704" t="s">
        <v>533</v>
      </c>
      <c r="D219" s="722" t="s">
        <v>534</v>
      </c>
      <c r="E219" s="704" t="s">
        <v>1618</v>
      </c>
      <c r="F219" s="722" t="s">
        <v>1619</v>
      </c>
      <c r="G219" s="704" t="s">
        <v>1946</v>
      </c>
      <c r="H219" s="704" t="s">
        <v>1947</v>
      </c>
      <c r="I219" s="238">
        <v>2057</v>
      </c>
      <c r="J219" s="238">
        <v>3</v>
      </c>
      <c r="K219" s="712">
        <v>6171</v>
      </c>
    </row>
    <row r="220" spans="1:11" ht="14.4" customHeight="1" x14ac:dyDescent="0.3">
      <c r="A220" s="679" t="s">
        <v>507</v>
      </c>
      <c r="B220" s="670" t="s">
        <v>509</v>
      </c>
      <c r="C220" s="704" t="s">
        <v>533</v>
      </c>
      <c r="D220" s="722" t="s">
        <v>534</v>
      </c>
      <c r="E220" s="704" t="s">
        <v>1618</v>
      </c>
      <c r="F220" s="722" t="s">
        <v>1619</v>
      </c>
      <c r="G220" s="704" t="s">
        <v>1948</v>
      </c>
      <c r="H220" s="704" t="s">
        <v>1949</v>
      </c>
      <c r="I220" s="238">
        <v>3690.5</v>
      </c>
      <c r="J220" s="238">
        <v>3</v>
      </c>
      <c r="K220" s="712">
        <v>11071.5</v>
      </c>
    </row>
    <row r="221" spans="1:11" ht="14.4" customHeight="1" x14ac:dyDescent="0.3">
      <c r="A221" s="679" t="s">
        <v>507</v>
      </c>
      <c r="B221" s="670" t="s">
        <v>509</v>
      </c>
      <c r="C221" s="704" t="s">
        <v>533</v>
      </c>
      <c r="D221" s="722" t="s">
        <v>534</v>
      </c>
      <c r="E221" s="704" t="s">
        <v>1618</v>
      </c>
      <c r="F221" s="722" t="s">
        <v>1619</v>
      </c>
      <c r="G221" s="704" t="s">
        <v>1950</v>
      </c>
      <c r="H221" s="704" t="s">
        <v>1951</v>
      </c>
      <c r="I221" s="238">
        <v>2217.2666666666664</v>
      </c>
      <c r="J221" s="238">
        <v>16</v>
      </c>
      <c r="K221" s="712">
        <v>34589.339999999997</v>
      </c>
    </row>
    <row r="222" spans="1:11" ht="14.4" customHeight="1" x14ac:dyDescent="0.3">
      <c r="A222" s="679" t="s">
        <v>507</v>
      </c>
      <c r="B222" s="670" t="s">
        <v>509</v>
      </c>
      <c r="C222" s="704" t="s">
        <v>533</v>
      </c>
      <c r="D222" s="722" t="s">
        <v>534</v>
      </c>
      <c r="E222" s="704" t="s">
        <v>1618</v>
      </c>
      <c r="F222" s="722" t="s">
        <v>1619</v>
      </c>
      <c r="G222" s="704" t="s">
        <v>1952</v>
      </c>
      <c r="H222" s="704" t="s">
        <v>1953</v>
      </c>
      <c r="I222" s="238">
        <v>2156.67</v>
      </c>
      <c r="J222" s="238">
        <v>4</v>
      </c>
      <c r="K222" s="712">
        <v>8626.68</v>
      </c>
    </row>
    <row r="223" spans="1:11" ht="14.4" customHeight="1" x14ac:dyDescent="0.3">
      <c r="A223" s="679" t="s">
        <v>507</v>
      </c>
      <c r="B223" s="670" t="s">
        <v>509</v>
      </c>
      <c r="C223" s="704" t="s">
        <v>533</v>
      </c>
      <c r="D223" s="722" t="s">
        <v>534</v>
      </c>
      <c r="E223" s="704" t="s">
        <v>1618</v>
      </c>
      <c r="F223" s="722" t="s">
        <v>1619</v>
      </c>
      <c r="G223" s="704" t="s">
        <v>1954</v>
      </c>
      <c r="H223" s="704" t="s">
        <v>1955</v>
      </c>
      <c r="I223" s="238">
        <v>1860.64</v>
      </c>
      <c r="J223" s="238">
        <v>4</v>
      </c>
      <c r="K223" s="712">
        <v>7442.56</v>
      </c>
    </row>
    <row r="224" spans="1:11" ht="14.4" customHeight="1" x14ac:dyDescent="0.3">
      <c r="A224" s="679" t="s">
        <v>507</v>
      </c>
      <c r="B224" s="670" t="s">
        <v>509</v>
      </c>
      <c r="C224" s="704" t="s">
        <v>533</v>
      </c>
      <c r="D224" s="722" t="s">
        <v>534</v>
      </c>
      <c r="E224" s="704" t="s">
        <v>1618</v>
      </c>
      <c r="F224" s="722" t="s">
        <v>1619</v>
      </c>
      <c r="G224" s="704" t="s">
        <v>1956</v>
      </c>
      <c r="H224" s="704" t="s">
        <v>1957</v>
      </c>
      <c r="I224" s="238">
        <v>20399.099999999999</v>
      </c>
      <c r="J224" s="238">
        <v>1</v>
      </c>
      <c r="K224" s="712">
        <v>20399.099999999999</v>
      </c>
    </row>
    <row r="225" spans="1:11" ht="14.4" customHeight="1" x14ac:dyDescent="0.3">
      <c r="A225" s="679" t="s">
        <v>507</v>
      </c>
      <c r="B225" s="670" t="s">
        <v>509</v>
      </c>
      <c r="C225" s="704" t="s">
        <v>533</v>
      </c>
      <c r="D225" s="722" t="s">
        <v>534</v>
      </c>
      <c r="E225" s="704" t="s">
        <v>1618</v>
      </c>
      <c r="F225" s="722" t="s">
        <v>1619</v>
      </c>
      <c r="G225" s="704" t="s">
        <v>1958</v>
      </c>
      <c r="H225" s="704" t="s">
        <v>1959</v>
      </c>
      <c r="I225" s="238">
        <v>712.69</v>
      </c>
      <c r="J225" s="238">
        <v>4</v>
      </c>
      <c r="K225" s="712">
        <v>2850.76</v>
      </c>
    </row>
    <row r="226" spans="1:11" ht="14.4" customHeight="1" x14ac:dyDescent="0.3">
      <c r="A226" s="679" t="s">
        <v>507</v>
      </c>
      <c r="B226" s="670" t="s">
        <v>509</v>
      </c>
      <c r="C226" s="704" t="s">
        <v>533</v>
      </c>
      <c r="D226" s="722" t="s">
        <v>534</v>
      </c>
      <c r="E226" s="704" t="s">
        <v>1618</v>
      </c>
      <c r="F226" s="722" t="s">
        <v>1619</v>
      </c>
      <c r="G226" s="704" t="s">
        <v>1960</v>
      </c>
      <c r="H226" s="704" t="s">
        <v>1961</v>
      </c>
      <c r="I226" s="238">
        <v>124.4325</v>
      </c>
      <c r="J226" s="238">
        <v>4</v>
      </c>
      <c r="K226" s="712">
        <v>497.73</v>
      </c>
    </row>
    <row r="227" spans="1:11" ht="14.4" customHeight="1" x14ac:dyDescent="0.3">
      <c r="A227" s="679" t="s">
        <v>507</v>
      </c>
      <c r="B227" s="670" t="s">
        <v>509</v>
      </c>
      <c r="C227" s="704" t="s">
        <v>533</v>
      </c>
      <c r="D227" s="722" t="s">
        <v>534</v>
      </c>
      <c r="E227" s="704" t="s">
        <v>1618</v>
      </c>
      <c r="F227" s="722" t="s">
        <v>1619</v>
      </c>
      <c r="G227" s="704" t="s">
        <v>1962</v>
      </c>
      <c r="H227" s="704" t="s">
        <v>1963</v>
      </c>
      <c r="I227" s="238">
        <v>5352.62</v>
      </c>
      <c r="J227" s="238">
        <v>4</v>
      </c>
      <c r="K227" s="712">
        <v>21410.47</v>
      </c>
    </row>
    <row r="228" spans="1:11" ht="14.4" customHeight="1" x14ac:dyDescent="0.3">
      <c r="A228" s="679" t="s">
        <v>507</v>
      </c>
      <c r="B228" s="670" t="s">
        <v>509</v>
      </c>
      <c r="C228" s="704" t="s">
        <v>533</v>
      </c>
      <c r="D228" s="722" t="s">
        <v>534</v>
      </c>
      <c r="E228" s="704" t="s">
        <v>1618</v>
      </c>
      <c r="F228" s="722" t="s">
        <v>1619</v>
      </c>
      <c r="G228" s="704" t="s">
        <v>1964</v>
      </c>
      <c r="H228" s="704" t="s">
        <v>1965</v>
      </c>
      <c r="I228" s="238">
        <v>17.3</v>
      </c>
      <c r="J228" s="238">
        <v>10</v>
      </c>
      <c r="K228" s="712">
        <v>173.03</v>
      </c>
    </row>
    <row r="229" spans="1:11" ht="14.4" customHeight="1" x14ac:dyDescent="0.3">
      <c r="A229" s="679" t="s">
        <v>507</v>
      </c>
      <c r="B229" s="670" t="s">
        <v>509</v>
      </c>
      <c r="C229" s="704" t="s">
        <v>533</v>
      </c>
      <c r="D229" s="722" t="s">
        <v>534</v>
      </c>
      <c r="E229" s="704" t="s">
        <v>1618</v>
      </c>
      <c r="F229" s="722" t="s">
        <v>1619</v>
      </c>
      <c r="G229" s="704" t="s">
        <v>1966</v>
      </c>
      <c r="H229" s="704" t="s">
        <v>1967</v>
      </c>
      <c r="I229" s="238">
        <v>0.01</v>
      </c>
      <c r="J229" s="238">
        <v>20</v>
      </c>
      <c r="K229" s="712">
        <v>0.2</v>
      </c>
    </row>
    <row r="230" spans="1:11" ht="14.4" customHeight="1" x14ac:dyDescent="0.3">
      <c r="A230" s="679" t="s">
        <v>507</v>
      </c>
      <c r="B230" s="670" t="s">
        <v>509</v>
      </c>
      <c r="C230" s="704" t="s">
        <v>533</v>
      </c>
      <c r="D230" s="722" t="s">
        <v>534</v>
      </c>
      <c r="E230" s="704" t="s">
        <v>1622</v>
      </c>
      <c r="F230" s="722" t="s">
        <v>1623</v>
      </c>
      <c r="G230" s="704" t="s">
        <v>1968</v>
      </c>
      <c r="H230" s="704" t="s">
        <v>1969</v>
      </c>
      <c r="I230" s="238">
        <v>2495.5</v>
      </c>
      <c r="J230" s="238">
        <v>8</v>
      </c>
      <c r="K230" s="712">
        <v>19964</v>
      </c>
    </row>
    <row r="231" spans="1:11" ht="14.4" customHeight="1" x14ac:dyDescent="0.3">
      <c r="A231" s="679" t="s">
        <v>507</v>
      </c>
      <c r="B231" s="670" t="s">
        <v>509</v>
      </c>
      <c r="C231" s="704" t="s">
        <v>533</v>
      </c>
      <c r="D231" s="722" t="s">
        <v>534</v>
      </c>
      <c r="E231" s="704" t="s">
        <v>1622</v>
      </c>
      <c r="F231" s="722" t="s">
        <v>1623</v>
      </c>
      <c r="G231" s="704" t="s">
        <v>1970</v>
      </c>
      <c r="H231" s="704" t="s">
        <v>1971</v>
      </c>
      <c r="I231" s="238">
        <v>10520.83</v>
      </c>
      <c r="J231" s="238">
        <v>4</v>
      </c>
      <c r="K231" s="712">
        <v>41582.33</v>
      </c>
    </row>
    <row r="232" spans="1:11" ht="14.4" customHeight="1" x14ac:dyDescent="0.3">
      <c r="A232" s="679" t="s">
        <v>507</v>
      </c>
      <c r="B232" s="670" t="s">
        <v>509</v>
      </c>
      <c r="C232" s="704" t="s">
        <v>533</v>
      </c>
      <c r="D232" s="722" t="s">
        <v>534</v>
      </c>
      <c r="E232" s="704" t="s">
        <v>1622</v>
      </c>
      <c r="F232" s="722" t="s">
        <v>1623</v>
      </c>
      <c r="G232" s="704" t="s">
        <v>1972</v>
      </c>
      <c r="H232" s="704" t="s">
        <v>1973</v>
      </c>
      <c r="I232" s="238">
        <v>11522.82</v>
      </c>
      <c r="J232" s="238">
        <v>1</v>
      </c>
      <c r="K232" s="712">
        <v>11522.82</v>
      </c>
    </row>
    <row r="233" spans="1:11" ht="14.4" customHeight="1" x14ac:dyDescent="0.3">
      <c r="A233" s="679" t="s">
        <v>507</v>
      </c>
      <c r="B233" s="670" t="s">
        <v>509</v>
      </c>
      <c r="C233" s="704" t="s">
        <v>533</v>
      </c>
      <c r="D233" s="722" t="s">
        <v>534</v>
      </c>
      <c r="E233" s="704" t="s">
        <v>1622</v>
      </c>
      <c r="F233" s="722" t="s">
        <v>1623</v>
      </c>
      <c r="G233" s="704" t="s">
        <v>1974</v>
      </c>
      <c r="H233" s="704" t="s">
        <v>1975</v>
      </c>
      <c r="I233" s="238">
        <v>11021.823333333334</v>
      </c>
      <c r="J233" s="238">
        <v>8</v>
      </c>
      <c r="K233" s="712">
        <v>86170.62</v>
      </c>
    </row>
    <row r="234" spans="1:11" ht="14.4" customHeight="1" x14ac:dyDescent="0.3">
      <c r="A234" s="679" t="s">
        <v>507</v>
      </c>
      <c r="B234" s="670" t="s">
        <v>509</v>
      </c>
      <c r="C234" s="704" t="s">
        <v>533</v>
      </c>
      <c r="D234" s="722" t="s">
        <v>534</v>
      </c>
      <c r="E234" s="704" t="s">
        <v>1622</v>
      </c>
      <c r="F234" s="722" t="s">
        <v>1623</v>
      </c>
      <c r="G234" s="704" t="s">
        <v>1976</v>
      </c>
      <c r="H234" s="704" t="s">
        <v>1977</v>
      </c>
      <c r="I234" s="238">
        <v>10771.328750000001</v>
      </c>
      <c r="J234" s="238">
        <v>9</v>
      </c>
      <c r="K234" s="712">
        <v>96190.47</v>
      </c>
    </row>
    <row r="235" spans="1:11" ht="14.4" customHeight="1" x14ac:dyDescent="0.3">
      <c r="A235" s="679" t="s">
        <v>507</v>
      </c>
      <c r="B235" s="670" t="s">
        <v>509</v>
      </c>
      <c r="C235" s="704" t="s">
        <v>533</v>
      </c>
      <c r="D235" s="722" t="s">
        <v>534</v>
      </c>
      <c r="E235" s="704" t="s">
        <v>1622</v>
      </c>
      <c r="F235" s="722" t="s">
        <v>1623</v>
      </c>
      <c r="G235" s="704" t="s">
        <v>1978</v>
      </c>
      <c r="H235" s="704" t="s">
        <v>1979</v>
      </c>
      <c r="I235" s="238">
        <v>2761.08</v>
      </c>
      <c r="J235" s="238">
        <v>13</v>
      </c>
      <c r="K235" s="712">
        <v>35894.050000000003</v>
      </c>
    </row>
    <row r="236" spans="1:11" ht="14.4" customHeight="1" x14ac:dyDescent="0.3">
      <c r="A236" s="679" t="s">
        <v>507</v>
      </c>
      <c r="B236" s="670" t="s">
        <v>509</v>
      </c>
      <c r="C236" s="704" t="s">
        <v>533</v>
      </c>
      <c r="D236" s="722" t="s">
        <v>534</v>
      </c>
      <c r="E236" s="704" t="s">
        <v>1622</v>
      </c>
      <c r="F236" s="722" t="s">
        <v>1623</v>
      </c>
      <c r="G236" s="704" t="s">
        <v>1980</v>
      </c>
      <c r="H236" s="704" t="s">
        <v>1981</v>
      </c>
      <c r="I236" s="238">
        <v>7063.3</v>
      </c>
      <c r="J236" s="238">
        <v>2</v>
      </c>
      <c r="K236" s="712">
        <v>14126.6</v>
      </c>
    </row>
    <row r="237" spans="1:11" ht="14.4" customHeight="1" x14ac:dyDescent="0.3">
      <c r="A237" s="679" t="s">
        <v>507</v>
      </c>
      <c r="B237" s="670" t="s">
        <v>509</v>
      </c>
      <c r="C237" s="704" t="s">
        <v>533</v>
      </c>
      <c r="D237" s="722" t="s">
        <v>534</v>
      </c>
      <c r="E237" s="704" t="s">
        <v>1622</v>
      </c>
      <c r="F237" s="722" t="s">
        <v>1623</v>
      </c>
      <c r="G237" s="704" t="s">
        <v>1982</v>
      </c>
      <c r="H237" s="704" t="s">
        <v>1983</v>
      </c>
      <c r="I237" s="238">
        <v>7455.4500000000007</v>
      </c>
      <c r="J237" s="238">
        <v>3</v>
      </c>
      <c r="K237" s="712">
        <v>21974.2</v>
      </c>
    </row>
    <row r="238" spans="1:11" ht="14.4" customHeight="1" x14ac:dyDescent="0.3">
      <c r="A238" s="679" t="s">
        <v>507</v>
      </c>
      <c r="B238" s="670" t="s">
        <v>509</v>
      </c>
      <c r="C238" s="704" t="s">
        <v>533</v>
      </c>
      <c r="D238" s="722" t="s">
        <v>534</v>
      </c>
      <c r="E238" s="704" t="s">
        <v>1622</v>
      </c>
      <c r="F238" s="722" t="s">
        <v>1623</v>
      </c>
      <c r="G238" s="704" t="s">
        <v>1984</v>
      </c>
      <c r="H238" s="704" t="s">
        <v>1985</v>
      </c>
      <c r="I238" s="238">
        <v>5043.8999999999996</v>
      </c>
      <c r="J238" s="238">
        <v>2</v>
      </c>
      <c r="K238" s="712">
        <v>10087.799999999999</v>
      </c>
    </row>
    <row r="239" spans="1:11" ht="14.4" customHeight="1" x14ac:dyDescent="0.3">
      <c r="A239" s="679" t="s">
        <v>507</v>
      </c>
      <c r="B239" s="670" t="s">
        <v>509</v>
      </c>
      <c r="C239" s="704" t="s">
        <v>533</v>
      </c>
      <c r="D239" s="722" t="s">
        <v>534</v>
      </c>
      <c r="E239" s="704" t="s">
        <v>1622</v>
      </c>
      <c r="F239" s="722" t="s">
        <v>1623</v>
      </c>
      <c r="G239" s="704" t="s">
        <v>1986</v>
      </c>
      <c r="H239" s="704" t="s">
        <v>1987</v>
      </c>
      <c r="I239" s="238">
        <v>2876.7200000000003</v>
      </c>
      <c r="J239" s="238">
        <v>16</v>
      </c>
      <c r="K239" s="712">
        <v>46027.5</v>
      </c>
    </row>
    <row r="240" spans="1:11" ht="14.4" customHeight="1" x14ac:dyDescent="0.3">
      <c r="A240" s="679" t="s">
        <v>507</v>
      </c>
      <c r="B240" s="670" t="s">
        <v>509</v>
      </c>
      <c r="C240" s="704" t="s">
        <v>533</v>
      </c>
      <c r="D240" s="722" t="s">
        <v>534</v>
      </c>
      <c r="E240" s="704" t="s">
        <v>1622</v>
      </c>
      <c r="F240" s="722" t="s">
        <v>1623</v>
      </c>
      <c r="G240" s="704" t="s">
        <v>1988</v>
      </c>
      <c r="H240" s="704" t="s">
        <v>1989</v>
      </c>
      <c r="I240" s="238">
        <v>9292.14</v>
      </c>
      <c r="J240" s="238">
        <v>2</v>
      </c>
      <c r="K240" s="712">
        <v>18584.28</v>
      </c>
    </row>
    <row r="241" spans="1:11" ht="14.4" customHeight="1" x14ac:dyDescent="0.3">
      <c r="A241" s="679" t="s">
        <v>507</v>
      </c>
      <c r="B241" s="670" t="s">
        <v>509</v>
      </c>
      <c r="C241" s="704" t="s">
        <v>533</v>
      </c>
      <c r="D241" s="722" t="s">
        <v>534</v>
      </c>
      <c r="E241" s="704" t="s">
        <v>1622</v>
      </c>
      <c r="F241" s="722" t="s">
        <v>1623</v>
      </c>
      <c r="G241" s="704" t="s">
        <v>1990</v>
      </c>
      <c r="H241" s="704" t="s">
        <v>1991</v>
      </c>
      <c r="I241" s="238">
        <v>205.19499999999999</v>
      </c>
      <c r="J241" s="238">
        <v>150</v>
      </c>
      <c r="K241" s="712">
        <v>30779.45</v>
      </c>
    </row>
    <row r="242" spans="1:11" ht="14.4" customHeight="1" x14ac:dyDescent="0.3">
      <c r="A242" s="679" t="s">
        <v>507</v>
      </c>
      <c r="B242" s="670" t="s">
        <v>509</v>
      </c>
      <c r="C242" s="704" t="s">
        <v>533</v>
      </c>
      <c r="D242" s="722" t="s">
        <v>534</v>
      </c>
      <c r="E242" s="704" t="s">
        <v>1622</v>
      </c>
      <c r="F242" s="722" t="s">
        <v>1623</v>
      </c>
      <c r="G242" s="704" t="s">
        <v>1992</v>
      </c>
      <c r="H242" s="704" t="s">
        <v>1993</v>
      </c>
      <c r="I242" s="238">
        <v>10771.215</v>
      </c>
      <c r="J242" s="238">
        <v>4</v>
      </c>
      <c r="K242" s="712">
        <v>43084.86</v>
      </c>
    </row>
    <row r="243" spans="1:11" ht="14.4" customHeight="1" x14ac:dyDescent="0.3">
      <c r="A243" s="679" t="s">
        <v>507</v>
      </c>
      <c r="B243" s="670" t="s">
        <v>509</v>
      </c>
      <c r="C243" s="704" t="s">
        <v>533</v>
      </c>
      <c r="D243" s="722" t="s">
        <v>534</v>
      </c>
      <c r="E243" s="704" t="s">
        <v>1622</v>
      </c>
      <c r="F243" s="722" t="s">
        <v>1623</v>
      </c>
      <c r="G243" s="704" t="s">
        <v>1994</v>
      </c>
      <c r="H243" s="704" t="s">
        <v>1995</v>
      </c>
      <c r="I243" s="238">
        <v>10019.84</v>
      </c>
      <c r="J243" s="238">
        <v>1</v>
      </c>
      <c r="K243" s="712">
        <v>10019.84</v>
      </c>
    </row>
    <row r="244" spans="1:11" ht="14.4" customHeight="1" x14ac:dyDescent="0.3">
      <c r="A244" s="679" t="s">
        <v>507</v>
      </c>
      <c r="B244" s="670" t="s">
        <v>509</v>
      </c>
      <c r="C244" s="704" t="s">
        <v>533</v>
      </c>
      <c r="D244" s="722" t="s">
        <v>534</v>
      </c>
      <c r="E244" s="704" t="s">
        <v>1622</v>
      </c>
      <c r="F244" s="722" t="s">
        <v>1623</v>
      </c>
      <c r="G244" s="704" t="s">
        <v>1996</v>
      </c>
      <c r="H244" s="704" t="s">
        <v>1997</v>
      </c>
      <c r="I244" s="238">
        <v>4896.5200000000004</v>
      </c>
      <c r="J244" s="238">
        <v>1</v>
      </c>
      <c r="K244" s="712">
        <v>4896.5200000000004</v>
      </c>
    </row>
    <row r="245" spans="1:11" ht="14.4" customHeight="1" x14ac:dyDescent="0.3">
      <c r="A245" s="679" t="s">
        <v>507</v>
      </c>
      <c r="B245" s="670" t="s">
        <v>509</v>
      </c>
      <c r="C245" s="704" t="s">
        <v>533</v>
      </c>
      <c r="D245" s="722" t="s">
        <v>534</v>
      </c>
      <c r="E245" s="704" t="s">
        <v>1622</v>
      </c>
      <c r="F245" s="722" t="s">
        <v>1623</v>
      </c>
      <c r="G245" s="704" t="s">
        <v>1998</v>
      </c>
      <c r="H245" s="704" t="s">
        <v>1999</v>
      </c>
      <c r="I245" s="238">
        <v>2917.26</v>
      </c>
      <c r="J245" s="238">
        <v>4</v>
      </c>
      <c r="K245" s="712">
        <v>11669.04</v>
      </c>
    </row>
    <row r="246" spans="1:11" ht="14.4" customHeight="1" x14ac:dyDescent="0.3">
      <c r="A246" s="679" t="s">
        <v>507</v>
      </c>
      <c r="B246" s="670" t="s">
        <v>509</v>
      </c>
      <c r="C246" s="704" t="s">
        <v>533</v>
      </c>
      <c r="D246" s="722" t="s">
        <v>534</v>
      </c>
      <c r="E246" s="704" t="s">
        <v>1622</v>
      </c>
      <c r="F246" s="722" t="s">
        <v>1623</v>
      </c>
      <c r="G246" s="704" t="s">
        <v>2000</v>
      </c>
      <c r="H246" s="704" t="s">
        <v>2001</v>
      </c>
      <c r="I246" s="238">
        <v>3928.34</v>
      </c>
      <c r="J246" s="238">
        <v>1</v>
      </c>
      <c r="K246" s="712">
        <v>3928.34</v>
      </c>
    </row>
    <row r="247" spans="1:11" ht="14.4" customHeight="1" x14ac:dyDescent="0.3">
      <c r="A247" s="679" t="s">
        <v>507</v>
      </c>
      <c r="B247" s="670" t="s">
        <v>509</v>
      </c>
      <c r="C247" s="704" t="s">
        <v>533</v>
      </c>
      <c r="D247" s="722" t="s">
        <v>534</v>
      </c>
      <c r="E247" s="704" t="s">
        <v>1622</v>
      </c>
      <c r="F247" s="722" t="s">
        <v>1623</v>
      </c>
      <c r="G247" s="704" t="s">
        <v>2002</v>
      </c>
      <c r="H247" s="704" t="s">
        <v>2003</v>
      </c>
      <c r="I247" s="238">
        <v>3928.34</v>
      </c>
      <c r="J247" s="238">
        <v>1</v>
      </c>
      <c r="K247" s="712">
        <v>3928.34</v>
      </c>
    </row>
    <row r="248" spans="1:11" ht="14.4" customHeight="1" x14ac:dyDescent="0.3">
      <c r="A248" s="679" t="s">
        <v>507</v>
      </c>
      <c r="B248" s="670" t="s">
        <v>509</v>
      </c>
      <c r="C248" s="704" t="s">
        <v>533</v>
      </c>
      <c r="D248" s="722" t="s">
        <v>534</v>
      </c>
      <c r="E248" s="704" t="s">
        <v>1622</v>
      </c>
      <c r="F248" s="722" t="s">
        <v>1623</v>
      </c>
      <c r="G248" s="704" t="s">
        <v>2004</v>
      </c>
      <c r="H248" s="704" t="s">
        <v>2005</v>
      </c>
      <c r="I248" s="238">
        <v>9292.14</v>
      </c>
      <c r="J248" s="238">
        <v>7</v>
      </c>
      <c r="K248" s="712">
        <v>65044.979999999996</v>
      </c>
    </row>
    <row r="249" spans="1:11" ht="14.4" customHeight="1" x14ac:dyDescent="0.3">
      <c r="A249" s="679" t="s">
        <v>507</v>
      </c>
      <c r="B249" s="670" t="s">
        <v>509</v>
      </c>
      <c r="C249" s="704" t="s">
        <v>533</v>
      </c>
      <c r="D249" s="722" t="s">
        <v>534</v>
      </c>
      <c r="E249" s="704" t="s">
        <v>1622</v>
      </c>
      <c r="F249" s="722" t="s">
        <v>1623</v>
      </c>
      <c r="G249" s="704" t="s">
        <v>2006</v>
      </c>
      <c r="H249" s="704" t="s">
        <v>2007</v>
      </c>
      <c r="I249" s="238">
        <v>9292.14</v>
      </c>
      <c r="J249" s="238">
        <v>5</v>
      </c>
      <c r="K249" s="712">
        <v>46460.69</v>
      </c>
    </row>
    <row r="250" spans="1:11" ht="14.4" customHeight="1" x14ac:dyDescent="0.3">
      <c r="A250" s="679" t="s">
        <v>507</v>
      </c>
      <c r="B250" s="670" t="s">
        <v>509</v>
      </c>
      <c r="C250" s="704" t="s">
        <v>533</v>
      </c>
      <c r="D250" s="722" t="s">
        <v>534</v>
      </c>
      <c r="E250" s="704" t="s">
        <v>1622</v>
      </c>
      <c r="F250" s="722" t="s">
        <v>1623</v>
      </c>
      <c r="G250" s="704" t="s">
        <v>2008</v>
      </c>
      <c r="H250" s="704" t="s">
        <v>2009</v>
      </c>
      <c r="I250" s="238">
        <v>12172.92</v>
      </c>
      <c r="J250" s="238">
        <v>4</v>
      </c>
      <c r="K250" s="712">
        <v>48691.69</v>
      </c>
    </row>
    <row r="251" spans="1:11" ht="14.4" customHeight="1" x14ac:dyDescent="0.3">
      <c r="A251" s="679" t="s">
        <v>507</v>
      </c>
      <c r="B251" s="670" t="s">
        <v>509</v>
      </c>
      <c r="C251" s="704" t="s">
        <v>533</v>
      </c>
      <c r="D251" s="722" t="s">
        <v>534</v>
      </c>
      <c r="E251" s="704" t="s">
        <v>1622</v>
      </c>
      <c r="F251" s="722" t="s">
        <v>1623</v>
      </c>
      <c r="G251" s="704" t="s">
        <v>2010</v>
      </c>
      <c r="H251" s="704" t="s">
        <v>2011</v>
      </c>
      <c r="I251" s="238">
        <v>3682.2</v>
      </c>
      <c r="J251" s="238">
        <v>2</v>
      </c>
      <c r="K251" s="712">
        <v>7364.39</v>
      </c>
    </row>
    <row r="252" spans="1:11" ht="14.4" customHeight="1" x14ac:dyDescent="0.3">
      <c r="A252" s="679" t="s">
        <v>507</v>
      </c>
      <c r="B252" s="670" t="s">
        <v>509</v>
      </c>
      <c r="C252" s="704" t="s">
        <v>533</v>
      </c>
      <c r="D252" s="722" t="s">
        <v>534</v>
      </c>
      <c r="E252" s="704" t="s">
        <v>1622</v>
      </c>
      <c r="F252" s="722" t="s">
        <v>1623</v>
      </c>
      <c r="G252" s="704" t="s">
        <v>2012</v>
      </c>
      <c r="H252" s="704" t="s">
        <v>2013</v>
      </c>
      <c r="I252" s="238">
        <v>10119.620000000001</v>
      </c>
      <c r="J252" s="238">
        <v>2</v>
      </c>
      <c r="K252" s="712">
        <v>20239.240000000002</v>
      </c>
    </row>
    <row r="253" spans="1:11" ht="14.4" customHeight="1" x14ac:dyDescent="0.3">
      <c r="A253" s="679" t="s">
        <v>507</v>
      </c>
      <c r="B253" s="670" t="s">
        <v>509</v>
      </c>
      <c r="C253" s="704" t="s">
        <v>533</v>
      </c>
      <c r="D253" s="722" t="s">
        <v>534</v>
      </c>
      <c r="E253" s="704" t="s">
        <v>1622</v>
      </c>
      <c r="F253" s="722" t="s">
        <v>1623</v>
      </c>
      <c r="G253" s="704" t="s">
        <v>2014</v>
      </c>
      <c r="H253" s="704" t="s">
        <v>2015</v>
      </c>
      <c r="I253" s="238">
        <v>10120</v>
      </c>
      <c r="J253" s="238">
        <v>3</v>
      </c>
      <c r="K253" s="712">
        <v>30360</v>
      </c>
    </row>
    <row r="254" spans="1:11" ht="14.4" customHeight="1" x14ac:dyDescent="0.3">
      <c r="A254" s="679" t="s">
        <v>507</v>
      </c>
      <c r="B254" s="670" t="s">
        <v>509</v>
      </c>
      <c r="C254" s="704" t="s">
        <v>533</v>
      </c>
      <c r="D254" s="722" t="s">
        <v>534</v>
      </c>
      <c r="E254" s="704" t="s">
        <v>1622</v>
      </c>
      <c r="F254" s="722" t="s">
        <v>1623</v>
      </c>
      <c r="G254" s="704" t="s">
        <v>2016</v>
      </c>
      <c r="H254" s="704" t="s">
        <v>2017</v>
      </c>
      <c r="I254" s="238">
        <v>10120</v>
      </c>
      <c r="J254" s="238">
        <v>15</v>
      </c>
      <c r="K254" s="712">
        <v>151800</v>
      </c>
    </row>
    <row r="255" spans="1:11" ht="14.4" customHeight="1" x14ac:dyDescent="0.3">
      <c r="A255" s="679" t="s">
        <v>507</v>
      </c>
      <c r="B255" s="670" t="s">
        <v>509</v>
      </c>
      <c r="C255" s="704" t="s">
        <v>533</v>
      </c>
      <c r="D255" s="722" t="s">
        <v>534</v>
      </c>
      <c r="E255" s="704" t="s">
        <v>1622</v>
      </c>
      <c r="F255" s="722" t="s">
        <v>1623</v>
      </c>
      <c r="G255" s="704" t="s">
        <v>2018</v>
      </c>
      <c r="H255" s="704" t="s">
        <v>2019</v>
      </c>
      <c r="I255" s="238">
        <v>10120</v>
      </c>
      <c r="J255" s="238">
        <v>2</v>
      </c>
      <c r="K255" s="712">
        <v>20240</v>
      </c>
    </row>
    <row r="256" spans="1:11" ht="14.4" customHeight="1" x14ac:dyDescent="0.3">
      <c r="A256" s="679" t="s">
        <v>507</v>
      </c>
      <c r="B256" s="670" t="s">
        <v>509</v>
      </c>
      <c r="C256" s="704" t="s">
        <v>533</v>
      </c>
      <c r="D256" s="722" t="s">
        <v>534</v>
      </c>
      <c r="E256" s="704" t="s">
        <v>1622</v>
      </c>
      <c r="F256" s="722" t="s">
        <v>1623</v>
      </c>
      <c r="G256" s="704" t="s">
        <v>2020</v>
      </c>
      <c r="H256" s="704" t="s">
        <v>2021</v>
      </c>
      <c r="I256" s="238">
        <v>1776.875</v>
      </c>
      <c r="J256" s="238">
        <v>8</v>
      </c>
      <c r="K256" s="712">
        <v>14215</v>
      </c>
    </row>
    <row r="257" spans="1:11" ht="14.4" customHeight="1" x14ac:dyDescent="0.3">
      <c r="A257" s="679" t="s">
        <v>507</v>
      </c>
      <c r="B257" s="670" t="s">
        <v>509</v>
      </c>
      <c r="C257" s="704" t="s">
        <v>533</v>
      </c>
      <c r="D257" s="722" t="s">
        <v>534</v>
      </c>
      <c r="E257" s="704" t="s">
        <v>1622</v>
      </c>
      <c r="F257" s="722" t="s">
        <v>1623</v>
      </c>
      <c r="G257" s="704" t="s">
        <v>2022</v>
      </c>
      <c r="H257" s="704" t="s">
        <v>2023</v>
      </c>
      <c r="I257" s="238">
        <v>2323.09375</v>
      </c>
      <c r="J257" s="238">
        <v>12</v>
      </c>
      <c r="K257" s="712">
        <v>25692.5</v>
      </c>
    </row>
    <row r="258" spans="1:11" ht="14.4" customHeight="1" x14ac:dyDescent="0.3">
      <c r="A258" s="679" t="s">
        <v>507</v>
      </c>
      <c r="B258" s="670" t="s">
        <v>509</v>
      </c>
      <c r="C258" s="704" t="s">
        <v>533</v>
      </c>
      <c r="D258" s="722" t="s">
        <v>534</v>
      </c>
      <c r="E258" s="704" t="s">
        <v>1622</v>
      </c>
      <c r="F258" s="722" t="s">
        <v>1623</v>
      </c>
      <c r="G258" s="704" t="s">
        <v>2024</v>
      </c>
      <c r="H258" s="704" t="s">
        <v>2025</v>
      </c>
      <c r="I258" s="238">
        <v>1594.6666666666667</v>
      </c>
      <c r="J258" s="238">
        <v>4</v>
      </c>
      <c r="K258" s="712">
        <v>7107</v>
      </c>
    </row>
    <row r="259" spans="1:11" ht="14.4" customHeight="1" x14ac:dyDescent="0.3">
      <c r="A259" s="679" t="s">
        <v>507</v>
      </c>
      <c r="B259" s="670" t="s">
        <v>509</v>
      </c>
      <c r="C259" s="704" t="s">
        <v>533</v>
      </c>
      <c r="D259" s="722" t="s">
        <v>534</v>
      </c>
      <c r="E259" s="704" t="s">
        <v>1622</v>
      </c>
      <c r="F259" s="722" t="s">
        <v>1623</v>
      </c>
      <c r="G259" s="704" t="s">
        <v>2026</v>
      </c>
      <c r="H259" s="704" t="s">
        <v>2027</v>
      </c>
      <c r="I259" s="238">
        <v>1230.5</v>
      </c>
      <c r="J259" s="238">
        <v>2</v>
      </c>
      <c r="K259" s="712">
        <v>2461</v>
      </c>
    </row>
    <row r="260" spans="1:11" ht="14.4" customHeight="1" x14ac:dyDescent="0.3">
      <c r="A260" s="679" t="s">
        <v>507</v>
      </c>
      <c r="B260" s="670" t="s">
        <v>509</v>
      </c>
      <c r="C260" s="704" t="s">
        <v>533</v>
      </c>
      <c r="D260" s="722" t="s">
        <v>534</v>
      </c>
      <c r="E260" s="704" t="s">
        <v>1622</v>
      </c>
      <c r="F260" s="722" t="s">
        <v>1623</v>
      </c>
      <c r="G260" s="704" t="s">
        <v>2028</v>
      </c>
      <c r="H260" s="704" t="s">
        <v>2029</v>
      </c>
      <c r="I260" s="238">
        <v>2923.9</v>
      </c>
      <c r="J260" s="238">
        <v>53</v>
      </c>
      <c r="K260" s="712">
        <v>154382.75</v>
      </c>
    </row>
    <row r="261" spans="1:11" ht="14.4" customHeight="1" x14ac:dyDescent="0.3">
      <c r="A261" s="679" t="s">
        <v>507</v>
      </c>
      <c r="B261" s="670" t="s">
        <v>509</v>
      </c>
      <c r="C261" s="704" t="s">
        <v>533</v>
      </c>
      <c r="D261" s="722" t="s">
        <v>534</v>
      </c>
      <c r="E261" s="704" t="s">
        <v>1622</v>
      </c>
      <c r="F261" s="722" t="s">
        <v>1623</v>
      </c>
      <c r="G261" s="704" t="s">
        <v>2030</v>
      </c>
      <c r="H261" s="704" t="s">
        <v>2031</v>
      </c>
      <c r="I261" s="238">
        <v>10120</v>
      </c>
      <c r="J261" s="238">
        <v>30</v>
      </c>
      <c r="K261" s="712">
        <v>303600</v>
      </c>
    </row>
    <row r="262" spans="1:11" ht="14.4" customHeight="1" x14ac:dyDescent="0.3">
      <c r="A262" s="679" t="s">
        <v>507</v>
      </c>
      <c r="B262" s="670" t="s">
        <v>509</v>
      </c>
      <c r="C262" s="704" t="s">
        <v>533</v>
      </c>
      <c r="D262" s="722" t="s">
        <v>534</v>
      </c>
      <c r="E262" s="704" t="s">
        <v>1622</v>
      </c>
      <c r="F262" s="722" t="s">
        <v>1623</v>
      </c>
      <c r="G262" s="704" t="s">
        <v>2032</v>
      </c>
      <c r="H262" s="704" t="s">
        <v>2033</v>
      </c>
      <c r="I262" s="238">
        <v>16900</v>
      </c>
      <c r="J262" s="238">
        <v>2</v>
      </c>
      <c r="K262" s="712">
        <v>33800</v>
      </c>
    </row>
    <row r="263" spans="1:11" ht="14.4" customHeight="1" x14ac:dyDescent="0.3">
      <c r="A263" s="679" t="s">
        <v>507</v>
      </c>
      <c r="B263" s="670" t="s">
        <v>509</v>
      </c>
      <c r="C263" s="704" t="s">
        <v>533</v>
      </c>
      <c r="D263" s="722" t="s">
        <v>534</v>
      </c>
      <c r="E263" s="704" t="s">
        <v>1622</v>
      </c>
      <c r="F263" s="722" t="s">
        <v>1623</v>
      </c>
      <c r="G263" s="704" t="s">
        <v>2034</v>
      </c>
      <c r="H263" s="704" t="s">
        <v>2035</v>
      </c>
      <c r="I263" s="238">
        <v>1042.155</v>
      </c>
      <c r="J263" s="238">
        <v>30</v>
      </c>
      <c r="K263" s="712">
        <v>31266.660000000003</v>
      </c>
    </row>
    <row r="264" spans="1:11" ht="14.4" customHeight="1" x14ac:dyDescent="0.3">
      <c r="A264" s="679" t="s">
        <v>507</v>
      </c>
      <c r="B264" s="670" t="s">
        <v>509</v>
      </c>
      <c r="C264" s="704" t="s">
        <v>533</v>
      </c>
      <c r="D264" s="722" t="s">
        <v>534</v>
      </c>
      <c r="E264" s="704" t="s">
        <v>1622</v>
      </c>
      <c r="F264" s="722" t="s">
        <v>1623</v>
      </c>
      <c r="G264" s="704" t="s">
        <v>2036</v>
      </c>
      <c r="H264" s="704" t="s">
        <v>2037</v>
      </c>
      <c r="I264" s="238">
        <v>1760.16</v>
      </c>
      <c r="J264" s="238">
        <v>1</v>
      </c>
      <c r="K264" s="712">
        <v>1760.16</v>
      </c>
    </row>
    <row r="265" spans="1:11" ht="14.4" customHeight="1" x14ac:dyDescent="0.3">
      <c r="A265" s="679" t="s">
        <v>507</v>
      </c>
      <c r="B265" s="670" t="s">
        <v>509</v>
      </c>
      <c r="C265" s="704" t="s">
        <v>533</v>
      </c>
      <c r="D265" s="722" t="s">
        <v>534</v>
      </c>
      <c r="E265" s="704" t="s">
        <v>1622</v>
      </c>
      <c r="F265" s="722" t="s">
        <v>1623</v>
      </c>
      <c r="G265" s="704" t="s">
        <v>2038</v>
      </c>
      <c r="H265" s="704" t="s">
        <v>2039</v>
      </c>
      <c r="I265" s="238">
        <v>12823.86</v>
      </c>
      <c r="J265" s="238">
        <v>4</v>
      </c>
      <c r="K265" s="712">
        <v>51295.44</v>
      </c>
    </row>
    <row r="266" spans="1:11" ht="14.4" customHeight="1" x14ac:dyDescent="0.3">
      <c r="A266" s="679" t="s">
        <v>507</v>
      </c>
      <c r="B266" s="670" t="s">
        <v>509</v>
      </c>
      <c r="C266" s="704" t="s">
        <v>533</v>
      </c>
      <c r="D266" s="722" t="s">
        <v>534</v>
      </c>
      <c r="E266" s="704" t="s">
        <v>1622</v>
      </c>
      <c r="F266" s="722" t="s">
        <v>1623</v>
      </c>
      <c r="G266" s="704" t="s">
        <v>2040</v>
      </c>
      <c r="H266" s="704" t="s">
        <v>2041</v>
      </c>
      <c r="I266" s="238">
        <v>7952.64</v>
      </c>
      <c r="J266" s="238">
        <v>1</v>
      </c>
      <c r="K266" s="712">
        <v>7952.64</v>
      </c>
    </row>
    <row r="267" spans="1:11" ht="14.4" customHeight="1" x14ac:dyDescent="0.3">
      <c r="A267" s="679" t="s">
        <v>507</v>
      </c>
      <c r="B267" s="670" t="s">
        <v>509</v>
      </c>
      <c r="C267" s="704" t="s">
        <v>533</v>
      </c>
      <c r="D267" s="722" t="s">
        <v>534</v>
      </c>
      <c r="E267" s="704" t="s">
        <v>1622</v>
      </c>
      <c r="F267" s="722" t="s">
        <v>1623</v>
      </c>
      <c r="G267" s="704" t="s">
        <v>2042</v>
      </c>
      <c r="H267" s="704" t="s">
        <v>2043</v>
      </c>
      <c r="I267" s="238">
        <v>3682.2</v>
      </c>
      <c r="J267" s="238">
        <v>2</v>
      </c>
      <c r="K267" s="712">
        <v>7364.39</v>
      </c>
    </row>
    <row r="268" spans="1:11" ht="14.4" customHeight="1" x14ac:dyDescent="0.3">
      <c r="A268" s="679" t="s">
        <v>507</v>
      </c>
      <c r="B268" s="670" t="s">
        <v>509</v>
      </c>
      <c r="C268" s="704" t="s">
        <v>533</v>
      </c>
      <c r="D268" s="722" t="s">
        <v>534</v>
      </c>
      <c r="E268" s="704" t="s">
        <v>1622</v>
      </c>
      <c r="F268" s="722" t="s">
        <v>1623</v>
      </c>
      <c r="G268" s="704" t="s">
        <v>2044</v>
      </c>
      <c r="H268" s="704" t="s">
        <v>2045</v>
      </c>
      <c r="I268" s="238">
        <v>3928.34</v>
      </c>
      <c r="J268" s="238">
        <v>1</v>
      </c>
      <c r="K268" s="712">
        <v>3928.34</v>
      </c>
    </row>
    <row r="269" spans="1:11" ht="14.4" customHeight="1" x14ac:dyDescent="0.3">
      <c r="A269" s="679" t="s">
        <v>507</v>
      </c>
      <c r="B269" s="670" t="s">
        <v>509</v>
      </c>
      <c r="C269" s="704" t="s">
        <v>533</v>
      </c>
      <c r="D269" s="722" t="s">
        <v>534</v>
      </c>
      <c r="E269" s="704" t="s">
        <v>1622</v>
      </c>
      <c r="F269" s="722" t="s">
        <v>1623</v>
      </c>
      <c r="G269" s="704" t="s">
        <v>2046</v>
      </c>
      <c r="H269" s="704" t="s">
        <v>2047</v>
      </c>
      <c r="I269" s="238">
        <v>7952.64</v>
      </c>
      <c r="J269" s="238">
        <v>1</v>
      </c>
      <c r="K269" s="712">
        <v>7952.64</v>
      </c>
    </row>
    <row r="270" spans="1:11" ht="14.4" customHeight="1" x14ac:dyDescent="0.3">
      <c r="A270" s="679" t="s">
        <v>507</v>
      </c>
      <c r="B270" s="670" t="s">
        <v>509</v>
      </c>
      <c r="C270" s="704" t="s">
        <v>533</v>
      </c>
      <c r="D270" s="722" t="s">
        <v>534</v>
      </c>
      <c r="E270" s="704" t="s">
        <v>1622</v>
      </c>
      <c r="F270" s="722" t="s">
        <v>1623</v>
      </c>
      <c r="G270" s="704" t="s">
        <v>2048</v>
      </c>
      <c r="H270" s="704" t="s">
        <v>2049</v>
      </c>
      <c r="I270" s="238">
        <v>16900</v>
      </c>
      <c r="J270" s="238">
        <v>3</v>
      </c>
      <c r="K270" s="712">
        <v>50700</v>
      </c>
    </row>
    <row r="271" spans="1:11" ht="14.4" customHeight="1" x14ac:dyDescent="0.3">
      <c r="A271" s="679" t="s">
        <v>507</v>
      </c>
      <c r="B271" s="670" t="s">
        <v>509</v>
      </c>
      <c r="C271" s="704" t="s">
        <v>533</v>
      </c>
      <c r="D271" s="722" t="s">
        <v>534</v>
      </c>
      <c r="E271" s="704" t="s">
        <v>1622</v>
      </c>
      <c r="F271" s="722" t="s">
        <v>1623</v>
      </c>
      <c r="G271" s="704" t="s">
        <v>2050</v>
      </c>
      <c r="H271" s="704" t="s">
        <v>2051</v>
      </c>
      <c r="I271" s="238">
        <v>3928.34</v>
      </c>
      <c r="J271" s="238">
        <v>1</v>
      </c>
      <c r="K271" s="712">
        <v>3928.34</v>
      </c>
    </row>
    <row r="272" spans="1:11" ht="14.4" customHeight="1" x14ac:dyDescent="0.3">
      <c r="A272" s="679" t="s">
        <v>507</v>
      </c>
      <c r="B272" s="670" t="s">
        <v>509</v>
      </c>
      <c r="C272" s="704" t="s">
        <v>533</v>
      </c>
      <c r="D272" s="722" t="s">
        <v>534</v>
      </c>
      <c r="E272" s="704" t="s">
        <v>1622</v>
      </c>
      <c r="F272" s="722" t="s">
        <v>1623</v>
      </c>
      <c r="G272" s="704" t="s">
        <v>2052</v>
      </c>
      <c r="H272" s="704" t="s">
        <v>2053</v>
      </c>
      <c r="I272" s="238">
        <v>3928.34</v>
      </c>
      <c r="J272" s="238">
        <v>1</v>
      </c>
      <c r="K272" s="712">
        <v>3928.34</v>
      </c>
    </row>
    <row r="273" spans="1:11" ht="14.4" customHeight="1" x14ac:dyDescent="0.3">
      <c r="A273" s="679" t="s">
        <v>507</v>
      </c>
      <c r="B273" s="670" t="s">
        <v>509</v>
      </c>
      <c r="C273" s="704" t="s">
        <v>533</v>
      </c>
      <c r="D273" s="722" t="s">
        <v>534</v>
      </c>
      <c r="E273" s="704" t="s">
        <v>1622</v>
      </c>
      <c r="F273" s="722" t="s">
        <v>1623</v>
      </c>
      <c r="G273" s="704" t="s">
        <v>2054</v>
      </c>
      <c r="H273" s="704" t="s">
        <v>2055</v>
      </c>
      <c r="I273" s="238">
        <v>17250</v>
      </c>
      <c r="J273" s="238">
        <v>1</v>
      </c>
      <c r="K273" s="712">
        <v>17250</v>
      </c>
    </row>
    <row r="274" spans="1:11" ht="14.4" customHeight="1" x14ac:dyDescent="0.3">
      <c r="A274" s="679" t="s">
        <v>507</v>
      </c>
      <c r="B274" s="670" t="s">
        <v>509</v>
      </c>
      <c r="C274" s="704" t="s">
        <v>533</v>
      </c>
      <c r="D274" s="722" t="s">
        <v>534</v>
      </c>
      <c r="E274" s="704" t="s">
        <v>1622</v>
      </c>
      <c r="F274" s="722" t="s">
        <v>1623</v>
      </c>
      <c r="G274" s="704" t="s">
        <v>2056</v>
      </c>
      <c r="H274" s="704" t="s">
        <v>2057</v>
      </c>
      <c r="I274" s="238">
        <v>17250</v>
      </c>
      <c r="J274" s="238">
        <v>1</v>
      </c>
      <c r="K274" s="712">
        <v>17250</v>
      </c>
    </row>
    <row r="275" spans="1:11" ht="14.4" customHeight="1" x14ac:dyDescent="0.3">
      <c r="A275" s="679" t="s">
        <v>507</v>
      </c>
      <c r="B275" s="670" t="s">
        <v>509</v>
      </c>
      <c r="C275" s="704" t="s">
        <v>533</v>
      </c>
      <c r="D275" s="722" t="s">
        <v>534</v>
      </c>
      <c r="E275" s="704" t="s">
        <v>1622</v>
      </c>
      <c r="F275" s="722" t="s">
        <v>1623</v>
      </c>
      <c r="G275" s="704" t="s">
        <v>2058</v>
      </c>
      <c r="H275" s="704" t="s">
        <v>2059</v>
      </c>
      <c r="I275" s="238">
        <v>16900</v>
      </c>
      <c r="J275" s="238">
        <v>1</v>
      </c>
      <c r="K275" s="712">
        <v>16900</v>
      </c>
    </row>
    <row r="276" spans="1:11" ht="14.4" customHeight="1" x14ac:dyDescent="0.3">
      <c r="A276" s="679" t="s">
        <v>507</v>
      </c>
      <c r="B276" s="670" t="s">
        <v>509</v>
      </c>
      <c r="C276" s="704" t="s">
        <v>533</v>
      </c>
      <c r="D276" s="722" t="s">
        <v>534</v>
      </c>
      <c r="E276" s="704" t="s">
        <v>1622</v>
      </c>
      <c r="F276" s="722" t="s">
        <v>1623</v>
      </c>
      <c r="G276" s="704" t="s">
        <v>2060</v>
      </c>
      <c r="H276" s="704" t="s">
        <v>2061</v>
      </c>
      <c r="I276" s="238">
        <v>5255.93</v>
      </c>
      <c r="J276" s="238">
        <v>1</v>
      </c>
      <c r="K276" s="712">
        <v>5255.93</v>
      </c>
    </row>
    <row r="277" spans="1:11" ht="14.4" customHeight="1" x14ac:dyDescent="0.3">
      <c r="A277" s="679" t="s">
        <v>507</v>
      </c>
      <c r="B277" s="670" t="s">
        <v>509</v>
      </c>
      <c r="C277" s="704" t="s">
        <v>533</v>
      </c>
      <c r="D277" s="722" t="s">
        <v>534</v>
      </c>
      <c r="E277" s="704" t="s">
        <v>1622</v>
      </c>
      <c r="F277" s="722" t="s">
        <v>1623</v>
      </c>
      <c r="G277" s="704" t="s">
        <v>2062</v>
      </c>
      <c r="H277" s="704" t="s">
        <v>2063</v>
      </c>
      <c r="I277" s="238">
        <v>1437.5</v>
      </c>
      <c r="J277" s="238">
        <v>2</v>
      </c>
      <c r="K277" s="712">
        <v>2875</v>
      </c>
    </row>
    <row r="278" spans="1:11" ht="14.4" customHeight="1" x14ac:dyDescent="0.3">
      <c r="A278" s="679" t="s">
        <v>507</v>
      </c>
      <c r="B278" s="670" t="s">
        <v>509</v>
      </c>
      <c r="C278" s="704" t="s">
        <v>533</v>
      </c>
      <c r="D278" s="722" t="s">
        <v>534</v>
      </c>
      <c r="E278" s="704" t="s">
        <v>1622</v>
      </c>
      <c r="F278" s="722" t="s">
        <v>1623</v>
      </c>
      <c r="G278" s="704" t="s">
        <v>2064</v>
      </c>
      <c r="H278" s="704" t="s">
        <v>2065</v>
      </c>
      <c r="I278" s="238">
        <v>16900</v>
      </c>
      <c r="J278" s="238">
        <v>2</v>
      </c>
      <c r="K278" s="712">
        <v>33800</v>
      </c>
    </row>
    <row r="279" spans="1:11" ht="14.4" customHeight="1" x14ac:dyDescent="0.3">
      <c r="A279" s="679" t="s">
        <v>507</v>
      </c>
      <c r="B279" s="670" t="s">
        <v>509</v>
      </c>
      <c r="C279" s="704" t="s">
        <v>533</v>
      </c>
      <c r="D279" s="722" t="s">
        <v>534</v>
      </c>
      <c r="E279" s="704" t="s">
        <v>1622</v>
      </c>
      <c r="F279" s="722" t="s">
        <v>1623</v>
      </c>
      <c r="G279" s="704" t="s">
        <v>2066</v>
      </c>
      <c r="H279" s="704" t="s">
        <v>2067</v>
      </c>
      <c r="I279" s="238">
        <v>16900</v>
      </c>
      <c r="J279" s="238">
        <v>1</v>
      </c>
      <c r="K279" s="712">
        <v>16900</v>
      </c>
    </row>
    <row r="280" spans="1:11" ht="14.4" customHeight="1" x14ac:dyDescent="0.3">
      <c r="A280" s="679" t="s">
        <v>507</v>
      </c>
      <c r="B280" s="670" t="s">
        <v>509</v>
      </c>
      <c r="C280" s="704" t="s">
        <v>533</v>
      </c>
      <c r="D280" s="722" t="s">
        <v>534</v>
      </c>
      <c r="E280" s="704" t="s">
        <v>1622</v>
      </c>
      <c r="F280" s="722" t="s">
        <v>1623</v>
      </c>
      <c r="G280" s="704" t="s">
        <v>2068</v>
      </c>
      <c r="H280" s="704" t="s">
        <v>2069</v>
      </c>
      <c r="I280" s="238">
        <v>1.2</v>
      </c>
      <c r="J280" s="238">
        <v>1</v>
      </c>
      <c r="K280" s="712">
        <v>1.2</v>
      </c>
    </row>
    <row r="281" spans="1:11" ht="14.4" customHeight="1" x14ac:dyDescent="0.3">
      <c r="A281" s="679" t="s">
        <v>507</v>
      </c>
      <c r="B281" s="670" t="s">
        <v>509</v>
      </c>
      <c r="C281" s="704" t="s">
        <v>533</v>
      </c>
      <c r="D281" s="722" t="s">
        <v>534</v>
      </c>
      <c r="E281" s="704" t="s">
        <v>1622</v>
      </c>
      <c r="F281" s="722" t="s">
        <v>1623</v>
      </c>
      <c r="G281" s="704" t="s">
        <v>2070</v>
      </c>
      <c r="H281" s="704" t="s">
        <v>2071</v>
      </c>
      <c r="I281" s="238">
        <v>4887.83</v>
      </c>
      <c r="J281" s="238">
        <v>1</v>
      </c>
      <c r="K281" s="712">
        <v>4887.83</v>
      </c>
    </row>
    <row r="282" spans="1:11" ht="14.4" customHeight="1" x14ac:dyDescent="0.3">
      <c r="A282" s="679" t="s">
        <v>507</v>
      </c>
      <c r="B282" s="670" t="s">
        <v>509</v>
      </c>
      <c r="C282" s="704" t="s">
        <v>533</v>
      </c>
      <c r="D282" s="722" t="s">
        <v>534</v>
      </c>
      <c r="E282" s="704" t="s">
        <v>1622</v>
      </c>
      <c r="F282" s="722" t="s">
        <v>1623</v>
      </c>
      <c r="G282" s="704" t="s">
        <v>2072</v>
      </c>
      <c r="H282" s="704" t="s">
        <v>2073</v>
      </c>
      <c r="I282" s="238">
        <v>43495.3</v>
      </c>
      <c r="J282" s="238">
        <v>1</v>
      </c>
      <c r="K282" s="712">
        <v>43495.3</v>
      </c>
    </row>
    <row r="283" spans="1:11" ht="14.4" customHeight="1" x14ac:dyDescent="0.3">
      <c r="A283" s="679" t="s">
        <v>507</v>
      </c>
      <c r="B283" s="670" t="s">
        <v>509</v>
      </c>
      <c r="C283" s="704" t="s">
        <v>533</v>
      </c>
      <c r="D283" s="722" t="s">
        <v>534</v>
      </c>
      <c r="E283" s="704" t="s">
        <v>1622</v>
      </c>
      <c r="F283" s="722" t="s">
        <v>1623</v>
      </c>
      <c r="G283" s="704" t="s">
        <v>2074</v>
      </c>
      <c r="H283" s="704" t="s">
        <v>2075</v>
      </c>
      <c r="I283" s="238">
        <v>1.2</v>
      </c>
      <c r="J283" s="238">
        <v>1</v>
      </c>
      <c r="K283" s="712">
        <v>1.2</v>
      </c>
    </row>
    <row r="284" spans="1:11" ht="14.4" customHeight="1" x14ac:dyDescent="0.3">
      <c r="A284" s="679" t="s">
        <v>507</v>
      </c>
      <c r="B284" s="670" t="s">
        <v>509</v>
      </c>
      <c r="C284" s="704" t="s">
        <v>533</v>
      </c>
      <c r="D284" s="722" t="s">
        <v>534</v>
      </c>
      <c r="E284" s="704" t="s">
        <v>1622</v>
      </c>
      <c r="F284" s="722" t="s">
        <v>1623</v>
      </c>
      <c r="G284" s="704" t="s">
        <v>2076</v>
      </c>
      <c r="H284" s="704" t="s">
        <v>2077</v>
      </c>
      <c r="I284" s="238">
        <v>4518.55</v>
      </c>
      <c r="J284" s="238">
        <v>1</v>
      </c>
      <c r="K284" s="712">
        <v>4518.55</v>
      </c>
    </row>
    <row r="285" spans="1:11" ht="14.4" customHeight="1" x14ac:dyDescent="0.3">
      <c r="A285" s="679" t="s">
        <v>507</v>
      </c>
      <c r="B285" s="670" t="s">
        <v>509</v>
      </c>
      <c r="C285" s="704" t="s">
        <v>533</v>
      </c>
      <c r="D285" s="722" t="s">
        <v>534</v>
      </c>
      <c r="E285" s="704" t="s">
        <v>1622</v>
      </c>
      <c r="F285" s="722" t="s">
        <v>1623</v>
      </c>
      <c r="G285" s="704" t="s">
        <v>2078</v>
      </c>
      <c r="H285" s="704" t="s">
        <v>2079</v>
      </c>
      <c r="I285" s="238">
        <v>5680.62</v>
      </c>
      <c r="J285" s="238">
        <v>1</v>
      </c>
      <c r="K285" s="712">
        <v>5680.62</v>
      </c>
    </row>
    <row r="286" spans="1:11" ht="14.4" customHeight="1" x14ac:dyDescent="0.3">
      <c r="A286" s="679" t="s">
        <v>507</v>
      </c>
      <c r="B286" s="670" t="s">
        <v>509</v>
      </c>
      <c r="C286" s="704" t="s">
        <v>533</v>
      </c>
      <c r="D286" s="722" t="s">
        <v>534</v>
      </c>
      <c r="E286" s="704" t="s">
        <v>1622</v>
      </c>
      <c r="F286" s="722" t="s">
        <v>1623</v>
      </c>
      <c r="G286" s="704" t="s">
        <v>2080</v>
      </c>
      <c r="H286" s="704" t="s">
        <v>2081</v>
      </c>
      <c r="I286" s="238">
        <v>1760.16</v>
      </c>
      <c r="J286" s="238">
        <v>1</v>
      </c>
      <c r="K286" s="712">
        <v>1760.16</v>
      </c>
    </row>
    <row r="287" spans="1:11" ht="14.4" customHeight="1" x14ac:dyDescent="0.3">
      <c r="A287" s="679" t="s">
        <v>507</v>
      </c>
      <c r="B287" s="670" t="s">
        <v>509</v>
      </c>
      <c r="C287" s="704" t="s">
        <v>533</v>
      </c>
      <c r="D287" s="722" t="s">
        <v>534</v>
      </c>
      <c r="E287" s="704" t="s">
        <v>1622</v>
      </c>
      <c r="F287" s="722" t="s">
        <v>1623</v>
      </c>
      <c r="G287" s="704" t="s">
        <v>2082</v>
      </c>
      <c r="H287" s="704" t="s">
        <v>2083</v>
      </c>
      <c r="I287" s="238">
        <v>2880.78</v>
      </c>
      <c r="J287" s="238">
        <v>12</v>
      </c>
      <c r="K287" s="712">
        <v>34569.380000000005</v>
      </c>
    </row>
    <row r="288" spans="1:11" ht="14.4" customHeight="1" x14ac:dyDescent="0.3">
      <c r="A288" s="679" t="s">
        <v>507</v>
      </c>
      <c r="B288" s="670" t="s">
        <v>509</v>
      </c>
      <c r="C288" s="704" t="s">
        <v>533</v>
      </c>
      <c r="D288" s="722" t="s">
        <v>534</v>
      </c>
      <c r="E288" s="704" t="s">
        <v>1622</v>
      </c>
      <c r="F288" s="722" t="s">
        <v>1623</v>
      </c>
      <c r="G288" s="704" t="s">
        <v>2084</v>
      </c>
      <c r="H288" s="704" t="s">
        <v>2085</v>
      </c>
      <c r="I288" s="238">
        <v>5547.6</v>
      </c>
      <c r="J288" s="238">
        <v>1</v>
      </c>
      <c r="K288" s="712">
        <v>5547.6</v>
      </c>
    </row>
    <row r="289" spans="1:11" ht="14.4" customHeight="1" x14ac:dyDescent="0.3">
      <c r="A289" s="679" t="s">
        <v>507</v>
      </c>
      <c r="B289" s="670" t="s">
        <v>509</v>
      </c>
      <c r="C289" s="704" t="s">
        <v>533</v>
      </c>
      <c r="D289" s="722" t="s">
        <v>534</v>
      </c>
      <c r="E289" s="704" t="s">
        <v>1622</v>
      </c>
      <c r="F289" s="722" t="s">
        <v>1623</v>
      </c>
      <c r="G289" s="704" t="s">
        <v>2086</v>
      </c>
      <c r="H289" s="704" t="s">
        <v>2087</v>
      </c>
      <c r="I289" s="238">
        <v>7847.6</v>
      </c>
      <c r="J289" s="238">
        <v>2</v>
      </c>
      <c r="K289" s="712">
        <v>15695.2</v>
      </c>
    </row>
    <row r="290" spans="1:11" ht="14.4" customHeight="1" x14ac:dyDescent="0.3">
      <c r="A290" s="679" t="s">
        <v>507</v>
      </c>
      <c r="B290" s="670" t="s">
        <v>509</v>
      </c>
      <c r="C290" s="704" t="s">
        <v>533</v>
      </c>
      <c r="D290" s="722" t="s">
        <v>534</v>
      </c>
      <c r="E290" s="704" t="s">
        <v>1622</v>
      </c>
      <c r="F290" s="722" t="s">
        <v>1623</v>
      </c>
      <c r="G290" s="704" t="s">
        <v>2088</v>
      </c>
      <c r="H290" s="704" t="s">
        <v>2089</v>
      </c>
      <c r="I290" s="238">
        <v>5547.6</v>
      </c>
      <c r="J290" s="238">
        <v>1</v>
      </c>
      <c r="K290" s="712">
        <v>5547.6</v>
      </c>
    </row>
    <row r="291" spans="1:11" ht="14.4" customHeight="1" x14ac:dyDescent="0.3">
      <c r="A291" s="679" t="s">
        <v>507</v>
      </c>
      <c r="B291" s="670" t="s">
        <v>509</v>
      </c>
      <c r="C291" s="704" t="s">
        <v>533</v>
      </c>
      <c r="D291" s="722" t="s">
        <v>534</v>
      </c>
      <c r="E291" s="704" t="s">
        <v>1622</v>
      </c>
      <c r="F291" s="722" t="s">
        <v>1623</v>
      </c>
      <c r="G291" s="704" t="s">
        <v>2090</v>
      </c>
      <c r="H291" s="704" t="s">
        <v>2091</v>
      </c>
      <c r="I291" s="238">
        <v>591.1</v>
      </c>
      <c r="J291" s="238">
        <v>1</v>
      </c>
      <c r="K291" s="712">
        <v>591.1</v>
      </c>
    </row>
    <row r="292" spans="1:11" ht="14.4" customHeight="1" x14ac:dyDescent="0.3">
      <c r="A292" s="679" t="s">
        <v>507</v>
      </c>
      <c r="B292" s="670" t="s">
        <v>509</v>
      </c>
      <c r="C292" s="704" t="s">
        <v>533</v>
      </c>
      <c r="D292" s="722" t="s">
        <v>534</v>
      </c>
      <c r="E292" s="704" t="s">
        <v>1622</v>
      </c>
      <c r="F292" s="722" t="s">
        <v>1623</v>
      </c>
      <c r="G292" s="704" t="s">
        <v>2092</v>
      </c>
      <c r="H292" s="704" t="s">
        <v>2093</v>
      </c>
      <c r="I292" s="238">
        <v>3873.72</v>
      </c>
      <c r="J292" s="238">
        <v>2</v>
      </c>
      <c r="K292" s="712">
        <v>7747.44</v>
      </c>
    </row>
    <row r="293" spans="1:11" ht="14.4" customHeight="1" x14ac:dyDescent="0.3">
      <c r="A293" s="679" t="s">
        <v>507</v>
      </c>
      <c r="B293" s="670" t="s">
        <v>509</v>
      </c>
      <c r="C293" s="704" t="s">
        <v>533</v>
      </c>
      <c r="D293" s="722" t="s">
        <v>534</v>
      </c>
      <c r="E293" s="704" t="s">
        <v>1622</v>
      </c>
      <c r="F293" s="722" t="s">
        <v>1623</v>
      </c>
      <c r="G293" s="704" t="s">
        <v>2094</v>
      </c>
      <c r="H293" s="704" t="s">
        <v>2095</v>
      </c>
      <c r="I293" s="238">
        <v>2761.08</v>
      </c>
      <c r="J293" s="238">
        <v>7</v>
      </c>
      <c r="K293" s="712">
        <v>19327.559999999998</v>
      </c>
    </row>
    <row r="294" spans="1:11" ht="14.4" customHeight="1" x14ac:dyDescent="0.3">
      <c r="A294" s="679" t="s">
        <v>507</v>
      </c>
      <c r="B294" s="670" t="s">
        <v>509</v>
      </c>
      <c r="C294" s="704" t="s">
        <v>533</v>
      </c>
      <c r="D294" s="722" t="s">
        <v>534</v>
      </c>
      <c r="E294" s="704" t="s">
        <v>1622</v>
      </c>
      <c r="F294" s="722" t="s">
        <v>1623</v>
      </c>
      <c r="G294" s="704" t="s">
        <v>2096</v>
      </c>
      <c r="H294" s="704" t="s">
        <v>2097</v>
      </c>
      <c r="I294" s="238">
        <v>4163</v>
      </c>
      <c r="J294" s="238">
        <v>1</v>
      </c>
      <c r="K294" s="712">
        <v>4163</v>
      </c>
    </row>
    <row r="295" spans="1:11" ht="14.4" customHeight="1" x14ac:dyDescent="0.3">
      <c r="A295" s="679" t="s">
        <v>507</v>
      </c>
      <c r="B295" s="670" t="s">
        <v>509</v>
      </c>
      <c r="C295" s="704" t="s">
        <v>533</v>
      </c>
      <c r="D295" s="722" t="s">
        <v>534</v>
      </c>
      <c r="E295" s="704" t="s">
        <v>1622</v>
      </c>
      <c r="F295" s="722" t="s">
        <v>1623</v>
      </c>
      <c r="G295" s="704" t="s">
        <v>2098</v>
      </c>
      <c r="H295" s="704" t="s">
        <v>2099</v>
      </c>
      <c r="I295" s="238">
        <v>7847.6</v>
      </c>
      <c r="J295" s="238">
        <v>1</v>
      </c>
      <c r="K295" s="712">
        <v>7847.6</v>
      </c>
    </row>
    <row r="296" spans="1:11" ht="14.4" customHeight="1" x14ac:dyDescent="0.3">
      <c r="A296" s="679" t="s">
        <v>507</v>
      </c>
      <c r="B296" s="670" t="s">
        <v>509</v>
      </c>
      <c r="C296" s="704" t="s">
        <v>533</v>
      </c>
      <c r="D296" s="722" t="s">
        <v>534</v>
      </c>
      <c r="E296" s="704" t="s">
        <v>1622</v>
      </c>
      <c r="F296" s="722" t="s">
        <v>1623</v>
      </c>
      <c r="G296" s="704" t="s">
        <v>2100</v>
      </c>
      <c r="H296" s="704" t="s">
        <v>2101</v>
      </c>
      <c r="I296" s="238">
        <v>17135</v>
      </c>
      <c r="J296" s="238">
        <v>1</v>
      </c>
      <c r="K296" s="712">
        <v>17135</v>
      </c>
    </row>
    <row r="297" spans="1:11" ht="14.4" customHeight="1" x14ac:dyDescent="0.3">
      <c r="A297" s="679" t="s">
        <v>507</v>
      </c>
      <c r="B297" s="670" t="s">
        <v>509</v>
      </c>
      <c r="C297" s="704" t="s">
        <v>533</v>
      </c>
      <c r="D297" s="722" t="s">
        <v>534</v>
      </c>
      <c r="E297" s="704" t="s">
        <v>1622</v>
      </c>
      <c r="F297" s="722" t="s">
        <v>1623</v>
      </c>
      <c r="G297" s="704" t="s">
        <v>2102</v>
      </c>
      <c r="H297" s="704" t="s">
        <v>2103</v>
      </c>
      <c r="I297" s="238">
        <v>7952.64</v>
      </c>
      <c r="J297" s="238">
        <v>1</v>
      </c>
      <c r="K297" s="712">
        <v>7952.64</v>
      </c>
    </row>
    <row r="298" spans="1:11" ht="14.4" customHeight="1" x14ac:dyDescent="0.3">
      <c r="A298" s="679" t="s">
        <v>507</v>
      </c>
      <c r="B298" s="670" t="s">
        <v>509</v>
      </c>
      <c r="C298" s="704" t="s">
        <v>533</v>
      </c>
      <c r="D298" s="722" t="s">
        <v>534</v>
      </c>
      <c r="E298" s="704" t="s">
        <v>1622</v>
      </c>
      <c r="F298" s="722" t="s">
        <v>1623</v>
      </c>
      <c r="G298" s="704" t="s">
        <v>2104</v>
      </c>
      <c r="H298" s="704" t="s">
        <v>2105</v>
      </c>
      <c r="I298" s="238">
        <v>3682.2</v>
      </c>
      <c r="J298" s="238">
        <v>3</v>
      </c>
      <c r="K298" s="712">
        <v>11046.599999999999</v>
      </c>
    </row>
    <row r="299" spans="1:11" ht="14.4" customHeight="1" x14ac:dyDescent="0.3">
      <c r="A299" s="679" t="s">
        <v>507</v>
      </c>
      <c r="B299" s="670" t="s">
        <v>509</v>
      </c>
      <c r="C299" s="704" t="s">
        <v>533</v>
      </c>
      <c r="D299" s="722" t="s">
        <v>534</v>
      </c>
      <c r="E299" s="704" t="s">
        <v>1622</v>
      </c>
      <c r="F299" s="722" t="s">
        <v>1623</v>
      </c>
      <c r="G299" s="704" t="s">
        <v>2106</v>
      </c>
      <c r="H299" s="704" t="s">
        <v>2107</v>
      </c>
      <c r="I299" s="238">
        <v>9292.14</v>
      </c>
      <c r="J299" s="238">
        <v>2</v>
      </c>
      <c r="K299" s="712">
        <v>18584.28</v>
      </c>
    </row>
    <row r="300" spans="1:11" ht="14.4" customHeight="1" x14ac:dyDescent="0.3">
      <c r="A300" s="679" t="s">
        <v>507</v>
      </c>
      <c r="B300" s="670" t="s">
        <v>509</v>
      </c>
      <c r="C300" s="704" t="s">
        <v>533</v>
      </c>
      <c r="D300" s="722" t="s">
        <v>534</v>
      </c>
      <c r="E300" s="704" t="s">
        <v>1622</v>
      </c>
      <c r="F300" s="722" t="s">
        <v>1623</v>
      </c>
      <c r="G300" s="704" t="s">
        <v>2108</v>
      </c>
      <c r="H300" s="704" t="s">
        <v>2109</v>
      </c>
      <c r="I300" s="238">
        <v>17135</v>
      </c>
      <c r="J300" s="238">
        <v>2</v>
      </c>
      <c r="K300" s="712">
        <v>34270</v>
      </c>
    </row>
    <row r="301" spans="1:11" ht="14.4" customHeight="1" x14ac:dyDescent="0.3">
      <c r="A301" s="679" t="s">
        <v>507</v>
      </c>
      <c r="B301" s="670" t="s">
        <v>509</v>
      </c>
      <c r="C301" s="704" t="s">
        <v>533</v>
      </c>
      <c r="D301" s="722" t="s">
        <v>534</v>
      </c>
      <c r="E301" s="704" t="s">
        <v>1622</v>
      </c>
      <c r="F301" s="722" t="s">
        <v>1623</v>
      </c>
      <c r="G301" s="704" t="s">
        <v>2110</v>
      </c>
      <c r="H301" s="704" t="s">
        <v>2111</v>
      </c>
      <c r="I301" s="238">
        <v>68977</v>
      </c>
      <c r="J301" s="238">
        <v>1</v>
      </c>
      <c r="K301" s="712">
        <v>68977</v>
      </c>
    </row>
    <row r="302" spans="1:11" ht="14.4" customHeight="1" x14ac:dyDescent="0.3">
      <c r="A302" s="679" t="s">
        <v>507</v>
      </c>
      <c r="B302" s="670" t="s">
        <v>509</v>
      </c>
      <c r="C302" s="704" t="s">
        <v>533</v>
      </c>
      <c r="D302" s="722" t="s">
        <v>534</v>
      </c>
      <c r="E302" s="704" t="s">
        <v>1622</v>
      </c>
      <c r="F302" s="722" t="s">
        <v>1623</v>
      </c>
      <c r="G302" s="704" t="s">
        <v>2112</v>
      </c>
      <c r="H302" s="704" t="s">
        <v>2113</v>
      </c>
      <c r="I302" s="238">
        <v>16900</v>
      </c>
      <c r="J302" s="238">
        <v>1</v>
      </c>
      <c r="K302" s="712">
        <v>16900</v>
      </c>
    </row>
    <row r="303" spans="1:11" ht="14.4" customHeight="1" x14ac:dyDescent="0.3">
      <c r="A303" s="679" t="s">
        <v>507</v>
      </c>
      <c r="B303" s="670" t="s">
        <v>509</v>
      </c>
      <c r="C303" s="704" t="s">
        <v>533</v>
      </c>
      <c r="D303" s="722" t="s">
        <v>534</v>
      </c>
      <c r="E303" s="704" t="s">
        <v>1622</v>
      </c>
      <c r="F303" s="722" t="s">
        <v>1623</v>
      </c>
      <c r="G303" s="704" t="s">
        <v>2114</v>
      </c>
      <c r="H303" s="704" t="s">
        <v>2115</v>
      </c>
      <c r="I303" s="238">
        <v>2660.72</v>
      </c>
      <c r="J303" s="238">
        <v>2</v>
      </c>
      <c r="K303" s="712">
        <v>5321.44</v>
      </c>
    </row>
    <row r="304" spans="1:11" ht="14.4" customHeight="1" x14ac:dyDescent="0.3">
      <c r="A304" s="679" t="s">
        <v>507</v>
      </c>
      <c r="B304" s="670" t="s">
        <v>509</v>
      </c>
      <c r="C304" s="704" t="s">
        <v>533</v>
      </c>
      <c r="D304" s="722" t="s">
        <v>534</v>
      </c>
      <c r="E304" s="704" t="s">
        <v>1622</v>
      </c>
      <c r="F304" s="722" t="s">
        <v>1623</v>
      </c>
      <c r="G304" s="704" t="s">
        <v>2116</v>
      </c>
      <c r="H304" s="704" t="s">
        <v>2117</v>
      </c>
      <c r="I304" s="238">
        <v>3682.2</v>
      </c>
      <c r="J304" s="238">
        <v>1</v>
      </c>
      <c r="K304" s="712">
        <v>3682.2</v>
      </c>
    </row>
    <row r="305" spans="1:11" ht="14.4" customHeight="1" x14ac:dyDescent="0.3">
      <c r="A305" s="679" t="s">
        <v>507</v>
      </c>
      <c r="B305" s="670" t="s">
        <v>509</v>
      </c>
      <c r="C305" s="704" t="s">
        <v>533</v>
      </c>
      <c r="D305" s="722" t="s">
        <v>534</v>
      </c>
      <c r="E305" s="704" t="s">
        <v>1624</v>
      </c>
      <c r="F305" s="722" t="s">
        <v>1625</v>
      </c>
      <c r="G305" s="704" t="s">
        <v>2118</v>
      </c>
      <c r="H305" s="704" t="s">
        <v>2119</v>
      </c>
      <c r="I305" s="238">
        <v>77217.772500000006</v>
      </c>
      <c r="J305" s="238">
        <v>8</v>
      </c>
      <c r="K305" s="712">
        <v>617742.21</v>
      </c>
    </row>
    <row r="306" spans="1:11" ht="14.4" customHeight="1" x14ac:dyDescent="0.3">
      <c r="A306" s="679" t="s">
        <v>507</v>
      </c>
      <c r="B306" s="670" t="s">
        <v>509</v>
      </c>
      <c r="C306" s="704" t="s">
        <v>533</v>
      </c>
      <c r="D306" s="722" t="s">
        <v>534</v>
      </c>
      <c r="E306" s="704" t="s">
        <v>1624</v>
      </c>
      <c r="F306" s="722" t="s">
        <v>1625</v>
      </c>
      <c r="G306" s="704" t="s">
        <v>2120</v>
      </c>
      <c r="H306" s="704" t="s">
        <v>2121</v>
      </c>
      <c r="I306" s="238">
        <v>0.01</v>
      </c>
      <c r="J306" s="238">
        <v>20</v>
      </c>
      <c r="K306" s="712">
        <v>0.24</v>
      </c>
    </row>
    <row r="307" spans="1:11" ht="14.4" customHeight="1" x14ac:dyDescent="0.3">
      <c r="A307" s="679" t="s">
        <v>507</v>
      </c>
      <c r="B307" s="670" t="s">
        <v>509</v>
      </c>
      <c r="C307" s="704" t="s">
        <v>533</v>
      </c>
      <c r="D307" s="722" t="s">
        <v>534</v>
      </c>
      <c r="E307" s="704" t="s">
        <v>1624</v>
      </c>
      <c r="F307" s="722" t="s">
        <v>1625</v>
      </c>
      <c r="G307" s="704" t="s">
        <v>2122</v>
      </c>
      <c r="H307" s="704" t="s">
        <v>2123</v>
      </c>
      <c r="I307" s="238">
        <v>717273.41333333345</v>
      </c>
      <c r="J307" s="238">
        <v>6</v>
      </c>
      <c r="K307" s="712">
        <v>4303640.4800000004</v>
      </c>
    </row>
    <row r="308" spans="1:11" ht="14.4" customHeight="1" x14ac:dyDescent="0.3">
      <c r="A308" s="679" t="s">
        <v>507</v>
      </c>
      <c r="B308" s="670" t="s">
        <v>509</v>
      </c>
      <c r="C308" s="704" t="s">
        <v>533</v>
      </c>
      <c r="D308" s="722" t="s">
        <v>534</v>
      </c>
      <c r="E308" s="704" t="s">
        <v>1624</v>
      </c>
      <c r="F308" s="722" t="s">
        <v>1625</v>
      </c>
      <c r="G308" s="704" t="s">
        <v>2124</v>
      </c>
      <c r="H308" s="704" t="s">
        <v>2125</v>
      </c>
      <c r="I308" s="238">
        <v>25612.996000000003</v>
      </c>
      <c r="J308" s="238">
        <v>9</v>
      </c>
      <c r="K308" s="712">
        <v>230516.97999999998</v>
      </c>
    </row>
    <row r="309" spans="1:11" ht="14.4" customHeight="1" x14ac:dyDescent="0.3">
      <c r="A309" s="679" t="s">
        <v>507</v>
      </c>
      <c r="B309" s="670" t="s">
        <v>509</v>
      </c>
      <c r="C309" s="704" t="s">
        <v>533</v>
      </c>
      <c r="D309" s="722" t="s">
        <v>534</v>
      </c>
      <c r="E309" s="704" t="s">
        <v>1624</v>
      </c>
      <c r="F309" s="722" t="s">
        <v>1625</v>
      </c>
      <c r="G309" s="704" t="s">
        <v>2126</v>
      </c>
      <c r="H309" s="704" t="s">
        <v>2127</v>
      </c>
      <c r="I309" s="238">
        <v>0.01</v>
      </c>
      <c r="J309" s="238">
        <v>6</v>
      </c>
      <c r="K309" s="712">
        <v>6.0000000000000005E-2</v>
      </c>
    </row>
    <row r="310" spans="1:11" ht="14.4" customHeight="1" x14ac:dyDescent="0.3">
      <c r="A310" s="679" t="s">
        <v>507</v>
      </c>
      <c r="B310" s="670" t="s">
        <v>509</v>
      </c>
      <c r="C310" s="704" t="s">
        <v>533</v>
      </c>
      <c r="D310" s="722" t="s">
        <v>534</v>
      </c>
      <c r="E310" s="704" t="s">
        <v>1624</v>
      </c>
      <c r="F310" s="722" t="s">
        <v>1625</v>
      </c>
      <c r="G310" s="704" t="s">
        <v>2128</v>
      </c>
      <c r="H310" s="704" t="s">
        <v>2129</v>
      </c>
      <c r="I310" s="238">
        <v>0.01</v>
      </c>
      <c r="J310" s="238">
        <v>5</v>
      </c>
      <c r="K310" s="712">
        <v>0.05</v>
      </c>
    </row>
    <row r="311" spans="1:11" ht="14.4" customHeight="1" x14ac:dyDescent="0.3">
      <c r="A311" s="679" t="s">
        <v>507</v>
      </c>
      <c r="B311" s="670" t="s">
        <v>509</v>
      </c>
      <c r="C311" s="704" t="s">
        <v>533</v>
      </c>
      <c r="D311" s="722" t="s">
        <v>534</v>
      </c>
      <c r="E311" s="704" t="s">
        <v>1624</v>
      </c>
      <c r="F311" s="722" t="s">
        <v>1625</v>
      </c>
      <c r="G311" s="704" t="s">
        <v>2130</v>
      </c>
      <c r="H311" s="704" t="s">
        <v>2131</v>
      </c>
      <c r="I311" s="238">
        <v>0.01</v>
      </c>
      <c r="J311" s="238">
        <v>10</v>
      </c>
      <c r="K311" s="712">
        <v>0.1</v>
      </c>
    </row>
    <row r="312" spans="1:11" ht="14.4" customHeight="1" x14ac:dyDescent="0.3">
      <c r="A312" s="679" t="s">
        <v>507</v>
      </c>
      <c r="B312" s="670" t="s">
        <v>509</v>
      </c>
      <c r="C312" s="704" t="s">
        <v>533</v>
      </c>
      <c r="D312" s="722" t="s">
        <v>534</v>
      </c>
      <c r="E312" s="704" t="s">
        <v>1624</v>
      </c>
      <c r="F312" s="722" t="s">
        <v>1625</v>
      </c>
      <c r="G312" s="704" t="s">
        <v>2132</v>
      </c>
      <c r="H312" s="704" t="s">
        <v>2133</v>
      </c>
      <c r="I312" s="238">
        <v>135000</v>
      </c>
      <c r="J312" s="238">
        <v>4</v>
      </c>
      <c r="K312" s="712">
        <v>540000</v>
      </c>
    </row>
    <row r="313" spans="1:11" ht="14.4" customHeight="1" x14ac:dyDescent="0.3">
      <c r="A313" s="679" t="s">
        <v>507</v>
      </c>
      <c r="B313" s="670" t="s">
        <v>509</v>
      </c>
      <c r="C313" s="704" t="s">
        <v>533</v>
      </c>
      <c r="D313" s="722" t="s">
        <v>534</v>
      </c>
      <c r="E313" s="704" t="s">
        <v>1624</v>
      </c>
      <c r="F313" s="722" t="s">
        <v>1625</v>
      </c>
      <c r="G313" s="704" t="s">
        <v>2134</v>
      </c>
      <c r="H313" s="704" t="s">
        <v>2135</v>
      </c>
      <c r="I313" s="238">
        <v>25612.99</v>
      </c>
      <c r="J313" s="238">
        <v>2</v>
      </c>
      <c r="K313" s="712">
        <v>51225.99</v>
      </c>
    </row>
    <row r="314" spans="1:11" ht="14.4" customHeight="1" x14ac:dyDescent="0.3">
      <c r="A314" s="679" t="s">
        <v>507</v>
      </c>
      <c r="B314" s="670" t="s">
        <v>509</v>
      </c>
      <c r="C314" s="704" t="s">
        <v>533</v>
      </c>
      <c r="D314" s="722" t="s">
        <v>534</v>
      </c>
      <c r="E314" s="704" t="s">
        <v>1624</v>
      </c>
      <c r="F314" s="722" t="s">
        <v>1625</v>
      </c>
      <c r="G314" s="704" t="s">
        <v>2136</v>
      </c>
      <c r="H314" s="704" t="s">
        <v>2137</v>
      </c>
      <c r="I314" s="238">
        <v>25613</v>
      </c>
      <c r="J314" s="238">
        <v>1</v>
      </c>
      <c r="K314" s="712">
        <v>25613</v>
      </c>
    </row>
    <row r="315" spans="1:11" ht="14.4" customHeight="1" x14ac:dyDescent="0.3">
      <c r="A315" s="679" t="s">
        <v>507</v>
      </c>
      <c r="B315" s="670" t="s">
        <v>509</v>
      </c>
      <c r="C315" s="704" t="s">
        <v>533</v>
      </c>
      <c r="D315" s="722" t="s">
        <v>534</v>
      </c>
      <c r="E315" s="704" t="s">
        <v>1628</v>
      </c>
      <c r="F315" s="722" t="s">
        <v>1629</v>
      </c>
      <c r="G315" s="704" t="s">
        <v>2138</v>
      </c>
      <c r="H315" s="704" t="s">
        <v>2139</v>
      </c>
      <c r="I315" s="238">
        <v>3661.57</v>
      </c>
      <c r="J315" s="238">
        <v>1</v>
      </c>
      <c r="K315" s="712">
        <v>3661.57</v>
      </c>
    </row>
    <row r="316" spans="1:11" ht="14.4" customHeight="1" x14ac:dyDescent="0.3">
      <c r="A316" s="679" t="s">
        <v>507</v>
      </c>
      <c r="B316" s="670" t="s">
        <v>509</v>
      </c>
      <c r="C316" s="704" t="s">
        <v>533</v>
      </c>
      <c r="D316" s="722" t="s">
        <v>534</v>
      </c>
      <c r="E316" s="704" t="s">
        <v>1628</v>
      </c>
      <c r="F316" s="722" t="s">
        <v>1629</v>
      </c>
      <c r="G316" s="704" t="s">
        <v>2140</v>
      </c>
      <c r="H316" s="704" t="s">
        <v>2141</v>
      </c>
      <c r="I316" s="238">
        <v>3938.18</v>
      </c>
      <c r="J316" s="238">
        <v>4</v>
      </c>
      <c r="K316" s="712">
        <v>15752.7</v>
      </c>
    </row>
    <row r="317" spans="1:11" ht="14.4" customHeight="1" x14ac:dyDescent="0.3">
      <c r="A317" s="679" t="s">
        <v>507</v>
      </c>
      <c r="B317" s="670" t="s">
        <v>509</v>
      </c>
      <c r="C317" s="704" t="s">
        <v>533</v>
      </c>
      <c r="D317" s="722" t="s">
        <v>534</v>
      </c>
      <c r="E317" s="704" t="s">
        <v>1628</v>
      </c>
      <c r="F317" s="722" t="s">
        <v>1629</v>
      </c>
      <c r="G317" s="704" t="s">
        <v>2142</v>
      </c>
      <c r="H317" s="704" t="s">
        <v>2143</v>
      </c>
      <c r="I317" s="238">
        <v>5708.3</v>
      </c>
      <c r="J317" s="238">
        <v>4</v>
      </c>
      <c r="K317" s="712">
        <v>22833.18</v>
      </c>
    </row>
    <row r="318" spans="1:11" ht="14.4" customHeight="1" x14ac:dyDescent="0.3">
      <c r="A318" s="679" t="s">
        <v>507</v>
      </c>
      <c r="B318" s="670" t="s">
        <v>509</v>
      </c>
      <c r="C318" s="704" t="s">
        <v>533</v>
      </c>
      <c r="D318" s="722" t="s">
        <v>534</v>
      </c>
      <c r="E318" s="704" t="s">
        <v>1628</v>
      </c>
      <c r="F318" s="722" t="s">
        <v>1629</v>
      </c>
      <c r="G318" s="704" t="s">
        <v>2144</v>
      </c>
      <c r="H318" s="704" t="s">
        <v>2145</v>
      </c>
      <c r="I318" s="238">
        <v>10478.01</v>
      </c>
      <c r="J318" s="238">
        <v>2</v>
      </c>
      <c r="K318" s="712">
        <v>20956.02</v>
      </c>
    </row>
    <row r="319" spans="1:11" ht="14.4" customHeight="1" x14ac:dyDescent="0.3">
      <c r="A319" s="679" t="s">
        <v>507</v>
      </c>
      <c r="B319" s="670" t="s">
        <v>509</v>
      </c>
      <c r="C319" s="704" t="s">
        <v>533</v>
      </c>
      <c r="D319" s="722" t="s">
        <v>534</v>
      </c>
      <c r="E319" s="704" t="s">
        <v>1628</v>
      </c>
      <c r="F319" s="722" t="s">
        <v>1629</v>
      </c>
      <c r="G319" s="704" t="s">
        <v>2146</v>
      </c>
      <c r="H319" s="704" t="s">
        <v>2147</v>
      </c>
      <c r="I319" s="238">
        <v>7502</v>
      </c>
      <c r="J319" s="238">
        <v>6</v>
      </c>
      <c r="K319" s="712">
        <v>45012</v>
      </c>
    </row>
    <row r="320" spans="1:11" ht="14.4" customHeight="1" x14ac:dyDescent="0.3">
      <c r="A320" s="679" t="s">
        <v>507</v>
      </c>
      <c r="B320" s="670" t="s">
        <v>509</v>
      </c>
      <c r="C320" s="704" t="s">
        <v>533</v>
      </c>
      <c r="D320" s="722" t="s">
        <v>534</v>
      </c>
      <c r="E320" s="704" t="s">
        <v>1628</v>
      </c>
      <c r="F320" s="722" t="s">
        <v>1629</v>
      </c>
      <c r="G320" s="704" t="s">
        <v>2148</v>
      </c>
      <c r="H320" s="704" t="s">
        <v>2149</v>
      </c>
      <c r="I320" s="238">
        <v>4840</v>
      </c>
      <c r="J320" s="238">
        <v>2</v>
      </c>
      <c r="K320" s="712">
        <v>9680</v>
      </c>
    </row>
    <row r="321" spans="1:11" ht="14.4" customHeight="1" x14ac:dyDescent="0.3">
      <c r="A321" s="679" t="s">
        <v>507</v>
      </c>
      <c r="B321" s="670" t="s">
        <v>509</v>
      </c>
      <c r="C321" s="704" t="s">
        <v>533</v>
      </c>
      <c r="D321" s="722" t="s">
        <v>534</v>
      </c>
      <c r="E321" s="704" t="s">
        <v>1628</v>
      </c>
      <c r="F321" s="722" t="s">
        <v>1629</v>
      </c>
      <c r="G321" s="704" t="s">
        <v>2150</v>
      </c>
      <c r="H321" s="704" t="s">
        <v>2151</v>
      </c>
      <c r="I321" s="238">
        <v>3993</v>
      </c>
      <c r="J321" s="238">
        <v>2</v>
      </c>
      <c r="K321" s="712">
        <v>7986</v>
      </c>
    </row>
    <row r="322" spans="1:11" ht="14.4" customHeight="1" x14ac:dyDescent="0.3">
      <c r="A322" s="679" t="s">
        <v>507</v>
      </c>
      <c r="B322" s="670" t="s">
        <v>509</v>
      </c>
      <c r="C322" s="704" t="s">
        <v>533</v>
      </c>
      <c r="D322" s="722" t="s">
        <v>534</v>
      </c>
      <c r="E322" s="704" t="s">
        <v>1628</v>
      </c>
      <c r="F322" s="722" t="s">
        <v>1629</v>
      </c>
      <c r="G322" s="704" t="s">
        <v>2152</v>
      </c>
      <c r="H322" s="704" t="s">
        <v>2153</v>
      </c>
      <c r="I322" s="238">
        <v>61920</v>
      </c>
      <c r="J322" s="238">
        <v>1</v>
      </c>
      <c r="K322" s="712">
        <v>61920</v>
      </c>
    </row>
    <row r="323" spans="1:11" ht="14.4" customHeight="1" x14ac:dyDescent="0.3">
      <c r="A323" s="679" t="s">
        <v>507</v>
      </c>
      <c r="B323" s="670" t="s">
        <v>509</v>
      </c>
      <c r="C323" s="704" t="s">
        <v>533</v>
      </c>
      <c r="D323" s="722" t="s">
        <v>534</v>
      </c>
      <c r="E323" s="704" t="s">
        <v>1634</v>
      </c>
      <c r="F323" s="722" t="s">
        <v>1635</v>
      </c>
      <c r="G323" s="704" t="s">
        <v>2154</v>
      </c>
      <c r="H323" s="704" t="s">
        <v>2155</v>
      </c>
      <c r="I323" s="238">
        <v>34.5</v>
      </c>
      <c r="J323" s="238">
        <v>144</v>
      </c>
      <c r="K323" s="712">
        <v>4968</v>
      </c>
    </row>
    <row r="324" spans="1:11" ht="14.4" customHeight="1" x14ac:dyDescent="0.3">
      <c r="A324" s="679" t="s">
        <v>507</v>
      </c>
      <c r="B324" s="670" t="s">
        <v>509</v>
      </c>
      <c r="C324" s="704" t="s">
        <v>533</v>
      </c>
      <c r="D324" s="722" t="s">
        <v>534</v>
      </c>
      <c r="E324" s="704" t="s">
        <v>1634</v>
      </c>
      <c r="F324" s="722" t="s">
        <v>1635</v>
      </c>
      <c r="G324" s="704" t="s">
        <v>2156</v>
      </c>
      <c r="H324" s="704" t="s">
        <v>2157</v>
      </c>
      <c r="I324" s="238">
        <v>343.85</v>
      </c>
      <c r="J324" s="238">
        <v>48</v>
      </c>
      <c r="K324" s="712">
        <v>16504.8</v>
      </c>
    </row>
    <row r="325" spans="1:11" ht="14.4" customHeight="1" x14ac:dyDescent="0.3">
      <c r="A325" s="679" t="s">
        <v>507</v>
      </c>
      <c r="B325" s="670" t="s">
        <v>509</v>
      </c>
      <c r="C325" s="704" t="s">
        <v>533</v>
      </c>
      <c r="D325" s="722" t="s">
        <v>534</v>
      </c>
      <c r="E325" s="704" t="s">
        <v>1634</v>
      </c>
      <c r="F325" s="722" t="s">
        <v>1635</v>
      </c>
      <c r="G325" s="704" t="s">
        <v>2158</v>
      </c>
      <c r="H325" s="704" t="s">
        <v>2159</v>
      </c>
      <c r="I325" s="238">
        <v>348.89</v>
      </c>
      <c r="J325" s="238">
        <v>72</v>
      </c>
      <c r="K325" s="712">
        <v>25119.94</v>
      </c>
    </row>
    <row r="326" spans="1:11" ht="14.4" customHeight="1" x14ac:dyDescent="0.3">
      <c r="A326" s="679" t="s">
        <v>507</v>
      </c>
      <c r="B326" s="670" t="s">
        <v>509</v>
      </c>
      <c r="C326" s="704" t="s">
        <v>533</v>
      </c>
      <c r="D326" s="722" t="s">
        <v>534</v>
      </c>
      <c r="E326" s="704" t="s">
        <v>1634</v>
      </c>
      <c r="F326" s="722" t="s">
        <v>1635</v>
      </c>
      <c r="G326" s="704" t="s">
        <v>2160</v>
      </c>
      <c r="H326" s="704" t="s">
        <v>2161</v>
      </c>
      <c r="I326" s="238">
        <v>27.21</v>
      </c>
      <c r="J326" s="238">
        <v>160</v>
      </c>
      <c r="K326" s="712">
        <v>4353.26</v>
      </c>
    </row>
    <row r="327" spans="1:11" ht="14.4" customHeight="1" x14ac:dyDescent="0.3">
      <c r="A327" s="679" t="s">
        <v>507</v>
      </c>
      <c r="B327" s="670" t="s">
        <v>509</v>
      </c>
      <c r="C327" s="704" t="s">
        <v>533</v>
      </c>
      <c r="D327" s="722" t="s">
        <v>534</v>
      </c>
      <c r="E327" s="704" t="s">
        <v>1634</v>
      </c>
      <c r="F327" s="722" t="s">
        <v>1635</v>
      </c>
      <c r="G327" s="704" t="s">
        <v>2162</v>
      </c>
      <c r="H327" s="704" t="s">
        <v>2163</v>
      </c>
      <c r="I327" s="238">
        <v>29.7</v>
      </c>
      <c r="J327" s="238">
        <v>280</v>
      </c>
      <c r="K327" s="712">
        <v>8315</v>
      </c>
    </row>
    <row r="328" spans="1:11" ht="14.4" customHeight="1" x14ac:dyDescent="0.3">
      <c r="A328" s="679" t="s">
        <v>507</v>
      </c>
      <c r="B328" s="670" t="s">
        <v>509</v>
      </c>
      <c r="C328" s="704" t="s">
        <v>533</v>
      </c>
      <c r="D328" s="722" t="s">
        <v>534</v>
      </c>
      <c r="E328" s="704" t="s">
        <v>1634</v>
      </c>
      <c r="F328" s="722" t="s">
        <v>1635</v>
      </c>
      <c r="G328" s="704" t="s">
        <v>2164</v>
      </c>
      <c r="H328" s="704" t="s">
        <v>2165</v>
      </c>
      <c r="I328" s="238">
        <v>140.37</v>
      </c>
      <c r="J328" s="238">
        <v>72</v>
      </c>
      <c r="K328" s="712">
        <v>10106.56</v>
      </c>
    </row>
    <row r="329" spans="1:11" ht="14.4" customHeight="1" x14ac:dyDescent="0.3">
      <c r="A329" s="679" t="s">
        <v>507</v>
      </c>
      <c r="B329" s="670" t="s">
        <v>509</v>
      </c>
      <c r="C329" s="704" t="s">
        <v>533</v>
      </c>
      <c r="D329" s="722" t="s">
        <v>534</v>
      </c>
      <c r="E329" s="704" t="s">
        <v>1634</v>
      </c>
      <c r="F329" s="722" t="s">
        <v>1635</v>
      </c>
      <c r="G329" s="704" t="s">
        <v>2166</v>
      </c>
      <c r="H329" s="704" t="s">
        <v>2167</v>
      </c>
      <c r="I329" s="238">
        <v>38.909999999999997</v>
      </c>
      <c r="J329" s="238">
        <v>432</v>
      </c>
      <c r="K329" s="712">
        <v>16808.41</v>
      </c>
    </row>
    <row r="330" spans="1:11" ht="14.4" customHeight="1" x14ac:dyDescent="0.3">
      <c r="A330" s="679" t="s">
        <v>507</v>
      </c>
      <c r="B330" s="670" t="s">
        <v>509</v>
      </c>
      <c r="C330" s="704" t="s">
        <v>533</v>
      </c>
      <c r="D330" s="722" t="s">
        <v>534</v>
      </c>
      <c r="E330" s="704" t="s">
        <v>1634</v>
      </c>
      <c r="F330" s="722" t="s">
        <v>1635</v>
      </c>
      <c r="G330" s="704" t="s">
        <v>2168</v>
      </c>
      <c r="H330" s="704" t="s">
        <v>2169</v>
      </c>
      <c r="I330" s="238">
        <v>128.56</v>
      </c>
      <c r="J330" s="238">
        <v>216</v>
      </c>
      <c r="K330" s="712">
        <v>27769.74</v>
      </c>
    </row>
    <row r="331" spans="1:11" ht="14.4" customHeight="1" x14ac:dyDescent="0.3">
      <c r="A331" s="679" t="s">
        <v>507</v>
      </c>
      <c r="B331" s="670" t="s">
        <v>509</v>
      </c>
      <c r="C331" s="704" t="s">
        <v>533</v>
      </c>
      <c r="D331" s="722" t="s">
        <v>534</v>
      </c>
      <c r="E331" s="704" t="s">
        <v>1634</v>
      </c>
      <c r="F331" s="722" t="s">
        <v>1635</v>
      </c>
      <c r="G331" s="704" t="s">
        <v>2170</v>
      </c>
      <c r="H331" s="704" t="s">
        <v>2171</v>
      </c>
      <c r="I331" s="238">
        <v>200.84</v>
      </c>
      <c r="J331" s="238">
        <v>12</v>
      </c>
      <c r="K331" s="712">
        <v>2410.13</v>
      </c>
    </row>
    <row r="332" spans="1:11" ht="14.4" customHeight="1" x14ac:dyDescent="0.3">
      <c r="A332" s="679" t="s">
        <v>507</v>
      </c>
      <c r="B332" s="670" t="s">
        <v>509</v>
      </c>
      <c r="C332" s="704" t="s">
        <v>533</v>
      </c>
      <c r="D332" s="722" t="s">
        <v>534</v>
      </c>
      <c r="E332" s="704" t="s">
        <v>1636</v>
      </c>
      <c r="F332" s="722" t="s">
        <v>1637</v>
      </c>
      <c r="G332" s="704" t="s">
        <v>2172</v>
      </c>
      <c r="H332" s="704" t="s">
        <v>2173</v>
      </c>
      <c r="I332" s="238">
        <v>10.45</v>
      </c>
      <c r="J332" s="238">
        <v>100</v>
      </c>
      <c r="K332" s="712">
        <v>1045.44</v>
      </c>
    </row>
    <row r="333" spans="1:11" ht="14.4" customHeight="1" x14ac:dyDescent="0.3">
      <c r="A333" s="679" t="s">
        <v>507</v>
      </c>
      <c r="B333" s="670" t="s">
        <v>509</v>
      </c>
      <c r="C333" s="704" t="s">
        <v>533</v>
      </c>
      <c r="D333" s="722" t="s">
        <v>534</v>
      </c>
      <c r="E333" s="704" t="s">
        <v>1636</v>
      </c>
      <c r="F333" s="722" t="s">
        <v>1637</v>
      </c>
      <c r="G333" s="704" t="s">
        <v>2174</v>
      </c>
      <c r="H333" s="704" t="s">
        <v>2175</v>
      </c>
      <c r="I333" s="238">
        <v>10.16</v>
      </c>
      <c r="J333" s="238">
        <v>50</v>
      </c>
      <c r="K333" s="712">
        <v>508.2</v>
      </c>
    </row>
    <row r="334" spans="1:11" ht="14.4" customHeight="1" x14ac:dyDescent="0.3">
      <c r="A334" s="679" t="s">
        <v>507</v>
      </c>
      <c r="B334" s="670" t="s">
        <v>509</v>
      </c>
      <c r="C334" s="704" t="s">
        <v>533</v>
      </c>
      <c r="D334" s="722" t="s">
        <v>534</v>
      </c>
      <c r="E334" s="704" t="s">
        <v>1636</v>
      </c>
      <c r="F334" s="722" t="s">
        <v>1637</v>
      </c>
      <c r="G334" s="704" t="s">
        <v>2176</v>
      </c>
      <c r="H334" s="704" t="s">
        <v>2177</v>
      </c>
      <c r="I334" s="238">
        <v>10.99</v>
      </c>
      <c r="J334" s="238">
        <v>100</v>
      </c>
      <c r="K334" s="712">
        <v>1098.68</v>
      </c>
    </row>
    <row r="335" spans="1:11" ht="14.4" customHeight="1" x14ac:dyDescent="0.3">
      <c r="A335" s="679" t="s">
        <v>507</v>
      </c>
      <c r="B335" s="670" t="s">
        <v>509</v>
      </c>
      <c r="C335" s="704" t="s">
        <v>533</v>
      </c>
      <c r="D335" s="722" t="s">
        <v>534</v>
      </c>
      <c r="E335" s="704" t="s">
        <v>1636</v>
      </c>
      <c r="F335" s="722" t="s">
        <v>1637</v>
      </c>
      <c r="G335" s="704" t="s">
        <v>1748</v>
      </c>
      <c r="H335" s="704" t="s">
        <v>1749</v>
      </c>
      <c r="I335" s="238">
        <v>0.3</v>
      </c>
      <c r="J335" s="238">
        <v>600</v>
      </c>
      <c r="K335" s="712">
        <v>180</v>
      </c>
    </row>
    <row r="336" spans="1:11" ht="14.4" customHeight="1" x14ac:dyDescent="0.3">
      <c r="A336" s="679" t="s">
        <v>507</v>
      </c>
      <c r="B336" s="670" t="s">
        <v>509</v>
      </c>
      <c r="C336" s="704" t="s">
        <v>533</v>
      </c>
      <c r="D336" s="722" t="s">
        <v>534</v>
      </c>
      <c r="E336" s="704" t="s">
        <v>1638</v>
      </c>
      <c r="F336" s="722" t="s">
        <v>1639</v>
      </c>
      <c r="G336" s="704" t="s">
        <v>2178</v>
      </c>
      <c r="H336" s="704" t="s">
        <v>2179</v>
      </c>
      <c r="I336" s="238">
        <v>10.55</v>
      </c>
      <c r="J336" s="238">
        <v>280</v>
      </c>
      <c r="K336" s="712">
        <v>2954.19</v>
      </c>
    </row>
    <row r="337" spans="1:11" ht="14.4" customHeight="1" x14ac:dyDescent="0.3">
      <c r="A337" s="679" t="s">
        <v>507</v>
      </c>
      <c r="B337" s="670" t="s">
        <v>509</v>
      </c>
      <c r="C337" s="704" t="s">
        <v>533</v>
      </c>
      <c r="D337" s="722" t="s">
        <v>534</v>
      </c>
      <c r="E337" s="704" t="s">
        <v>1638</v>
      </c>
      <c r="F337" s="722" t="s">
        <v>1639</v>
      </c>
      <c r="G337" s="704" t="s">
        <v>2180</v>
      </c>
      <c r="H337" s="704" t="s">
        <v>2181</v>
      </c>
      <c r="I337" s="238">
        <v>16.23</v>
      </c>
      <c r="J337" s="238">
        <v>80</v>
      </c>
      <c r="K337" s="712">
        <v>1298.4000000000001</v>
      </c>
    </row>
    <row r="338" spans="1:11" ht="14.4" customHeight="1" x14ac:dyDescent="0.3">
      <c r="A338" s="679" t="s">
        <v>507</v>
      </c>
      <c r="B338" s="670" t="s">
        <v>509</v>
      </c>
      <c r="C338" s="704" t="s">
        <v>533</v>
      </c>
      <c r="D338" s="722" t="s">
        <v>534</v>
      </c>
      <c r="E338" s="704" t="s">
        <v>1638</v>
      </c>
      <c r="F338" s="722" t="s">
        <v>1639</v>
      </c>
      <c r="G338" s="704" t="s">
        <v>2182</v>
      </c>
      <c r="H338" s="704" t="s">
        <v>2183</v>
      </c>
      <c r="I338" s="238">
        <v>11.01</v>
      </c>
      <c r="J338" s="238">
        <v>200</v>
      </c>
      <c r="K338" s="712">
        <v>2202</v>
      </c>
    </row>
    <row r="339" spans="1:11" ht="14.4" customHeight="1" x14ac:dyDescent="0.3">
      <c r="A339" s="679" t="s">
        <v>507</v>
      </c>
      <c r="B339" s="670" t="s">
        <v>509</v>
      </c>
      <c r="C339" s="704" t="s">
        <v>533</v>
      </c>
      <c r="D339" s="722" t="s">
        <v>534</v>
      </c>
      <c r="E339" s="704" t="s">
        <v>1638</v>
      </c>
      <c r="F339" s="722" t="s">
        <v>1639</v>
      </c>
      <c r="G339" s="704" t="s">
        <v>2184</v>
      </c>
      <c r="H339" s="704" t="s">
        <v>2185</v>
      </c>
      <c r="I339" s="238">
        <v>10.55</v>
      </c>
      <c r="J339" s="238">
        <v>120</v>
      </c>
      <c r="K339" s="712">
        <v>1266.0999999999999</v>
      </c>
    </row>
    <row r="340" spans="1:11" ht="14.4" customHeight="1" x14ac:dyDescent="0.3">
      <c r="A340" s="679" t="s">
        <v>507</v>
      </c>
      <c r="B340" s="670" t="s">
        <v>509</v>
      </c>
      <c r="C340" s="704" t="s">
        <v>533</v>
      </c>
      <c r="D340" s="722" t="s">
        <v>534</v>
      </c>
      <c r="E340" s="704" t="s">
        <v>1638</v>
      </c>
      <c r="F340" s="722" t="s">
        <v>1639</v>
      </c>
      <c r="G340" s="704" t="s">
        <v>2186</v>
      </c>
      <c r="H340" s="704" t="s">
        <v>2187</v>
      </c>
      <c r="I340" s="238">
        <v>10.55</v>
      </c>
      <c r="J340" s="238">
        <v>400</v>
      </c>
      <c r="K340" s="712">
        <v>4220.24</v>
      </c>
    </row>
    <row r="341" spans="1:11" ht="14.4" customHeight="1" x14ac:dyDescent="0.3">
      <c r="A341" s="679" t="s">
        <v>507</v>
      </c>
      <c r="B341" s="670" t="s">
        <v>509</v>
      </c>
      <c r="C341" s="704" t="s">
        <v>533</v>
      </c>
      <c r="D341" s="722" t="s">
        <v>534</v>
      </c>
      <c r="E341" s="704" t="s">
        <v>1638</v>
      </c>
      <c r="F341" s="722" t="s">
        <v>1639</v>
      </c>
      <c r="G341" s="704" t="s">
        <v>1708</v>
      </c>
      <c r="H341" s="704" t="s">
        <v>1709</v>
      </c>
      <c r="I341" s="238">
        <v>0.77</v>
      </c>
      <c r="J341" s="238">
        <v>2400</v>
      </c>
      <c r="K341" s="712">
        <v>1848</v>
      </c>
    </row>
    <row r="342" spans="1:11" ht="14.4" customHeight="1" x14ac:dyDescent="0.3">
      <c r="A342" s="679" t="s">
        <v>507</v>
      </c>
      <c r="B342" s="670" t="s">
        <v>509</v>
      </c>
      <c r="C342" s="704" t="s">
        <v>533</v>
      </c>
      <c r="D342" s="722" t="s">
        <v>534</v>
      </c>
      <c r="E342" s="704" t="s">
        <v>1638</v>
      </c>
      <c r="F342" s="722" t="s">
        <v>1639</v>
      </c>
      <c r="G342" s="704" t="s">
        <v>1710</v>
      </c>
      <c r="H342" s="704" t="s">
        <v>1711</v>
      </c>
      <c r="I342" s="238">
        <v>0.77</v>
      </c>
      <c r="J342" s="238">
        <v>1800</v>
      </c>
      <c r="K342" s="712">
        <v>1386</v>
      </c>
    </row>
    <row r="343" spans="1:11" ht="14.4" customHeight="1" x14ac:dyDescent="0.3">
      <c r="A343" s="679" t="s">
        <v>507</v>
      </c>
      <c r="B343" s="670" t="s">
        <v>509</v>
      </c>
      <c r="C343" s="704" t="s">
        <v>533</v>
      </c>
      <c r="D343" s="722" t="s">
        <v>534</v>
      </c>
      <c r="E343" s="704" t="s">
        <v>1638</v>
      </c>
      <c r="F343" s="722" t="s">
        <v>1639</v>
      </c>
      <c r="G343" s="704" t="s">
        <v>1870</v>
      </c>
      <c r="H343" s="704" t="s">
        <v>1871</v>
      </c>
      <c r="I343" s="238">
        <v>0.77500000000000002</v>
      </c>
      <c r="J343" s="238">
        <v>800</v>
      </c>
      <c r="K343" s="712">
        <v>620</v>
      </c>
    </row>
    <row r="344" spans="1:11" ht="14.4" customHeight="1" x14ac:dyDescent="0.3">
      <c r="A344" s="679" t="s">
        <v>507</v>
      </c>
      <c r="B344" s="670" t="s">
        <v>509</v>
      </c>
      <c r="C344" s="704" t="s">
        <v>533</v>
      </c>
      <c r="D344" s="722" t="s">
        <v>534</v>
      </c>
      <c r="E344" s="704" t="s">
        <v>1626</v>
      </c>
      <c r="F344" s="722" t="s">
        <v>1627</v>
      </c>
      <c r="G344" s="704" t="s">
        <v>2188</v>
      </c>
      <c r="H344" s="704" t="s">
        <v>2189</v>
      </c>
      <c r="I344" s="238">
        <v>413844.86</v>
      </c>
      <c r="J344" s="238">
        <v>1</v>
      </c>
      <c r="K344" s="712">
        <v>413844.86</v>
      </c>
    </row>
    <row r="345" spans="1:11" ht="14.4" customHeight="1" x14ac:dyDescent="0.3">
      <c r="A345" s="679" t="s">
        <v>507</v>
      </c>
      <c r="B345" s="670" t="s">
        <v>509</v>
      </c>
      <c r="C345" s="704" t="s">
        <v>533</v>
      </c>
      <c r="D345" s="722" t="s">
        <v>534</v>
      </c>
      <c r="E345" s="704" t="s">
        <v>1630</v>
      </c>
      <c r="F345" s="722" t="s">
        <v>1631</v>
      </c>
      <c r="G345" s="704" t="s">
        <v>2190</v>
      </c>
      <c r="H345" s="704" t="s">
        <v>2191</v>
      </c>
      <c r="I345" s="238">
        <v>5417.3575000000001</v>
      </c>
      <c r="J345" s="238">
        <v>4</v>
      </c>
      <c r="K345" s="712">
        <v>21669.43</v>
      </c>
    </row>
    <row r="346" spans="1:11" ht="14.4" customHeight="1" x14ac:dyDescent="0.3">
      <c r="A346" s="679" t="s">
        <v>507</v>
      </c>
      <c r="B346" s="670" t="s">
        <v>509</v>
      </c>
      <c r="C346" s="704" t="s">
        <v>533</v>
      </c>
      <c r="D346" s="722" t="s">
        <v>534</v>
      </c>
      <c r="E346" s="704" t="s">
        <v>1630</v>
      </c>
      <c r="F346" s="722" t="s">
        <v>1631</v>
      </c>
      <c r="G346" s="704" t="s">
        <v>2192</v>
      </c>
      <c r="H346" s="704" t="s">
        <v>2193</v>
      </c>
      <c r="I346" s="238">
        <v>5043.8</v>
      </c>
      <c r="J346" s="238">
        <v>2</v>
      </c>
      <c r="K346" s="712">
        <v>10087.6</v>
      </c>
    </row>
    <row r="347" spans="1:11" ht="14.4" customHeight="1" x14ac:dyDescent="0.3">
      <c r="A347" s="679" t="s">
        <v>507</v>
      </c>
      <c r="B347" s="670" t="s">
        <v>509</v>
      </c>
      <c r="C347" s="704" t="s">
        <v>533</v>
      </c>
      <c r="D347" s="722" t="s">
        <v>534</v>
      </c>
      <c r="E347" s="704" t="s">
        <v>1630</v>
      </c>
      <c r="F347" s="722" t="s">
        <v>1631</v>
      </c>
      <c r="G347" s="704" t="s">
        <v>2194</v>
      </c>
      <c r="H347" s="704" t="s">
        <v>2195</v>
      </c>
      <c r="I347" s="238">
        <v>2360.46</v>
      </c>
      <c r="J347" s="238">
        <v>2</v>
      </c>
      <c r="K347" s="712">
        <v>4720.92</v>
      </c>
    </row>
    <row r="348" spans="1:11" ht="14.4" customHeight="1" x14ac:dyDescent="0.3">
      <c r="A348" s="679" t="s">
        <v>507</v>
      </c>
      <c r="B348" s="670" t="s">
        <v>509</v>
      </c>
      <c r="C348" s="704" t="s">
        <v>533</v>
      </c>
      <c r="D348" s="722" t="s">
        <v>534</v>
      </c>
      <c r="E348" s="704" t="s">
        <v>1630</v>
      </c>
      <c r="F348" s="722" t="s">
        <v>1631</v>
      </c>
      <c r="G348" s="704" t="s">
        <v>2196</v>
      </c>
      <c r="H348" s="704" t="s">
        <v>2197</v>
      </c>
      <c r="I348" s="238">
        <v>64.8</v>
      </c>
      <c r="J348" s="238">
        <v>192</v>
      </c>
      <c r="K348" s="712">
        <v>12442.08</v>
      </c>
    </row>
    <row r="349" spans="1:11" ht="14.4" customHeight="1" x14ac:dyDescent="0.3">
      <c r="A349" s="679" t="s">
        <v>507</v>
      </c>
      <c r="B349" s="670" t="s">
        <v>509</v>
      </c>
      <c r="C349" s="704" t="s">
        <v>533</v>
      </c>
      <c r="D349" s="722" t="s">
        <v>534</v>
      </c>
      <c r="E349" s="704" t="s">
        <v>1630</v>
      </c>
      <c r="F349" s="722" t="s">
        <v>1631</v>
      </c>
      <c r="G349" s="704" t="s">
        <v>2198</v>
      </c>
      <c r="H349" s="704" t="s">
        <v>2199</v>
      </c>
      <c r="I349" s="238">
        <v>6355.27</v>
      </c>
      <c r="J349" s="238">
        <v>4</v>
      </c>
      <c r="K349" s="712">
        <v>25421.08</v>
      </c>
    </row>
    <row r="350" spans="1:11" ht="14.4" customHeight="1" x14ac:dyDescent="0.3">
      <c r="A350" s="679" t="s">
        <v>507</v>
      </c>
      <c r="B350" s="670" t="s">
        <v>509</v>
      </c>
      <c r="C350" s="704" t="s">
        <v>533</v>
      </c>
      <c r="D350" s="722" t="s">
        <v>534</v>
      </c>
      <c r="E350" s="704" t="s">
        <v>1630</v>
      </c>
      <c r="F350" s="722" t="s">
        <v>1631</v>
      </c>
      <c r="G350" s="704" t="s">
        <v>2200</v>
      </c>
      <c r="H350" s="704" t="s">
        <v>2201</v>
      </c>
      <c r="I350" s="238">
        <v>5523.3</v>
      </c>
      <c r="J350" s="238">
        <v>2</v>
      </c>
      <c r="K350" s="712">
        <v>11046.6</v>
      </c>
    </row>
    <row r="351" spans="1:11" ht="14.4" customHeight="1" x14ac:dyDescent="0.3">
      <c r="A351" s="679" t="s">
        <v>507</v>
      </c>
      <c r="B351" s="670" t="s">
        <v>509</v>
      </c>
      <c r="C351" s="704" t="s">
        <v>533</v>
      </c>
      <c r="D351" s="722" t="s">
        <v>534</v>
      </c>
      <c r="E351" s="704" t="s">
        <v>1630</v>
      </c>
      <c r="F351" s="722" t="s">
        <v>1631</v>
      </c>
      <c r="G351" s="704" t="s">
        <v>2202</v>
      </c>
      <c r="H351" s="704" t="s">
        <v>2203</v>
      </c>
      <c r="I351" s="238">
        <v>28477.200000000001</v>
      </c>
      <c r="J351" s="238">
        <v>1</v>
      </c>
      <c r="K351" s="712">
        <v>28477.200000000001</v>
      </c>
    </row>
    <row r="352" spans="1:11" ht="14.4" customHeight="1" x14ac:dyDescent="0.3">
      <c r="A352" s="679" t="s">
        <v>507</v>
      </c>
      <c r="B352" s="670" t="s">
        <v>509</v>
      </c>
      <c r="C352" s="704" t="s">
        <v>533</v>
      </c>
      <c r="D352" s="722" t="s">
        <v>534</v>
      </c>
      <c r="E352" s="704" t="s">
        <v>1630</v>
      </c>
      <c r="F352" s="722" t="s">
        <v>1631</v>
      </c>
      <c r="G352" s="704" t="s">
        <v>2204</v>
      </c>
      <c r="H352" s="704" t="s">
        <v>2205</v>
      </c>
      <c r="I352" s="238">
        <v>17360.400000000001</v>
      </c>
      <c r="J352" s="238">
        <v>1</v>
      </c>
      <c r="K352" s="712">
        <v>17360.400000000001</v>
      </c>
    </row>
    <row r="353" spans="1:11" ht="14.4" customHeight="1" x14ac:dyDescent="0.3">
      <c r="A353" s="679" t="s">
        <v>507</v>
      </c>
      <c r="B353" s="670" t="s">
        <v>509</v>
      </c>
      <c r="C353" s="704" t="s">
        <v>533</v>
      </c>
      <c r="D353" s="722" t="s">
        <v>534</v>
      </c>
      <c r="E353" s="704" t="s">
        <v>1630</v>
      </c>
      <c r="F353" s="722" t="s">
        <v>1631</v>
      </c>
      <c r="G353" s="704" t="s">
        <v>2206</v>
      </c>
      <c r="H353" s="704" t="s">
        <v>2207</v>
      </c>
      <c r="I353" s="238">
        <v>10019.84</v>
      </c>
      <c r="J353" s="238">
        <v>1</v>
      </c>
      <c r="K353" s="712">
        <v>10019.84</v>
      </c>
    </row>
    <row r="354" spans="1:11" ht="14.4" customHeight="1" x14ac:dyDescent="0.3">
      <c r="A354" s="679" t="s">
        <v>507</v>
      </c>
      <c r="B354" s="670" t="s">
        <v>509</v>
      </c>
      <c r="C354" s="704" t="s">
        <v>533</v>
      </c>
      <c r="D354" s="722" t="s">
        <v>534</v>
      </c>
      <c r="E354" s="704" t="s">
        <v>1630</v>
      </c>
      <c r="F354" s="722" t="s">
        <v>1631</v>
      </c>
      <c r="G354" s="704" t="s">
        <v>2208</v>
      </c>
      <c r="H354" s="704" t="s">
        <v>2209</v>
      </c>
      <c r="I354" s="238">
        <v>10019.84</v>
      </c>
      <c r="J354" s="238">
        <v>2</v>
      </c>
      <c r="K354" s="712">
        <v>20039.68</v>
      </c>
    </row>
    <row r="355" spans="1:11" ht="14.4" customHeight="1" x14ac:dyDescent="0.3">
      <c r="A355" s="679" t="s">
        <v>507</v>
      </c>
      <c r="B355" s="670" t="s">
        <v>509</v>
      </c>
      <c r="C355" s="704" t="s">
        <v>533</v>
      </c>
      <c r="D355" s="722" t="s">
        <v>534</v>
      </c>
      <c r="E355" s="704" t="s">
        <v>1630</v>
      </c>
      <c r="F355" s="722" t="s">
        <v>1631</v>
      </c>
      <c r="G355" s="704" t="s">
        <v>2210</v>
      </c>
      <c r="H355" s="704" t="s">
        <v>2211</v>
      </c>
      <c r="I355" s="238">
        <v>17360.400000000001</v>
      </c>
      <c r="J355" s="238">
        <v>1</v>
      </c>
      <c r="K355" s="712">
        <v>17360.400000000001</v>
      </c>
    </row>
    <row r="356" spans="1:11" ht="14.4" customHeight="1" x14ac:dyDescent="0.3">
      <c r="A356" s="679" t="s">
        <v>507</v>
      </c>
      <c r="B356" s="670" t="s">
        <v>509</v>
      </c>
      <c r="C356" s="704" t="s">
        <v>533</v>
      </c>
      <c r="D356" s="722" t="s">
        <v>534</v>
      </c>
      <c r="E356" s="704" t="s">
        <v>1630</v>
      </c>
      <c r="F356" s="722" t="s">
        <v>1631</v>
      </c>
      <c r="G356" s="704" t="s">
        <v>2212</v>
      </c>
      <c r="H356" s="704" t="s">
        <v>2213</v>
      </c>
      <c r="I356" s="238">
        <v>6562.98</v>
      </c>
      <c r="J356" s="238">
        <v>2</v>
      </c>
      <c r="K356" s="712">
        <v>13125.96</v>
      </c>
    </row>
    <row r="357" spans="1:11" ht="14.4" customHeight="1" x14ac:dyDescent="0.3">
      <c r="A357" s="679" t="s">
        <v>507</v>
      </c>
      <c r="B357" s="670" t="s">
        <v>509</v>
      </c>
      <c r="C357" s="704" t="s">
        <v>533</v>
      </c>
      <c r="D357" s="722" t="s">
        <v>534</v>
      </c>
      <c r="E357" s="704" t="s">
        <v>1630</v>
      </c>
      <c r="F357" s="722" t="s">
        <v>1631</v>
      </c>
      <c r="G357" s="704" t="s">
        <v>2214</v>
      </c>
      <c r="H357" s="704" t="s">
        <v>2215</v>
      </c>
      <c r="I357" s="238">
        <v>10019.836666666668</v>
      </c>
      <c r="J357" s="238">
        <v>4</v>
      </c>
      <c r="K357" s="712">
        <v>40079.35</v>
      </c>
    </row>
    <row r="358" spans="1:11" ht="14.4" customHeight="1" x14ac:dyDescent="0.3">
      <c r="A358" s="679" t="s">
        <v>507</v>
      </c>
      <c r="B358" s="670" t="s">
        <v>509</v>
      </c>
      <c r="C358" s="704" t="s">
        <v>533</v>
      </c>
      <c r="D358" s="722" t="s">
        <v>534</v>
      </c>
      <c r="E358" s="704" t="s">
        <v>1630</v>
      </c>
      <c r="F358" s="722" t="s">
        <v>1631</v>
      </c>
      <c r="G358" s="704" t="s">
        <v>2216</v>
      </c>
      <c r="H358" s="704" t="s">
        <v>1923</v>
      </c>
      <c r="I358" s="238">
        <v>2591.0549999999998</v>
      </c>
      <c r="J358" s="238">
        <v>2</v>
      </c>
      <c r="K358" s="712">
        <v>5182.1099999999997</v>
      </c>
    </row>
    <row r="359" spans="1:11" ht="14.4" customHeight="1" x14ac:dyDescent="0.3">
      <c r="A359" s="679" t="s">
        <v>507</v>
      </c>
      <c r="B359" s="670" t="s">
        <v>509</v>
      </c>
      <c r="C359" s="704" t="s">
        <v>533</v>
      </c>
      <c r="D359" s="722" t="s">
        <v>534</v>
      </c>
      <c r="E359" s="704" t="s">
        <v>1630</v>
      </c>
      <c r="F359" s="722" t="s">
        <v>1631</v>
      </c>
      <c r="G359" s="704" t="s">
        <v>2217</v>
      </c>
      <c r="H359" s="704" t="s">
        <v>2218</v>
      </c>
      <c r="I359" s="238">
        <v>11495.505000000001</v>
      </c>
      <c r="J359" s="238">
        <v>2</v>
      </c>
      <c r="K359" s="712">
        <v>22991.010000000002</v>
      </c>
    </row>
    <row r="360" spans="1:11" ht="14.4" customHeight="1" x14ac:dyDescent="0.3">
      <c r="A360" s="679" t="s">
        <v>507</v>
      </c>
      <c r="B360" s="670" t="s">
        <v>509</v>
      </c>
      <c r="C360" s="704" t="s">
        <v>533</v>
      </c>
      <c r="D360" s="722" t="s">
        <v>534</v>
      </c>
      <c r="E360" s="704" t="s">
        <v>1630</v>
      </c>
      <c r="F360" s="722" t="s">
        <v>1631</v>
      </c>
      <c r="G360" s="704" t="s">
        <v>2219</v>
      </c>
      <c r="H360" s="704" t="s">
        <v>2220</v>
      </c>
      <c r="I360" s="238">
        <v>33666.480000000003</v>
      </c>
      <c r="J360" s="238">
        <v>1</v>
      </c>
      <c r="K360" s="712">
        <v>33666.480000000003</v>
      </c>
    </row>
    <row r="361" spans="1:11" ht="14.4" customHeight="1" thickBot="1" x14ac:dyDescent="0.35">
      <c r="A361" s="636" t="s">
        <v>507</v>
      </c>
      <c r="B361" s="672" t="s">
        <v>509</v>
      </c>
      <c r="C361" s="708" t="s">
        <v>533</v>
      </c>
      <c r="D361" s="723" t="s">
        <v>534</v>
      </c>
      <c r="E361" s="708" t="s">
        <v>1630</v>
      </c>
      <c r="F361" s="723" t="s">
        <v>1631</v>
      </c>
      <c r="G361" s="708" t="s">
        <v>2221</v>
      </c>
      <c r="H361" s="708" t="s">
        <v>2222</v>
      </c>
      <c r="I361" s="673">
        <v>1668.075</v>
      </c>
      <c r="J361" s="673">
        <v>2</v>
      </c>
      <c r="K361" s="713">
        <v>3336.15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2" width="12.21875" customWidth="1"/>
    <col min="3" max="3" width="12.21875" hidden="1" customWidth="1"/>
    <col min="4" max="4" width="12.21875" customWidth="1"/>
    <col min="5" max="5" width="12.21875" hidden="1" customWidth="1"/>
    <col min="6" max="6" width="12.21875" customWidth="1"/>
    <col min="7" max="8" width="12.21875" hidden="1" customWidth="1"/>
    <col min="9" max="9" width="12.21875" customWidth="1"/>
    <col min="10" max="10" width="12.21875" hidden="1" customWidth="1"/>
    <col min="11" max="11" width="12.21875" customWidth="1"/>
    <col min="12" max="12" width="12.21875" hidden="1" customWidth="1"/>
  </cols>
  <sheetData>
    <row r="1" spans="1:12" ht="18.600000000000001" thickBot="1" x14ac:dyDescent="0.4">
      <c r="A1" s="520" t="s">
        <v>134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15" thickBot="1" x14ac:dyDescent="0.35">
      <c r="A2" s="389" t="s">
        <v>298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12" x14ac:dyDescent="0.3">
      <c r="A3" s="410" t="s">
        <v>292</v>
      </c>
      <c r="B3" s="522" t="s">
        <v>270</v>
      </c>
      <c r="C3" s="391">
        <v>0</v>
      </c>
      <c r="D3" s="392">
        <v>101</v>
      </c>
      <c r="E3" s="413">
        <v>203</v>
      </c>
      <c r="F3" s="392" t="s">
        <v>250</v>
      </c>
      <c r="G3" s="392" t="s">
        <v>251</v>
      </c>
      <c r="H3" s="392" t="s">
        <v>252</v>
      </c>
      <c r="I3" s="392" t="s">
        <v>253</v>
      </c>
      <c r="J3" s="392" t="s">
        <v>254</v>
      </c>
      <c r="K3" s="392">
        <v>930</v>
      </c>
      <c r="L3" s="393">
        <v>940</v>
      </c>
    </row>
    <row r="4" spans="1:12" ht="60.6" outlineLevel="1" thickBot="1" x14ac:dyDescent="0.35">
      <c r="A4" s="411">
        <v>2014</v>
      </c>
      <c r="B4" s="523"/>
      <c r="C4" s="394" t="s">
        <v>271</v>
      </c>
      <c r="D4" s="395" t="s">
        <v>272</v>
      </c>
      <c r="E4" s="414" t="s">
        <v>273</v>
      </c>
      <c r="F4" s="395" t="s">
        <v>274</v>
      </c>
      <c r="G4" s="395" t="s">
        <v>275</v>
      </c>
      <c r="H4" s="395" t="s">
        <v>276</v>
      </c>
      <c r="I4" s="395" t="s">
        <v>277</v>
      </c>
      <c r="J4" s="395" t="s">
        <v>278</v>
      </c>
      <c r="K4" s="395" t="s">
        <v>279</v>
      </c>
      <c r="L4" s="396" t="s">
        <v>280</v>
      </c>
    </row>
    <row r="5" spans="1:12" x14ac:dyDescent="0.3">
      <c r="A5" s="397" t="s">
        <v>281</v>
      </c>
      <c r="B5" s="441"/>
      <c r="C5" s="442"/>
      <c r="D5" s="443"/>
      <c r="E5" s="443"/>
      <c r="F5" s="443"/>
      <c r="G5" s="443"/>
      <c r="H5" s="443"/>
      <c r="I5" s="443"/>
      <c r="J5" s="443"/>
      <c r="K5" s="443"/>
      <c r="L5" s="444"/>
    </row>
    <row r="6" spans="1:12" ht="15" collapsed="1" thickBot="1" x14ac:dyDescent="0.35">
      <c r="A6" s="398" t="s">
        <v>97</v>
      </c>
      <c r="B6" s="445">
        <f xml:space="preserve">
TRUNC(IF($A$4&lt;=12,SUMIFS('ON Data'!D:D,'ON Data'!$B:$B,$A$4,'ON Data'!$C:$C,1),SUMIFS('ON Data'!D:D,'ON Data'!$C:$C,1)/'ON Data'!$B$3),1)</f>
        <v>88.7</v>
      </c>
      <c r="C6" s="446">
        <f xml:space="preserve">
TRUNC(IF($A$4&lt;=12,SUMIFS('ON Data'!E:E,'ON Data'!$B:$B,$A$4,'ON Data'!$C:$C,1),SUMIFS('ON Data'!E:E,'ON Data'!$C:$C,1)/'ON Data'!$B$3),1)</f>
        <v>0</v>
      </c>
      <c r="D6" s="447">
        <f xml:space="preserve">
TRUNC(IF($A$4&lt;=12,SUMIFS('ON Data'!F:F,'ON Data'!$B:$B,$A$4,'ON Data'!$C:$C,1),SUMIFS('ON Data'!F:F,'ON Data'!$C:$C,1)/'ON Data'!$B$3),1)</f>
        <v>12</v>
      </c>
      <c r="E6" s="447">
        <f xml:space="preserve">
TRUNC(IF($A$4&lt;=12,SUMIFS('ON Data'!H:H,'ON Data'!$B:$B,$A$4,'ON Data'!$C:$C,1),SUMIFS('ON Data'!H:H,'ON Data'!$C:$C,1)/'ON Data'!$B$3),1)</f>
        <v>0</v>
      </c>
      <c r="F6" s="447">
        <f xml:space="preserve">
TRUNC(IF($A$4&lt;=12,SUMIFS('ON Data'!I:I,'ON Data'!$B:$B,$A$4,'ON Data'!$C:$C,1),SUMIFS('ON Data'!I:I,'ON Data'!$C:$C,1)/'ON Data'!$B$3),1)</f>
        <v>56.7</v>
      </c>
      <c r="G6" s="447">
        <f xml:space="preserve">
TRUNC(IF($A$4&lt;=12,SUMIFS('ON Data'!J:J,'ON Data'!$B:$B,$A$4,'ON Data'!$C:$C,1),SUMIFS('ON Data'!J:J,'ON Data'!$C:$C,1)/'ON Data'!$B$3),1)</f>
        <v>0</v>
      </c>
      <c r="H6" s="447">
        <f xml:space="preserve">
TRUNC(IF($A$4&lt;=12,SUMIFS('ON Data'!K:K,'ON Data'!$B:$B,$A$4,'ON Data'!$C:$C,1),SUMIFS('ON Data'!K:K,'ON Data'!$C:$C,1)/'ON Data'!$B$3),1)</f>
        <v>0</v>
      </c>
      <c r="I6" s="447">
        <f xml:space="preserve">
TRUNC(IF($A$4&lt;=12,SUMIFS('ON Data'!L:L,'ON Data'!$B:$B,$A$4,'ON Data'!$C:$C,1),SUMIFS('ON Data'!L:L,'ON Data'!$C:$C,1)/'ON Data'!$B$3),1)</f>
        <v>18</v>
      </c>
      <c r="J6" s="447">
        <f xml:space="preserve">
TRUNC(IF($A$4&lt;=12,SUMIFS('ON Data'!M:M,'ON Data'!$B:$B,$A$4,'ON Data'!$C:$C,1),SUMIFS('ON Data'!M:M,'ON Data'!$C:$C,1)/'ON Data'!$B$3),1)</f>
        <v>0</v>
      </c>
      <c r="K6" s="447">
        <f xml:space="preserve">
TRUNC(IF($A$4&lt;=12,SUMIFS('ON Data'!N:N,'ON Data'!$B:$B,$A$4,'ON Data'!$C:$C,1),SUMIFS('ON Data'!N:N,'ON Data'!$C:$C,1)/'ON Data'!$B$3),1)</f>
        <v>2</v>
      </c>
      <c r="L6" s="448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398" t="s">
        <v>135</v>
      </c>
      <c r="B7" s="445"/>
      <c r="C7" s="449"/>
      <c r="D7" s="447"/>
      <c r="E7" s="447"/>
      <c r="F7" s="447"/>
      <c r="G7" s="447"/>
      <c r="H7" s="447"/>
      <c r="I7" s="447"/>
      <c r="J7" s="447"/>
      <c r="K7" s="447"/>
      <c r="L7" s="448"/>
    </row>
    <row r="8" spans="1:12" ht="15" hidden="1" outlineLevel="1" thickBot="1" x14ac:dyDescent="0.35">
      <c r="A8" s="398" t="s">
        <v>99</v>
      </c>
      <c r="B8" s="445"/>
      <c r="C8" s="449"/>
      <c r="D8" s="447"/>
      <c r="E8" s="447"/>
      <c r="F8" s="447"/>
      <c r="G8" s="447"/>
      <c r="H8" s="447"/>
      <c r="I8" s="447"/>
      <c r="J8" s="447"/>
      <c r="K8" s="447"/>
      <c r="L8" s="448"/>
    </row>
    <row r="9" spans="1:12" ht="15" hidden="1" outlineLevel="1" thickBot="1" x14ac:dyDescent="0.35">
      <c r="A9" s="399" t="s">
        <v>72</v>
      </c>
      <c r="B9" s="450"/>
      <c r="C9" s="451"/>
      <c r="D9" s="452"/>
      <c r="E9" s="452"/>
      <c r="F9" s="452"/>
      <c r="G9" s="452"/>
      <c r="H9" s="452"/>
      <c r="I9" s="452"/>
      <c r="J9" s="452"/>
      <c r="K9" s="452"/>
      <c r="L9" s="453"/>
    </row>
    <row r="10" spans="1:12" x14ac:dyDescent="0.3">
      <c r="A10" s="400" t="s">
        <v>282</v>
      </c>
      <c r="B10" s="415"/>
      <c r="C10" s="416"/>
      <c r="D10" s="417"/>
      <c r="E10" s="417"/>
      <c r="F10" s="417"/>
      <c r="G10" s="417"/>
      <c r="H10" s="417"/>
      <c r="I10" s="417"/>
      <c r="J10" s="417"/>
      <c r="K10" s="417"/>
      <c r="L10" s="418"/>
    </row>
    <row r="11" spans="1:12" x14ac:dyDescent="0.3">
      <c r="A11" s="401" t="s">
        <v>283</v>
      </c>
      <c r="B11" s="419">
        <f xml:space="preserve">
IF($A$4&lt;=12,SUMIFS('ON Data'!D:D,'ON Data'!$B:$B,$A$4,'ON Data'!$C:$C,2),SUMIFS('ON Data'!D:D,'ON Data'!$C:$C,2))</f>
        <v>26085.129999999997</v>
      </c>
      <c r="C11" s="420">
        <f xml:space="preserve">
IF($A$4&lt;=12,SUMIFS('ON Data'!E:E,'ON Data'!$B:$B,$A$4,'ON Data'!$C:$C,2),SUMIFS('ON Data'!E:E,'ON Data'!$C:$C,2))</f>
        <v>0</v>
      </c>
      <c r="D11" s="421">
        <f xml:space="preserve">
IF($A$4&lt;=12,SUMIFS('ON Data'!F:F,'ON Data'!$B:$B,$A$4,'ON Data'!$C:$C,2),SUMIFS('ON Data'!F:F,'ON Data'!$C:$C,2))</f>
        <v>3916</v>
      </c>
      <c r="E11" s="421">
        <f xml:space="preserve">
IF($A$4&lt;=12,SUMIFS('ON Data'!H:H,'ON Data'!$B:$B,$A$4,'ON Data'!$C:$C,2),SUMIFS('ON Data'!H:H,'ON Data'!$C:$C,2))</f>
        <v>0</v>
      </c>
      <c r="F11" s="421">
        <f xml:space="preserve">
IF($A$4&lt;=12,SUMIFS('ON Data'!I:I,'ON Data'!$B:$B,$A$4,'ON Data'!$C:$C,2),SUMIFS('ON Data'!I:I,'ON Data'!$C:$C,2))</f>
        <v>15936.630000000001</v>
      </c>
      <c r="G11" s="421">
        <f xml:space="preserve">
IF($A$4&lt;=12,SUMIFS('ON Data'!J:J,'ON Data'!$B:$B,$A$4,'ON Data'!$C:$C,2),SUMIFS('ON Data'!J:J,'ON Data'!$C:$C,2))</f>
        <v>0</v>
      </c>
      <c r="H11" s="421">
        <f xml:space="preserve">
IF($A$4&lt;=12,SUMIFS('ON Data'!K:K,'ON Data'!$B:$B,$A$4,'ON Data'!$C:$C,2),SUMIFS('ON Data'!K:K,'ON Data'!$C:$C,2))</f>
        <v>0</v>
      </c>
      <c r="I11" s="421">
        <f xml:space="preserve">
IF($A$4&lt;=12,SUMIFS('ON Data'!L:L,'ON Data'!$B:$B,$A$4,'ON Data'!$C:$C,2),SUMIFS('ON Data'!L:L,'ON Data'!$C:$C,2))</f>
        <v>5560.51</v>
      </c>
      <c r="J11" s="421">
        <f xml:space="preserve">
IF($A$4&lt;=12,SUMIFS('ON Data'!M:M,'ON Data'!$B:$B,$A$4,'ON Data'!$C:$C,2),SUMIFS('ON Data'!M:M,'ON Data'!$C:$C,2))</f>
        <v>0</v>
      </c>
      <c r="K11" s="421">
        <f xml:space="preserve">
IF($A$4&lt;=12,SUMIFS('ON Data'!N:N,'ON Data'!$B:$B,$A$4,'ON Data'!$C:$C,2),SUMIFS('ON Data'!N:N,'ON Data'!$C:$C,2))</f>
        <v>672</v>
      </c>
      <c r="L11" s="422">
        <f xml:space="preserve">
IF($A$4&lt;=12,SUMIFS('ON Data'!O:O,'ON Data'!$B:$B,$A$4,'ON Data'!$C:$C,2),SUMIFS('ON Data'!O:O,'ON Data'!$C:$C,2))</f>
        <v>0</v>
      </c>
    </row>
    <row r="12" spans="1:12" x14ac:dyDescent="0.3">
      <c r="A12" s="401" t="s">
        <v>284</v>
      </c>
      <c r="B12" s="419">
        <f xml:space="preserve">
IF($A$4&lt;=12,SUMIFS('ON Data'!D:D,'ON Data'!$B:$B,$A$4,'ON Data'!$C:$C,3),SUMIFS('ON Data'!D:D,'ON Data'!$C:$C,3))</f>
        <v>10</v>
      </c>
      <c r="C12" s="420">
        <f xml:space="preserve">
IF($A$4&lt;=12,SUMIFS('ON Data'!E:E,'ON Data'!$B:$B,$A$4,'ON Data'!$C:$C,3),SUMIFS('ON Data'!E:E,'ON Data'!$C:$C,3))</f>
        <v>0</v>
      </c>
      <c r="D12" s="421">
        <f xml:space="preserve">
IF($A$4&lt;=12,SUMIFS('ON Data'!F:F,'ON Data'!$B:$B,$A$4,'ON Data'!$C:$C,3),SUMIFS('ON Data'!F:F,'ON Data'!$C:$C,3))</f>
        <v>0</v>
      </c>
      <c r="E12" s="421">
        <f xml:space="preserve">
IF($A$4&lt;=12,SUMIFS('ON Data'!H:H,'ON Data'!$B:$B,$A$4,'ON Data'!$C:$C,3),SUMIFS('ON Data'!H:H,'ON Data'!$C:$C,3))</f>
        <v>0</v>
      </c>
      <c r="F12" s="421">
        <f xml:space="preserve">
IF($A$4&lt;=12,SUMIFS('ON Data'!I:I,'ON Data'!$B:$B,$A$4,'ON Data'!$C:$C,3),SUMIFS('ON Data'!I:I,'ON Data'!$C:$C,3))</f>
        <v>10</v>
      </c>
      <c r="G12" s="421">
        <f xml:space="preserve">
IF($A$4&lt;=12,SUMIFS('ON Data'!J:J,'ON Data'!$B:$B,$A$4,'ON Data'!$C:$C,3),SUMIFS('ON Data'!J:J,'ON Data'!$C:$C,3))</f>
        <v>0</v>
      </c>
      <c r="H12" s="421">
        <f xml:space="preserve">
IF($A$4&lt;=12,SUMIFS('ON Data'!K:K,'ON Data'!$B:$B,$A$4,'ON Data'!$C:$C,3),SUMIFS('ON Data'!K:K,'ON Data'!$C:$C,3))</f>
        <v>0</v>
      </c>
      <c r="I12" s="421">
        <f xml:space="preserve">
IF($A$4&lt;=12,SUMIFS('ON Data'!L:L,'ON Data'!$B:$B,$A$4,'ON Data'!$C:$C,3),SUMIFS('ON Data'!L:L,'ON Data'!$C:$C,3))</f>
        <v>0</v>
      </c>
      <c r="J12" s="421">
        <f xml:space="preserve">
IF($A$4&lt;=12,SUMIFS('ON Data'!M:M,'ON Data'!$B:$B,$A$4,'ON Data'!$C:$C,3),SUMIFS('ON Data'!M:M,'ON Data'!$C:$C,3))</f>
        <v>0</v>
      </c>
      <c r="K12" s="421">
        <f xml:space="preserve">
IF($A$4&lt;=12,SUMIFS('ON Data'!N:N,'ON Data'!$B:$B,$A$4,'ON Data'!$C:$C,3),SUMIFS('ON Data'!N:N,'ON Data'!$C:$C,3))</f>
        <v>0</v>
      </c>
      <c r="L12" s="422">
        <f xml:space="preserve">
IF($A$4&lt;=12,SUMIFS('ON Data'!O:O,'ON Data'!$B:$B,$A$4,'ON Data'!$C:$C,3),SUMIFS('ON Data'!O:O,'ON Data'!$C:$C,3))</f>
        <v>0</v>
      </c>
    </row>
    <row r="13" spans="1:12" x14ac:dyDescent="0.3">
      <c r="A13" s="401" t="s">
        <v>293</v>
      </c>
      <c r="B13" s="419">
        <f xml:space="preserve">
IF($A$4&lt;=12,SUMIFS('ON Data'!D:D,'ON Data'!$B:$B,$A$4,'ON Data'!$C:$C,4),SUMIFS('ON Data'!D:D,'ON Data'!$C:$C,4))</f>
        <v>747</v>
      </c>
      <c r="C13" s="420">
        <f xml:space="preserve">
IF($A$4&lt;=12,SUMIFS('ON Data'!E:E,'ON Data'!$B:$B,$A$4,'ON Data'!$C:$C,4),SUMIFS('ON Data'!E:E,'ON Data'!$C:$C,4))</f>
        <v>0</v>
      </c>
      <c r="D13" s="421">
        <f xml:space="preserve">
IF($A$4&lt;=12,SUMIFS('ON Data'!F:F,'ON Data'!$B:$B,$A$4,'ON Data'!$C:$C,4),SUMIFS('ON Data'!F:F,'ON Data'!$C:$C,4))</f>
        <v>272</v>
      </c>
      <c r="E13" s="421">
        <f xml:space="preserve">
IF($A$4&lt;=12,SUMIFS('ON Data'!H:H,'ON Data'!$B:$B,$A$4,'ON Data'!$C:$C,4),SUMIFS('ON Data'!H:H,'ON Data'!$C:$C,4))</f>
        <v>0</v>
      </c>
      <c r="F13" s="421">
        <f xml:space="preserve">
IF($A$4&lt;=12,SUMIFS('ON Data'!I:I,'ON Data'!$B:$B,$A$4,'ON Data'!$C:$C,4),SUMIFS('ON Data'!I:I,'ON Data'!$C:$C,4))</f>
        <v>334</v>
      </c>
      <c r="G13" s="421">
        <f xml:space="preserve">
IF($A$4&lt;=12,SUMIFS('ON Data'!J:J,'ON Data'!$B:$B,$A$4,'ON Data'!$C:$C,4),SUMIFS('ON Data'!J:J,'ON Data'!$C:$C,4))</f>
        <v>0</v>
      </c>
      <c r="H13" s="421">
        <f xml:space="preserve">
IF($A$4&lt;=12,SUMIFS('ON Data'!K:K,'ON Data'!$B:$B,$A$4,'ON Data'!$C:$C,4),SUMIFS('ON Data'!K:K,'ON Data'!$C:$C,4))</f>
        <v>0</v>
      </c>
      <c r="I13" s="421">
        <f xml:space="preserve">
IF($A$4&lt;=12,SUMIFS('ON Data'!L:L,'ON Data'!$B:$B,$A$4,'ON Data'!$C:$C,4),SUMIFS('ON Data'!L:L,'ON Data'!$C:$C,4))</f>
        <v>141</v>
      </c>
      <c r="J13" s="421">
        <f xml:space="preserve">
IF($A$4&lt;=12,SUMIFS('ON Data'!M:M,'ON Data'!$B:$B,$A$4,'ON Data'!$C:$C,4),SUMIFS('ON Data'!M:M,'ON Data'!$C:$C,4))</f>
        <v>0</v>
      </c>
      <c r="K13" s="421">
        <f xml:space="preserve">
IF($A$4&lt;=12,SUMIFS('ON Data'!N:N,'ON Data'!$B:$B,$A$4,'ON Data'!$C:$C,4),SUMIFS('ON Data'!N:N,'ON Data'!$C:$C,4))</f>
        <v>0</v>
      </c>
      <c r="L13" s="422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402" t="s">
        <v>285</v>
      </c>
      <c r="B14" s="423">
        <f xml:space="preserve">
IF($A$4&lt;=12,SUMIFS('ON Data'!D:D,'ON Data'!$B:$B,$A$4,'ON Data'!$C:$C,5),SUMIFS('ON Data'!D:D,'ON Data'!$C:$C,5))</f>
        <v>0</v>
      </c>
      <c r="C14" s="424">
        <f xml:space="preserve">
IF($A$4&lt;=12,SUMIFS('ON Data'!E:E,'ON Data'!$B:$B,$A$4,'ON Data'!$C:$C,5),SUMIFS('ON Data'!E:E,'ON Data'!$C:$C,5))</f>
        <v>0</v>
      </c>
      <c r="D14" s="425">
        <f xml:space="preserve">
IF($A$4&lt;=12,SUMIFS('ON Data'!F:F,'ON Data'!$B:$B,$A$4,'ON Data'!$C:$C,5),SUMIFS('ON Data'!F:F,'ON Data'!$C:$C,5))</f>
        <v>0</v>
      </c>
      <c r="E14" s="425">
        <f xml:space="preserve">
IF($A$4&lt;=12,SUMIFS('ON Data'!H:H,'ON Data'!$B:$B,$A$4,'ON Data'!$C:$C,5),SUMIFS('ON Data'!H:H,'ON Data'!$C:$C,5))</f>
        <v>0</v>
      </c>
      <c r="F14" s="425">
        <f xml:space="preserve">
IF($A$4&lt;=12,SUMIFS('ON Data'!I:I,'ON Data'!$B:$B,$A$4,'ON Data'!$C:$C,5),SUMIFS('ON Data'!I:I,'ON Data'!$C:$C,5))</f>
        <v>0</v>
      </c>
      <c r="G14" s="425">
        <f xml:space="preserve">
IF($A$4&lt;=12,SUMIFS('ON Data'!J:J,'ON Data'!$B:$B,$A$4,'ON Data'!$C:$C,5),SUMIFS('ON Data'!J:J,'ON Data'!$C:$C,5))</f>
        <v>0</v>
      </c>
      <c r="H14" s="425">
        <f xml:space="preserve">
IF($A$4&lt;=12,SUMIFS('ON Data'!K:K,'ON Data'!$B:$B,$A$4,'ON Data'!$C:$C,5),SUMIFS('ON Data'!K:K,'ON Data'!$C:$C,5))</f>
        <v>0</v>
      </c>
      <c r="I14" s="425">
        <f xml:space="preserve">
IF($A$4&lt;=12,SUMIFS('ON Data'!L:L,'ON Data'!$B:$B,$A$4,'ON Data'!$C:$C,5),SUMIFS('ON Data'!L:L,'ON Data'!$C:$C,5))</f>
        <v>0</v>
      </c>
      <c r="J14" s="425">
        <f xml:space="preserve">
IF($A$4&lt;=12,SUMIFS('ON Data'!M:M,'ON Data'!$B:$B,$A$4,'ON Data'!$C:$C,5),SUMIFS('ON Data'!M:M,'ON Data'!$C:$C,5))</f>
        <v>0</v>
      </c>
      <c r="K14" s="425">
        <f xml:space="preserve">
IF($A$4&lt;=12,SUMIFS('ON Data'!N:N,'ON Data'!$B:$B,$A$4,'ON Data'!$C:$C,5),SUMIFS('ON Data'!N:N,'ON Data'!$C:$C,5))</f>
        <v>0</v>
      </c>
      <c r="L14" s="426">
        <f xml:space="preserve">
IF($A$4&lt;=12,SUMIFS('ON Data'!O:O,'ON Data'!$B:$B,$A$4,'ON Data'!$C:$C,5),SUMIFS('ON Data'!O:O,'ON Data'!$C:$C,5))</f>
        <v>0</v>
      </c>
    </row>
    <row r="15" spans="1:12" x14ac:dyDescent="0.3">
      <c r="A15" s="295" t="s">
        <v>297</v>
      </c>
      <c r="B15" s="427"/>
      <c r="C15" s="428"/>
      <c r="D15" s="429"/>
      <c r="E15" s="429"/>
      <c r="F15" s="429"/>
      <c r="G15" s="429"/>
      <c r="H15" s="429"/>
      <c r="I15" s="429"/>
      <c r="J15" s="429"/>
      <c r="K15" s="429"/>
      <c r="L15" s="430"/>
    </row>
    <row r="16" spans="1:12" x14ac:dyDescent="0.3">
      <c r="A16" s="403" t="s">
        <v>286</v>
      </c>
      <c r="B16" s="419">
        <f xml:space="preserve">
IF($A$4&lt;=12,SUMIFS('ON Data'!D:D,'ON Data'!$B:$B,$A$4,'ON Data'!$C:$C,7),SUMIFS('ON Data'!D:D,'ON Data'!$C:$C,7))</f>
        <v>0</v>
      </c>
      <c r="C16" s="420">
        <f xml:space="preserve">
IF($A$4&lt;=12,SUMIFS('ON Data'!E:E,'ON Data'!$B:$B,$A$4,'ON Data'!$C:$C,7),SUMIFS('ON Data'!E:E,'ON Data'!$C:$C,7))</f>
        <v>0</v>
      </c>
      <c r="D16" s="421">
        <f xml:space="preserve">
IF($A$4&lt;=12,SUMIFS('ON Data'!F:F,'ON Data'!$B:$B,$A$4,'ON Data'!$C:$C,7),SUMIFS('ON Data'!F:F,'ON Data'!$C:$C,7))</f>
        <v>0</v>
      </c>
      <c r="E16" s="421">
        <f xml:space="preserve">
IF($A$4&lt;=12,SUMIFS('ON Data'!H:H,'ON Data'!$B:$B,$A$4,'ON Data'!$C:$C,7),SUMIFS('ON Data'!H:H,'ON Data'!$C:$C,7))</f>
        <v>0</v>
      </c>
      <c r="F16" s="421">
        <f xml:space="preserve">
IF($A$4&lt;=12,SUMIFS('ON Data'!I:I,'ON Data'!$B:$B,$A$4,'ON Data'!$C:$C,7),SUMIFS('ON Data'!I:I,'ON Data'!$C:$C,7))</f>
        <v>0</v>
      </c>
      <c r="G16" s="421">
        <f xml:space="preserve">
IF($A$4&lt;=12,SUMIFS('ON Data'!J:J,'ON Data'!$B:$B,$A$4,'ON Data'!$C:$C,7),SUMIFS('ON Data'!J:J,'ON Data'!$C:$C,7))</f>
        <v>0</v>
      </c>
      <c r="H16" s="421">
        <f xml:space="preserve">
IF($A$4&lt;=12,SUMIFS('ON Data'!K:K,'ON Data'!$B:$B,$A$4,'ON Data'!$C:$C,7),SUMIFS('ON Data'!K:K,'ON Data'!$C:$C,7))</f>
        <v>0</v>
      </c>
      <c r="I16" s="421">
        <f xml:space="preserve">
IF($A$4&lt;=12,SUMIFS('ON Data'!L:L,'ON Data'!$B:$B,$A$4,'ON Data'!$C:$C,7),SUMIFS('ON Data'!L:L,'ON Data'!$C:$C,7))</f>
        <v>0</v>
      </c>
      <c r="J16" s="421">
        <f xml:space="preserve">
IF($A$4&lt;=12,SUMIFS('ON Data'!M:M,'ON Data'!$B:$B,$A$4,'ON Data'!$C:$C,7),SUMIFS('ON Data'!M:M,'ON Data'!$C:$C,7))</f>
        <v>0</v>
      </c>
      <c r="K16" s="421">
        <f xml:space="preserve">
IF($A$4&lt;=12,SUMIFS('ON Data'!N:N,'ON Data'!$B:$B,$A$4,'ON Data'!$C:$C,7),SUMIFS('ON Data'!N:N,'ON Data'!$C:$C,7))</f>
        <v>0</v>
      </c>
      <c r="L16" s="422">
        <f xml:space="preserve">
IF($A$4&lt;=12,SUMIFS('ON Data'!O:O,'ON Data'!$B:$B,$A$4,'ON Data'!$C:$C,7),SUMIFS('ON Data'!O:O,'ON Data'!$C:$C,7))</f>
        <v>0</v>
      </c>
    </row>
    <row r="17" spans="1:12" x14ac:dyDescent="0.3">
      <c r="A17" s="403" t="s">
        <v>287</v>
      </c>
      <c r="B17" s="419">
        <f xml:space="preserve">
IF($A$4&lt;=12,SUMIFS('ON Data'!D:D,'ON Data'!$B:$B,$A$4,'ON Data'!$C:$C,8),SUMIFS('ON Data'!D:D,'ON Data'!$C:$C,8))</f>
        <v>0</v>
      </c>
      <c r="C17" s="420">
        <f xml:space="preserve">
IF($A$4&lt;=12,SUMIFS('ON Data'!E:E,'ON Data'!$B:$B,$A$4,'ON Data'!$C:$C,8),SUMIFS('ON Data'!E:E,'ON Data'!$C:$C,8))</f>
        <v>0</v>
      </c>
      <c r="D17" s="421">
        <f xml:space="preserve">
IF($A$4&lt;=12,SUMIFS('ON Data'!F:F,'ON Data'!$B:$B,$A$4,'ON Data'!$C:$C,8),SUMIFS('ON Data'!F:F,'ON Data'!$C:$C,8))</f>
        <v>0</v>
      </c>
      <c r="E17" s="421">
        <f xml:space="preserve">
IF($A$4&lt;=12,SUMIFS('ON Data'!H:H,'ON Data'!$B:$B,$A$4,'ON Data'!$C:$C,8),SUMIFS('ON Data'!H:H,'ON Data'!$C:$C,8))</f>
        <v>0</v>
      </c>
      <c r="F17" s="421">
        <f xml:space="preserve">
IF($A$4&lt;=12,SUMIFS('ON Data'!I:I,'ON Data'!$B:$B,$A$4,'ON Data'!$C:$C,8),SUMIFS('ON Data'!I:I,'ON Data'!$C:$C,8))</f>
        <v>0</v>
      </c>
      <c r="G17" s="421">
        <f xml:space="preserve">
IF($A$4&lt;=12,SUMIFS('ON Data'!J:J,'ON Data'!$B:$B,$A$4,'ON Data'!$C:$C,8),SUMIFS('ON Data'!J:J,'ON Data'!$C:$C,8))</f>
        <v>0</v>
      </c>
      <c r="H17" s="421">
        <f xml:space="preserve">
IF($A$4&lt;=12,SUMIFS('ON Data'!K:K,'ON Data'!$B:$B,$A$4,'ON Data'!$C:$C,8),SUMIFS('ON Data'!K:K,'ON Data'!$C:$C,8))</f>
        <v>0</v>
      </c>
      <c r="I17" s="421">
        <f xml:space="preserve">
IF($A$4&lt;=12,SUMIFS('ON Data'!L:L,'ON Data'!$B:$B,$A$4,'ON Data'!$C:$C,8),SUMIFS('ON Data'!L:L,'ON Data'!$C:$C,8))</f>
        <v>0</v>
      </c>
      <c r="J17" s="421">
        <f xml:space="preserve">
IF($A$4&lt;=12,SUMIFS('ON Data'!M:M,'ON Data'!$B:$B,$A$4,'ON Data'!$C:$C,8),SUMIFS('ON Data'!M:M,'ON Data'!$C:$C,8))</f>
        <v>0</v>
      </c>
      <c r="K17" s="421">
        <f xml:space="preserve">
IF($A$4&lt;=12,SUMIFS('ON Data'!N:N,'ON Data'!$B:$B,$A$4,'ON Data'!$C:$C,8),SUMIFS('ON Data'!N:N,'ON Data'!$C:$C,8))</f>
        <v>0</v>
      </c>
      <c r="L17" s="422">
        <f xml:space="preserve">
IF($A$4&lt;=12,SUMIFS('ON Data'!O:O,'ON Data'!$B:$B,$A$4,'ON Data'!$C:$C,8),SUMIFS('ON Data'!O:O,'ON Data'!$C:$C,8))</f>
        <v>0</v>
      </c>
    </row>
    <row r="18" spans="1:12" x14ac:dyDescent="0.3">
      <c r="A18" s="403" t="s">
        <v>288</v>
      </c>
      <c r="B18" s="419">
        <f xml:space="preserve">
B19-B16-B17</f>
        <v>230800</v>
      </c>
      <c r="C18" s="420">
        <f t="shared" ref="C18:L18" si="0" xml:space="preserve">
C19-C16-C17</f>
        <v>0</v>
      </c>
      <c r="D18" s="421">
        <f t="shared" si="0"/>
        <v>30000</v>
      </c>
      <c r="E18" s="421">
        <f t="shared" si="0"/>
        <v>0</v>
      </c>
      <c r="F18" s="421">
        <f t="shared" si="0"/>
        <v>174300</v>
      </c>
      <c r="G18" s="421">
        <f t="shared" si="0"/>
        <v>0</v>
      </c>
      <c r="H18" s="421">
        <f t="shared" si="0"/>
        <v>0</v>
      </c>
      <c r="I18" s="421">
        <f t="shared" si="0"/>
        <v>26500</v>
      </c>
      <c r="J18" s="421">
        <f t="shared" si="0"/>
        <v>0</v>
      </c>
      <c r="K18" s="421">
        <f t="shared" si="0"/>
        <v>0</v>
      </c>
      <c r="L18" s="422">
        <f t="shared" si="0"/>
        <v>0</v>
      </c>
    </row>
    <row r="19" spans="1:12" ht="15" thickBot="1" x14ac:dyDescent="0.35">
      <c r="A19" s="404" t="s">
        <v>289</v>
      </c>
      <c r="B19" s="431">
        <f xml:space="preserve">
IF($A$4&lt;=12,SUMIFS('ON Data'!D:D,'ON Data'!$B:$B,$A$4,'ON Data'!$C:$C,9),SUMIFS('ON Data'!D:D,'ON Data'!$C:$C,9))</f>
        <v>230800</v>
      </c>
      <c r="C19" s="432">
        <f xml:space="preserve">
IF($A$4&lt;=12,SUMIFS('ON Data'!E:E,'ON Data'!$B:$B,$A$4,'ON Data'!$C:$C,9),SUMIFS('ON Data'!E:E,'ON Data'!$C:$C,9))</f>
        <v>0</v>
      </c>
      <c r="D19" s="433">
        <f xml:space="preserve">
IF($A$4&lt;=12,SUMIFS('ON Data'!F:F,'ON Data'!$B:$B,$A$4,'ON Data'!$C:$C,9),SUMIFS('ON Data'!F:F,'ON Data'!$C:$C,9))</f>
        <v>30000</v>
      </c>
      <c r="E19" s="433">
        <f xml:space="preserve">
IF($A$4&lt;=12,SUMIFS('ON Data'!H:H,'ON Data'!$B:$B,$A$4,'ON Data'!$C:$C,9),SUMIFS('ON Data'!H:H,'ON Data'!$C:$C,9))</f>
        <v>0</v>
      </c>
      <c r="F19" s="433">
        <f xml:space="preserve">
IF($A$4&lt;=12,SUMIFS('ON Data'!I:I,'ON Data'!$B:$B,$A$4,'ON Data'!$C:$C,9),SUMIFS('ON Data'!I:I,'ON Data'!$C:$C,9))</f>
        <v>174300</v>
      </c>
      <c r="G19" s="433">
        <f xml:space="preserve">
IF($A$4&lt;=12,SUMIFS('ON Data'!J:J,'ON Data'!$B:$B,$A$4,'ON Data'!$C:$C,9),SUMIFS('ON Data'!J:J,'ON Data'!$C:$C,9))</f>
        <v>0</v>
      </c>
      <c r="H19" s="433">
        <f xml:space="preserve">
IF($A$4&lt;=12,SUMIFS('ON Data'!K:K,'ON Data'!$B:$B,$A$4,'ON Data'!$C:$C,9),SUMIFS('ON Data'!K:K,'ON Data'!$C:$C,9))</f>
        <v>0</v>
      </c>
      <c r="I19" s="433">
        <f xml:space="preserve">
IF($A$4&lt;=12,SUMIFS('ON Data'!L:L,'ON Data'!$B:$B,$A$4,'ON Data'!$C:$C,9),SUMIFS('ON Data'!L:L,'ON Data'!$C:$C,9))</f>
        <v>26500</v>
      </c>
      <c r="J19" s="433">
        <f xml:space="preserve">
IF($A$4&lt;=12,SUMIFS('ON Data'!M:M,'ON Data'!$B:$B,$A$4,'ON Data'!$C:$C,9),SUMIFS('ON Data'!M:M,'ON Data'!$C:$C,9))</f>
        <v>0</v>
      </c>
      <c r="K19" s="433">
        <f xml:space="preserve">
IF($A$4&lt;=12,SUMIFS('ON Data'!N:N,'ON Data'!$B:$B,$A$4,'ON Data'!$C:$C,9),SUMIFS('ON Data'!N:N,'ON Data'!$C:$C,9))</f>
        <v>0</v>
      </c>
      <c r="L19" s="434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405" t="s">
        <v>97</v>
      </c>
      <c r="B20" s="435">
        <f xml:space="preserve">
IF($A$4&lt;=12,SUMIFS('ON Data'!D:D,'ON Data'!$B:$B,$A$4,'ON Data'!$C:$C,6),SUMIFS('ON Data'!D:D,'ON Data'!$C:$C,6))</f>
        <v>5908664</v>
      </c>
      <c r="C20" s="436">
        <f xml:space="preserve">
IF($A$4&lt;=12,SUMIFS('ON Data'!E:E,'ON Data'!$B:$B,$A$4,'ON Data'!$C:$C,6),SUMIFS('ON Data'!E:E,'ON Data'!$C:$C,6))</f>
        <v>0</v>
      </c>
      <c r="D20" s="437">
        <f xml:space="preserve">
IF($A$4&lt;=12,SUMIFS('ON Data'!F:F,'ON Data'!$B:$B,$A$4,'ON Data'!$C:$C,6),SUMIFS('ON Data'!F:F,'ON Data'!$C:$C,6))</f>
        <v>1991095</v>
      </c>
      <c r="E20" s="437">
        <f xml:space="preserve">
IF($A$4&lt;=12,SUMIFS('ON Data'!H:H,'ON Data'!$B:$B,$A$4,'ON Data'!$C:$C,6),SUMIFS('ON Data'!H:H,'ON Data'!$C:$C,6))</f>
        <v>0</v>
      </c>
      <c r="F20" s="437">
        <f xml:space="preserve">
IF($A$4&lt;=12,SUMIFS('ON Data'!I:I,'ON Data'!$B:$B,$A$4,'ON Data'!$C:$C,6),SUMIFS('ON Data'!I:I,'ON Data'!$C:$C,6))</f>
        <v>3166048</v>
      </c>
      <c r="G20" s="437">
        <f xml:space="preserve">
IF($A$4&lt;=12,SUMIFS('ON Data'!J:J,'ON Data'!$B:$B,$A$4,'ON Data'!$C:$C,6),SUMIFS('ON Data'!J:J,'ON Data'!$C:$C,6))</f>
        <v>0</v>
      </c>
      <c r="H20" s="437">
        <f xml:space="preserve">
IF($A$4&lt;=12,SUMIFS('ON Data'!K:K,'ON Data'!$B:$B,$A$4,'ON Data'!$C:$C,6),SUMIFS('ON Data'!K:K,'ON Data'!$C:$C,6))</f>
        <v>0</v>
      </c>
      <c r="I20" s="437">
        <f xml:space="preserve">
IF($A$4&lt;=12,SUMIFS('ON Data'!L:L,'ON Data'!$B:$B,$A$4,'ON Data'!$C:$C,6),SUMIFS('ON Data'!L:L,'ON Data'!$C:$C,6))</f>
        <v>666766</v>
      </c>
      <c r="J20" s="437">
        <f xml:space="preserve">
IF($A$4&lt;=12,SUMIFS('ON Data'!M:M,'ON Data'!$B:$B,$A$4,'ON Data'!$C:$C,6),SUMIFS('ON Data'!M:M,'ON Data'!$C:$C,6))</f>
        <v>0</v>
      </c>
      <c r="K20" s="437">
        <f xml:space="preserve">
IF($A$4&lt;=12,SUMIFS('ON Data'!N:N,'ON Data'!$B:$B,$A$4,'ON Data'!$C:$C,6),SUMIFS('ON Data'!N:N,'ON Data'!$C:$C,6))</f>
        <v>84755</v>
      </c>
      <c r="L20" s="438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398" t="s">
        <v>135</v>
      </c>
      <c r="B21" s="419"/>
      <c r="C21" s="420"/>
      <c r="D21" s="421"/>
      <c r="E21" s="421"/>
      <c r="F21" s="421"/>
      <c r="G21" s="421"/>
      <c r="H21" s="421"/>
      <c r="I21" s="421"/>
      <c r="J21" s="421"/>
      <c r="K21" s="421"/>
      <c r="L21" s="422"/>
    </row>
    <row r="22" spans="1:12" ht="15" hidden="1" outlineLevel="1" thickBot="1" x14ac:dyDescent="0.35">
      <c r="A22" s="398" t="s">
        <v>99</v>
      </c>
      <c r="B22" s="419"/>
      <c r="C22" s="420"/>
      <c r="D22" s="421"/>
      <c r="E22" s="421"/>
      <c r="F22" s="421"/>
      <c r="G22" s="421"/>
      <c r="H22" s="421"/>
      <c r="I22" s="421"/>
      <c r="J22" s="421"/>
      <c r="K22" s="421"/>
      <c r="L22" s="422"/>
    </row>
    <row r="23" spans="1:12" ht="15" hidden="1" outlineLevel="1" thickBot="1" x14ac:dyDescent="0.35">
      <c r="A23" s="406" t="s">
        <v>72</v>
      </c>
      <c r="B23" s="423"/>
      <c r="C23" s="424"/>
      <c r="D23" s="425"/>
      <c r="E23" s="425"/>
      <c r="F23" s="425"/>
      <c r="G23" s="425"/>
      <c r="H23" s="425"/>
      <c r="I23" s="425"/>
      <c r="J23" s="425"/>
      <c r="K23" s="425"/>
      <c r="L23" s="426"/>
    </row>
    <row r="24" spans="1:12" x14ac:dyDescent="0.3">
      <c r="A24" s="400" t="s">
        <v>290</v>
      </c>
      <c r="B24" s="415"/>
      <c r="C24" s="416"/>
      <c r="D24" s="724" t="s">
        <v>272</v>
      </c>
      <c r="E24" s="525" t="s">
        <v>291</v>
      </c>
      <c r="F24" s="525"/>
      <c r="G24" s="525"/>
      <c r="H24" s="525"/>
      <c r="I24" s="417"/>
      <c r="J24" s="417"/>
      <c r="K24" s="417"/>
      <c r="L24" s="418"/>
    </row>
    <row r="25" spans="1:12" ht="15" collapsed="1" thickBot="1" x14ac:dyDescent="0.35">
      <c r="A25" s="401" t="s">
        <v>97</v>
      </c>
      <c r="B25" s="419">
        <f>SUM(D25:H25)</f>
        <v>0</v>
      </c>
      <c r="C25" s="439">
        <v>0</v>
      </c>
      <c r="D25" s="725">
        <v>0</v>
      </c>
      <c r="E25" s="524">
        <v>0</v>
      </c>
      <c r="F25" s="524"/>
      <c r="G25" s="524"/>
      <c r="H25" s="524"/>
      <c r="I25" s="421">
        <v>0</v>
      </c>
      <c r="J25" s="421">
        <v>0</v>
      </c>
      <c r="K25" s="421">
        <v>0</v>
      </c>
      <c r="L25" s="422">
        <v>0</v>
      </c>
    </row>
    <row r="26" spans="1:12" ht="14.4" hidden="1" customHeight="1" outlineLevel="1" x14ac:dyDescent="0.35">
      <c r="A26" s="407" t="s">
        <v>135</v>
      </c>
      <c r="B26" s="431">
        <f t="shared" ref="B26:B28" si="1">SUM(D26:H26)</f>
        <v>0</v>
      </c>
      <c r="C26" s="439">
        <v>0</v>
      </c>
      <c r="D26" s="725">
        <v>0</v>
      </c>
      <c r="E26" s="524">
        <v>0</v>
      </c>
      <c r="F26" s="524"/>
      <c r="G26" s="524"/>
      <c r="H26" s="524"/>
      <c r="I26" s="421">
        <v>0</v>
      </c>
      <c r="J26" s="421">
        <v>0</v>
      </c>
      <c r="K26" s="421">
        <v>0</v>
      </c>
      <c r="L26" s="422">
        <v>0</v>
      </c>
    </row>
    <row r="27" spans="1:12" ht="14.4" hidden="1" customHeight="1" outlineLevel="1" x14ac:dyDescent="0.35">
      <c r="A27" s="407" t="s">
        <v>99</v>
      </c>
      <c r="B27" s="431">
        <f t="shared" si="1"/>
        <v>0</v>
      </c>
      <c r="C27" s="439">
        <v>0</v>
      </c>
      <c r="D27" s="725">
        <v>0</v>
      </c>
      <c r="E27" s="524">
        <v>0</v>
      </c>
      <c r="F27" s="524"/>
      <c r="G27" s="524"/>
      <c r="H27" s="524"/>
      <c r="I27" s="421">
        <v>0</v>
      </c>
      <c r="J27" s="421">
        <v>0</v>
      </c>
      <c r="K27" s="421">
        <v>0</v>
      </c>
      <c r="L27" s="422">
        <v>0</v>
      </c>
    </row>
    <row r="28" spans="1:12" ht="15" hidden="1" customHeight="1" outlineLevel="1" thickBot="1" x14ac:dyDescent="0.35">
      <c r="A28" s="407" t="s">
        <v>72</v>
      </c>
      <c r="B28" s="431">
        <f t="shared" si="1"/>
        <v>0</v>
      </c>
      <c r="C28" s="440">
        <v>0</v>
      </c>
      <c r="D28" s="726">
        <v>0</v>
      </c>
      <c r="E28" s="519">
        <v>0</v>
      </c>
      <c r="F28" s="519"/>
      <c r="G28" s="519"/>
      <c r="H28" s="519"/>
      <c r="I28" s="425">
        <v>0</v>
      </c>
      <c r="J28" s="425">
        <v>0</v>
      </c>
      <c r="K28" s="425">
        <v>0</v>
      </c>
      <c r="L28" s="426">
        <v>0</v>
      </c>
    </row>
    <row r="29" spans="1:12" x14ac:dyDescent="0.3">
      <c r="A29" s="408"/>
      <c r="B29" s="408"/>
      <c r="C29" s="409"/>
      <c r="D29" s="408"/>
      <c r="E29" s="409"/>
      <c r="F29" s="408"/>
      <c r="G29" s="408"/>
      <c r="H29" s="408"/>
      <c r="I29" s="408"/>
      <c r="J29" s="408"/>
      <c r="K29" s="408"/>
      <c r="L29" s="408"/>
    </row>
    <row r="30" spans="1:12" x14ac:dyDescent="0.3">
      <c r="A30" s="232" t="s">
        <v>207</v>
      </c>
      <c r="B30" s="260"/>
      <c r="C30" s="260"/>
      <c r="D30" s="260"/>
      <c r="E30" s="260"/>
      <c r="F30" s="260"/>
      <c r="G30" s="260"/>
      <c r="H30" s="283"/>
      <c r="I30" s="283"/>
      <c r="J30" s="283"/>
      <c r="K30" s="283"/>
      <c r="L30" s="283"/>
    </row>
    <row r="31" spans="1:12" ht="14.4" customHeight="1" x14ac:dyDescent="0.3">
      <c r="A31" s="456" t="s">
        <v>296</v>
      </c>
      <c r="B31" s="457"/>
      <c r="C31" s="457"/>
      <c r="D31" s="457"/>
      <c r="E31" s="457"/>
      <c r="F31" s="457"/>
      <c r="G31" s="457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385"/>
  </cols>
  <sheetData>
    <row r="1" spans="1:18" x14ac:dyDescent="0.3">
      <c r="A1" s="385" t="s">
        <v>2224</v>
      </c>
    </row>
    <row r="2" spans="1:18" x14ac:dyDescent="0.3">
      <c r="A2" s="389" t="s">
        <v>298</v>
      </c>
    </row>
    <row r="3" spans="1:18" x14ac:dyDescent="0.3">
      <c r="B3" s="386">
        <f>MAX(B5:B1048576)</f>
        <v>2</v>
      </c>
      <c r="D3" s="386">
        <f t="shared" ref="D3:G3" si="0">SUM(D5:D1048576)</f>
        <v>6166483.5300000003</v>
      </c>
      <c r="E3" s="386">
        <f t="shared" si="0"/>
        <v>0</v>
      </c>
      <c r="F3" s="386">
        <f t="shared" si="0"/>
        <v>2025307</v>
      </c>
      <c r="G3" s="386">
        <f t="shared" si="0"/>
        <v>0</v>
      </c>
      <c r="H3" s="386">
        <f t="shared" ref="H3:O3" si="1">SUM(H5:H1048576)</f>
        <v>0</v>
      </c>
      <c r="I3" s="386">
        <f t="shared" si="1"/>
        <v>3356742.03</v>
      </c>
      <c r="J3" s="386">
        <f t="shared" si="1"/>
        <v>0</v>
      </c>
      <c r="K3" s="386">
        <f t="shared" si="1"/>
        <v>0</v>
      </c>
      <c r="L3" s="386">
        <f t="shared" si="1"/>
        <v>699003.51</v>
      </c>
      <c r="M3" s="386">
        <f t="shared" si="1"/>
        <v>0</v>
      </c>
      <c r="N3" s="386">
        <f t="shared" si="1"/>
        <v>85431</v>
      </c>
      <c r="O3" s="386">
        <f t="shared" si="1"/>
        <v>0</v>
      </c>
      <c r="Q3" s="385" t="s">
        <v>257</v>
      </c>
      <c r="R3" s="412">
        <v>2014</v>
      </c>
    </row>
    <row r="4" spans="1:18" x14ac:dyDescent="0.3">
      <c r="A4" s="387" t="s">
        <v>8</v>
      </c>
      <c r="B4" s="388" t="s">
        <v>71</v>
      </c>
      <c r="C4" s="388" t="s">
        <v>245</v>
      </c>
      <c r="D4" s="388" t="s">
        <v>6</v>
      </c>
      <c r="E4" s="388" t="s">
        <v>246</v>
      </c>
      <c r="F4" s="388" t="s">
        <v>247</v>
      </c>
      <c r="G4" s="388" t="s">
        <v>248</v>
      </c>
      <c r="H4" s="388" t="s">
        <v>249</v>
      </c>
      <c r="I4" s="388" t="s">
        <v>250</v>
      </c>
      <c r="J4" s="388" t="s">
        <v>251</v>
      </c>
      <c r="K4" s="388" t="s">
        <v>252</v>
      </c>
      <c r="L4" s="388" t="s">
        <v>253</v>
      </c>
      <c r="M4" s="388" t="s">
        <v>254</v>
      </c>
      <c r="N4" s="388" t="s">
        <v>255</v>
      </c>
      <c r="O4" s="388" t="s">
        <v>256</v>
      </c>
      <c r="Q4" s="385" t="s">
        <v>258</v>
      </c>
      <c r="R4" s="412">
        <v>1</v>
      </c>
    </row>
    <row r="5" spans="1:18" x14ac:dyDescent="0.3">
      <c r="A5" s="385">
        <v>6</v>
      </c>
      <c r="B5" s="385">
        <v>1</v>
      </c>
      <c r="C5" s="385">
        <v>1</v>
      </c>
      <c r="D5" s="385">
        <v>87.7</v>
      </c>
      <c r="E5" s="385">
        <v>0</v>
      </c>
      <c r="F5" s="385">
        <v>12</v>
      </c>
      <c r="G5" s="385">
        <v>0</v>
      </c>
      <c r="H5" s="385">
        <v>0</v>
      </c>
      <c r="I5" s="385">
        <v>55.7</v>
      </c>
      <c r="J5" s="385">
        <v>0</v>
      </c>
      <c r="K5" s="385">
        <v>0</v>
      </c>
      <c r="L5" s="385">
        <v>18</v>
      </c>
      <c r="M5" s="385">
        <v>0</v>
      </c>
      <c r="N5" s="385">
        <v>2</v>
      </c>
      <c r="O5" s="385">
        <v>0</v>
      </c>
      <c r="Q5" s="385" t="s">
        <v>259</v>
      </c>
      <c r="R5" s="412">
        <v>2</v>
      </c>
    </row>
    <row r="6" spans="1:18" x14ac:dyDescent="0.3">
      <c r="A6" s="385">
        <v>6</v>
      </c>
      <c r="B6" s="385">
        <v>1</v>
      </c>
      <c r="C6" s="385">
        <v>2</v>
      </c>
      <c r="D6" s="385">
        <v>13687.63</v>
      </c>
      <c r="E6" s="385">
        <v>0</v>
      </c>
      <c r="F6" s="385">
        <v>2124</v>
      </c>
      <c r="G6" s="385">
        <v>0</v>
      </c>
      <c r="H6" s="385">
        <v>0</v>
      </c>
      <c r="I6" s="385">
        <v>8291</v>
      </c>
      <c r="J6" s="385">
        <v>0</v>
      </c>
      <c r="K6" s="385">
        <v>0</v>
      </c>
      <c r="L6" s="385">
        <v>2904.63</v>
      </c>
      <c r="M6" s="385">
        <v>0</v>
      </c>
      <c r="N6" s="385">
        <v>368</v>
      </c>
      <c r="O6" s="385">
        <v>0</v>
      </c>
      <c r="Q6" s="385" t="s">
        <v>260</v>
      </c>
      <c r="R6" s="412">
        <v>3</v>
      </c>
    </row>
    <row r="7" spans="1:18" x14ac:dyDescent="0.3">
      <c r="A7" s="385">
        <v>6</v>
      </c>
      <c r="B7" s="385">
        <v>1</v>
      </c>
      <c r="C7" s="385">
        <v>3</v>
      </c>
      <c r="D7" s="385">
        <v>10</v>
      </c>
      <c r="E7" s="385">
        <v>0</v>
      </c>
      <c r="F7" s="385">
        <v>0</v>
      </c>
      <c r="G7" s="385">
        <v>0</v>
      </c>
      <c r="H7" s="385">
        <v>0</v>
      </c>
      <c r="I7" s="385">
        <v>10</v>
      </c>
      <c r="J7" s="385">
        <v>0</v>
      </c>
      <c r="K7" s="385">
        <v>0</v>
      </c>
      <c r="L7" s="385">
        <v>0</v>
      </c>
      <c r="M7" s="385">
        <v>0</v>
      </c>
      <c r="N7" s="385">
        <v>0</v>
      </c>
      <c r="O7" s="385">
        <v>0</v>
      </c>
      <c r="Q7" s="385" t="s">
        <v>261</v>
      </c>
      <c r="R7" s="412">
        <v>4</v>
      </c>
    </row>
    <row r="8" spans="1:18" x14ac:dyDescent="0.3">
      <c r="A8" s="385">
        <v>6</v>
      </c>
      <c r="B8" s="385">
        <v>1</v>
      </c>
      <c r="C8" s="385">
        <v>4</v>
      </c>
      <c r="D8" s="385">
        <v>356</v>
      </c>
      <c r="E8" s="385">
        <v>0</v>
      </c>
      <c r="F8" s="385">
        <v>136</v>
      </c>
      <c r="G8" s="385">
        <v>0</v>
      </c>
      <c r="H8" s="385">
        <v>0</v>
      </c>
      <c r="I8" s="385">
        <v>161</v>
      </c>
      <c r="J8" s="385">
        <v>0</v>
      </c>
      <c r="K8" s="385">
        <v>0</v>
      </c>
      <c r="L8" s="385">
        <v>59</v>
      </c>
      <c r="M8" s="385">
        <v>0</v>
      </c>
      <c r="N8" s="385">
        <v>0</v>
      </c>
      <c r="O8" s="385">
        <v>0</v>
      </c>
      <c r="Q8" s="385" t="s">
        <v>262</v>
      </c>
      <c r="R8" s="412">
        <v>5</v>
      </c>
    </row>
    <row r="9" spans="1:18" x14ac:dyDescent="0.3">
      <c r="A9" s="385">
        <v>6</v>
      </c>
      <c r="B9" s="385">
        <v>1</v>
      </c>
      <c r="C9" s="385">
        <v>6</v>
      </c>
      <c r="D9" s="385">
        <v>2917226</v>
      </c>
      <c r="E9" s="385">
        <v>0</v>
      </c>
      <c r="F9" s="385">
        <v>1005476</v>
      </c>
      <c r="G9" s="385">
        <v>0</v>
      </c>
      <c r="H9" s="385">
        <v>0</v>
      </c>
      <c r="I9" s="385">
        <v>1544929</v>
      </c>
      <c r="J9" s="385">
        <v>0</v>
      </c>
      <c r="K9" s="385">
        <v>0</v>
      </c>
      <c r="L9" s="385">
        <v>324441</v>
      </c>
      <c r="M9" s="385">
        <v>0</v>
      </c>
      <c r="N9" s="385">
        <v>42380</v>
      </c>
      <c r="O9" s="385">
        <v>0</v>
      </c>
      <c r="Q9" s="385" t="s">
        <v>263</v>
      </c>
      <c r="R9" s="412">
        <v>6</v>
      </c>
    </row>
    <row r="10" spans="1:18" x14ac:dyDescent="0.3">
      <c r="A10" s="385">
        <v>6</v>
      </c>
      <c r="B10" s="385">
        <v>1</v>
      </c>
      <c r="C10" s="385">
        <v>9</v>
      </c>
      <c r="D10" s="385">
        <v>37300</v>
      </c>
      <c r="E10" s="385">
        <v>0</v>
      </c>
      <c r="F10" s="385">
        <v>21500</v>
      </c>
      <c r="G10" s="385">
        <v>0</v>
      </c>
      <c r="H10" s="385">
        <v>0</v>
      </c>
      <c r="I10" s="385">
        <v>15800</v>
      </c>
      <c r="J10" s="385">
        <v>0</v>
      </c>
      <c r="K10" s="385">
        <v>0</v>
      </c>
      <c r="L10" s="385">
        <v>0</v>
      </c>
      <c r="M10" s="385">
        <v>0</v>
      </c>
      <c r="N10" s="385">
        <v>0</v>
      </c>
      <c r="O10" s="385">
        <v>0</v>
      </c>
      <c r="Q10" s="385" t="s">
        <v>264</v>
      </c>
      <c r="R10" s="412">
        <v>7</v>
      </c>
    </row>
    <row r="11" spans="1:18" x14ac:dyDescent="0.3">
      <c r="A11" s="385">
        <v>6</v>
      </c>
      <c r="B11" s="385">
        <v>2</v>
      </c>
      <c r="C11" s="385">
        <v>1</v>
      </c>
      <c r="D11" s="385">
        <v>89.7</v>
      </c>
      <c r="E11" s="385">
        <v>0</v>
      </c>
      <c r="F11" s="385">
        <v>12</v>
      </c>
      <c r="G11" s="385">
        <v>0</v>
      </c>
      <c r="H11" s="385">
        <v>0</v>
      </c>
      <c r="I11" s="385">
        <v>57.7</v>
      </c>
      <c r="J11" s="385">
        <v>0</v>
      </c>
      <c r="K11" s="385">
        <v>0</v>
      </c>
      <c r="L11" s="385">
        <v>18</v>
      </c>
      <c r="M11" s="385">
        <v>0</v>
      </c>
      <c r="N11" s="385">
        <v>2</v>
      </c>
      <c r="O11" s="385">
        <v>0</v>
      </c>
      <c r="Q11" s="385" t="s">
        <v>265</v>
      </c>
      <c r="R11" s="412">
        <v>8</v>
      </c>
    </row>
    <row r="12" spans="1:18" x14ac:dyDescent="0.3">
      <c r="A12" s="385">
        <v>6</v>
      </c>
      <c r="B12" s="385">
        <v>2</v>
      </c>
      <c r="C12" s="385">
        <v>2</v>
      </c>
      <c r="D12" s="385">
        <v>12397.5</v>
      </c>
      <c r="E12" s="385">
        <v>0</v>
      </c>
      <c r="F12" s="385">
        <v>1792</v>
      </c>
      <c r="G12" s="385">
        <v>0</v>
      </c>
      <c r="H12" s="385">
        <v>0</v>
      </c>
      <c r="I12" s="385">
        <v>7645.63</v>
      </c>
      <c r="J12" s="385">
        <v>0</v>
      </c>
      <c r="K12" s="385">
        <v>0</v>
      </c>
      <c r="L12" s="385">
        <v>2655.88</v>
      </c>
      <c r="M12" s="385">
        <v>0</v>
      </c>
      <c r="N12" s="385">
        <v>304</v>
      </c>
      <c r="O12" s="385">
        <v>0</v>
      </c>
      <c r="Q12" s="385" t="s">
        <v>266</v>
      </c>
      <c r="R12" s="412">
        <v>9</v>
      </c>
    </row>
    <row r="13" spans="1:18" x14ac:dyDescent="0.3">
      <c r="A13" s="385">
        <v>6</v>
      </c>
      <c r="B13" s="385">
        <v>2</v>
      </c>
      <c r="C13" s="385">
        <v>4</v>
      </c>
      <c r="D13" s="385">
        <v>391</v>
      </c>
      <c r="E13" s="385">
        <v>0</v>
      </c>
      <c r="F13" s="385">
        <v>136</v>
      </c>
      <c r="G13" s="385">
        <v>0</v>
      </c>
      <c r="H13" s="385">
        <v>0</v>
      </c>
      <c r="I13" s="385">
        <v>173</v>
      </c>
      <c r="J13" s="385">
        <v>0</v>
      </c>
      <c r="K13" s="385">
        <v>0</v>
      </c>
      <c r="L13" s="385">
        <v>82</v>
      </c>
      <c r="M13" s="385">
        <v>0</v>
      </c>
      <c r="N13" s="385">
        <v>0</v>
      </c>
      <c r="O13" s="385">
        <v>0</v>
      </c>
      <c r="Q13" s="385" t="s">
        <v>267</v>
      </c>
      <c r="R13" s="412">
        <v>10</v>
      </c>
    </row>
    <row r="14" spans="1:18" x14ac:dyDescent="0.3">
      <c r="A14" s="385">
        <v>6</v>
      </c>
      <c r="B14" s="385">
        <v>2</v>
      </c>
      <c r="C14" s="385">
        <v>6</v>
      </c>
      <c r="D14" s="385">
        <v>2991438</v>
      </c>
      <c r="E14" s="385">
        <v>0</v>
      </c>
      <c r="F14" s="385">
        <v>985619</v>
      </c>
      <c r="G14" s="385">
        <v>0</v>
      </c>
      <c r="H14" s="385">
        <v>0</v>
      </c>
      <c r="I14" s="385">
        <v>1621119</v>
      </c>
      <c r="J14" s="385">
        <v>0</v>
      </c>
      <c r="K14" s="385">
        <v>0</v>
      </c>
      <c r="L14" s="385">
        <v>342325</v>
      </c>
      <c r="M14" s="385">
        <v>0</v>
      </c>
      <c r="N14" s="385">
        <v>42375</v>
      </c>
      <c r="O14" s="385">
        <v>0</v>
      </c>
      <c r="Q14" s="385" t="s">
        <v>268</v>
      </c>
      <c r="R14" s="412">
        <v>11</v>
      </c>
    </row>
    <row r="15" spans="1:18" x14ac:dyDescent="0.3">
      <c r="A15" s="385">
        <v>6</v>
      </c>
      <c r="B15" s="385">
        <v>2</v>
      </c>
      <c r="C15" s="385">
        <v>9</v>
      </c>
      <c r="D15" s="385">
        <v>193500</v>
      </c>
      <c r="E15" s="385">
        <v>0</v>
      </c>
      <c r="F15" s="385">
        <v>8500</v>
      </c>
      <c r="G15" s="385">
        <v>0</v>
      </c>
      <c r="H15" s="385">
        <v>0</v>
      </c>
      <c r="I15" s="385">
        <v>158500</v>
      </c>
      <c r="J15" s="385">
        <v>0</v>
      </c>
      <c r="K15" s="385">
        <v>0</v>
      </c>
      <c r="L15" s="385">
        <v>26500</v>
      </c>
      <c r="M15" s="385">
        <v>0</v>
      </c>
      <c r="N15" s="385">
        <v>0</v>
      </c>
      <c r="O15" s="385">
        <v>0</v>
      </c>
      <c r="Q15" s="385" t="s">
        <v>269</v>
      </c>
      <c r="R15" s="412">
        <v>12</v>
      </c>
    </row>
    <row r="16" spans="1:18" x14ac:dyDescent="0.3">
      <c r="Q16" s="385" t="s">
        <v>257</v>
      </c>
      <c r="R16" s="412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3" bestFit="1" customWidth="1"/>
    <col min="2" max="2" width="11.6640625" style="283" hidden="1" customWidth="1"/>
    <col min="3" max="4" width="11" style="285" customWidth="1"/>
    <col min="5" max="5" width="11" style="286" customWidth="1"/>
    <col min="6" max="16384" width="8.88671875" style="283"/>
  </cols>
  <sheetData>
    <row r="1" spans="1:5" ht="18.600000000000001" thickBot="1" x14ac:dyDescent="0.4">
      <c r="A1" s="462" t="s">
        <v>155</v>
      </c>
      <c r="B1" s="462"/>
      <c r="C1" s="463"/>
      <c r="D1" s="463"/>
      <c r="E1" s="463"/>
    </row>
    <row r="2" spans="1:5" ht="14.4" customHeight="1" thickBot="1" x14ac:dyDescent="0.35">
      <c r="A2" s="389" t="s">
        <v>298</v>
      </c>
      <c r="B2" s="284"/>
    </row>
    <row r="3" spans="1:5" ht="14.4" customHeight="1" thickBot="1" x14ac:dyDescent="0.35">
      <c r="A3" s="287"/>
      <c r="C3" s="288" t="s">
        <v>135</v>
      </c>
      <c r="D3" s="289" t="s">
        <v>97</v>
      </c>
      <c r="E3" s="290" t="s">
        <v>99</v>
      </c>
    </row>
    <row r="4" spans="1:5" ht="14.4" customHeight="1" thickBot="1" x14ac:dyDescent="0.35">
      <c r="A4" s="291" t="str">
        <f>HYPERLINK("#HI!A1","NÁKLADY CELKEM (v tisících Kč)")</f>
        <v>NÁKLADY CELKEM (v tisících Kč)</v>
      </c>
      <c r="B4" s="292"/>
      <c r="C4" s="293">
        <f ca="1">IF(ISERROR(VLOOKUP("Náklady celkem",INDIRECT("HI!$A:$G"),6,0)),0,VLOOKUP("Náklady celkem",INDIRECT("HI!$A:$G"),6,0))</f>
        <v>23695</v>
      </c>
      <c r="D4" s="293">
        <f ca="1">IF(ISERROR(VLOOKUP("Náklady celkem",INDIRECT("HI!$A:$G"),5,0)),0,VLOOKUP("Náklady celkem",INDIRECT("HI!$A:$G"),5,0))</f>
        <v>21403.496850000101</v>
      </c>
      <c r="E4" s="294">
        <f ca="1">IF(C4=0,0,D4/C4)</f>
        <v>0.90329170078075971</v>
      </c>
    </row>
    <row r="5" spans="1:5" ht="14.4" customHeight="1" x14ac:dyDescent="0.3">
      <c r="A5" s="295" t="s">
        <v>199</v>
      </c>
      <c r="B5" s="296"/>
      <c r="C5" s="297"/>
      <c r="D5" s="297"/>
      <c r="E5" s="298"/>
    </row>
    <row r="6" spans="1:5" ht="14.4" customHeight="1" x14ac:dyDescent="0.3">
      <c r="A6" s="299" t="s">
        <v>204</v>
      </c>
      <c r="B6" s="300"/>
      <c r="C6" s="301"/>
      <c r="D6" s="301"/>
      <c r="E6" s="298"/>
    </row>
    <row r="7" spans="1:5" ht="14.4" customHeight="1" x14ac:dyDescent="0.3">
      <c r="A7" s="3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00" t="s">
        <v>140</v>
      </c>
      <c r="C7" s="301">
        <f>IF(ISERROR(HI!F5),"",HI!F5)</f>
        <v>1076</v>
      </c>
      <c r="D7" s="301">
        <f>IF(ISERROR(HI!E5),"",HI!E5)</f>
        <v>855.81527000000301</v>
      </c>
      <c r="E7" s="298">
        <f t="shared" ref="E7:E14" si="0">IF(C7=0,0,D7/C7)</f>
        <v>0.79536735130111802</v>
      </c>
    </row>
    <row r="8" spans="1:5" ht="14.4" customHeight="1" x14ac:dyDescent="0.3">
      <c r="A8" s="302" t="str">
        <f>HYPERLINK("#'LŽ PL'!A1","% plnění pozitivního listu")</f>
        <v>% plnění pozitivního listu</v>
      </c>
      <c r="B8" s="300" t="s">
        <v>191</v>
      </c>
      <c r="C8" s="303">
        <v>0.9</v>
      </c>
      <c r="D8" s="303">
        <f>IF(ISERROR(VLOOKUP("celkem",'LŽ PL'!$A:$F,5,0)),0,VLOOKUP("celkem",'LŽ PL'!$A:$F,5,0))</f>
        <v>0.99895943753079464</v>
      </c>
      <c r="E8" s="298">
        <f t="shared" si="0"/>
        <v>1.1099549305897718</v>
      </c>
    </row>
    <row r="9" spans="1:5" ht="14.4" customHeight="1" x14ac:dyDescent="0.3">
      <c r="A9" s="304" t="s">
        <v>200</v>
      </c>
      <c r="B9" s="300"/>
      <c r="C9" s="301"/>
      <c r="D9" s="301"/>
      <c r="E9" s="298"/>
    </row>
    <row r="10" spans="1:5" ht="14.4" customHeight="1" x14ac:dyDescent="0.3">
      <c r="A10" s="302" t="str">
        <f>HYPERLINK("#'Léky Recepty'!A1","% záchytu v lékárně (Úhrada Kč)")</f>
        <v>% záchytu v lékárně (Úhrada Kč)</v>
      </c>
      <c r="B10" s="300" t="s">
        <v>145</v>
      </c>
      <c r="C10" s="303">
        <v>0.6</v>
      </c>
      <c r="D10" s="303">
        <f>IF(ISERROR(VLOOKUP("Celkem",'Léky Recepty'!B:H,5,0)),0,VLOOKUP("Celkem",'Léky Recepty'!B:H,5,0))</f>
        <v>0.80375326985038753</v>
      </c>
      <c r="E10" s="298">
        <f t="shared" si="0"/>
        <v>1.3395887830839792</v>
      </c>
    </row>
    <row r="11" spans="1:5" ht="14.4" customHeight="1" x14ac:dyDescent="0.3">
      <c r="A11" s="302" t="str">
        <f>HYPERLINK("#'LRp PL'!A1","% plnění pozitivního listu")</f>
        <v>% plnění pozitivního listu</v>
      </c>
      <c r="B11" s="300" t="s">
        <v>192</v>
      </c>
      <c r="C11" s="303">
        <v>0.8</v>
      </c>
      <c r="D11" s="303">
        <f>IF(ISERROR(VLOOKUP("Celkem",'LRp PL'!A:F,5,0)),0,VLOOKUP("Celkem",'LRp PL'!A:F,5,0))</f>
        <v>1</v>
      </c>
      <c r="E11" s="298">
        <f t="shared" si="0"/>
        <v>1.25</v>
      </c>
    </row>
    <row r="12" spans="1:5" ht="14.4" customHeight="1" x14ac:dyDescent="0.3">
      <c r="A12" s="304" t="s">
        <v>201</v>
      </c>
      <c r="B12" s="300"/>
      <c r="C12" s="301"/>
      <c r="D12" s="301"/>
      <c r="E12" s="298"/>
    </row>
    <row r="13" spans="1:5" ht="14.4" customHeight="1" x14ac:dyDescent="0.3">
      <c r="A13" s="305" t="s">
        <v>205</v>
      </c>
      <c r="B13" s="300"/>
      <c r="C13" s="297"/>
      <c r="D13" s="297"/>
      <c r="E13" s="298"/>
    </row>
    <row r="14" spans="1:5" ht="14.4" customHeight="1" x14ac:dyDescent="0.3">
      <c r="A14" s="3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00" t="s">
        <v>140</v>
      </c>
      <c r="C14" s="301">
        <f>IF(ISERROR(HI!F6),"",HI!F6)</f>
        <v>10553</v>
      </c>
      <c r="D14" s="301">
        <f>IF(ISERROR(HI!E6),"",HI!E6)</f>
        <v>9766.4591100000198</v>
      </c>
      <c r="E14" s="298">
        <f t="shared" si="0"/>
        <v>0.92546755519757606</v>
      </c>
    </row>
    <row r="15" spans="1:5" ht="14.4" customHeight="1" thickBot="1" x14ac:dyDescent="0.35">
      <c r="A15" s="307" t="str">
        <f>HYPERLINK("#HI!A1","Osobní náklady")</f>
        <v>Osobní náklady</v>
      </c>
      <c r="B15" s="300"/>
      <c r="C15" s="297">
        <f ca="1">IF(ISERROR(VLOOKUP("Osobní náklady (Kč)",INDIRECT("HI!$A:$G"),6,0)),0,VLOOKUP("Osobní náklady (Kč)",INDIRECT("HI!$A:$G"),6,0))</f>
        <v>0</v>
      </c>
      <c r="D15" s="297">
        <f ca="1">IF(ISERROR(VLOOKUP("Osobní náklady (Kč)",INDIRECT("HI!$A:$G"),5,0)),0,VLOOKUP("Osobní náklady (Kč)",INDIRECT("HI!$A:$G"),5,0))</f>
        <v>0</v>
      </c>
      <c r="E15" s="298">
        <f ca="1">IF(C15=0,0,D15/C15)</f>
        <v>0</v>
      </c>
    </row>
    <row r="16" spans="1:5" ht="14.4" customHeight="1" thickBot="1" x14ac:dyDescent="0.35">
      <c r="A16" s="311"/>
      <c r="B16" s="312"/>
      <c r="C16" s="313"/>
      <c r="D16" s="313"/>
      <c r="E16" s="314"/>
    </row>
    <row r="17" spans="1:5" ht="14.4" customHeight="1" thickBot="1" x14ac:dyDescent="0.35">
      <c r="A17" s="315" t="str">
        <f>HYPERLINK("#HI!A1","VÝNOSY CELKEM (v tisících)")</f>
        <v>VÝNOSY CELKEM (v tisících)</v>
      </c>
      <c r="B17" s="316"/>
      <c r="C17" s="317">
        <f ca="1">IF(ISERROR(VLOOKUP("Výnosy celkem",INDIRECT("HI!$A:$G"),6,0)),0,VLOOKUP("Výnosy celkem",INDIRECT("HI!$A:$G"),6,0))</f>
        <v>42628.969550000002</v>
      </c>
      <c r="D17" s="317">
        <f ca="1">IF(ISERROR(VLOOKUP("Výnosy celkem",INDIRECT("HI!$A:$G"),5,0)),0,VLOOKUP("Výnosy celkem",INDIRECT("HI!$A:$G"),5,0))</f>
        <v>35108.527889999998</v>
      </c>
      <c r="E17" s="318">
        <f t="shared" ref="E17:E27" ca="1" si="1">IF(C17=0,0,D17/C17)</f>
        <v>0.8235837802464544</v>
      </c>
    </row>
    <row r="18" spans="1:5" ht="14.4" customHeight="1" x14ac:dyDescent="0.3">
      <c r="A18" s="319" t="str">
        <f>HYPERLINK("#HI!A1","Ambulance (body za výkony + Kč za ZUM a ZULP)")</f>
        <v>Ambulance (body za výkony + Kč za ZUM a ZULP)</v>
      </c>
      <c r="B18" s="296"/>
      <c r="C18" s="297">
        <f ca="1">IF(ISERROR(VLOOKUP("Ambulance *",INDIRECT("HI!$A:$G"),6,0)),0,VLOOKUP("Ambulance *",INDIRECT("HI!$A:$G"),6,0))</f>
        <v>390.01954999999998</v>
      </c>
      <c r="D18" s="297">
        <f ca="1">IF(ISERROR(VLOOKUP("Ambulance *",INDIRECT("HI!$A:$G"),5,0)),0,VLOOKUP("Ambulance *",INDIRECT("HI!$A:$G"),5,0))</f>
        <v>344.46789000000001</v>
      </c>
      <c r="E18" s="298">
        <f t="shared" ca="1" si="1"/>
        <v>0.8832067264320469</v>
      </c>
    </row>
    <row r="19" spans="1:5" ht="14.4" customHeight="1" x14ac:dyDescent="0.3">
      <c r="A19" s="320" t="str">
        <f>HYPERLINK("#'ZV Vykáz.-A'!A1","Zdravotní výkony vykázané u ambulantních pacientů (min. 100 %)")</f>
        <v>Zdravotní výkony vykázané u ambulantních pacientů (min. 100 %)</v>
      </c>
      <c r="B19" s="283" t="s">
        <v>157</v>
      </c>
      <c r="C19" s="303">
        <v>1</v>
      </c>
      <c r="D19" s="303">
        <f>IF(ISERROR(VLOOKUP("Celkem:",'ZV Vykáz.-A'!$A:$S,7,0)),"",VLOOKUP("Celkem:",'ZV Vykáz.-A'!$A:$S,7,0))</f>
        <v>0.8832067264320469</v>
      </c>
      <c r="E19" s="298">
        <f t="shared" si="1"/>
        <v>0.8832067264320469</v>
      </c>
    </row>
    <row r="20" spans="1:5" ht="14.4" customHeight="1" x14ac:dyDescent="0.3">
      <c r="A20" s="320" t="str">
        <f>HYPERLINK("#'ZV Vykáz.-H'!A1","Zdravotní výkony vykázané u hospitalizovaných pacientů (max. 85 %)")</f>
        <v>Zdravotní výkony vykázané u hospitalizovaných pacientů (max. 85 %)</v>
      </c>
      <c r="B20" s="283" t="s">
        <v>159</v>
      </c>
      <c r="C20" s="303">
        <v>0.85</v>
      </c>
      <c r="D20" s="303">
        <f>IF(ISERROR(VLOOKUP("Celkem:",'ZV Vykáz.-H'!$A:$S,7,0)),"",VLOOKUP("Celkem:",'ZV Vykáz.-H'!$A:$S,7,0))</f>
        <v>0.87024081702370626</v>
      </c>
      <c r="E20" s="298">
        <f t="shared" si="1"/>
        <v>1.0238127259102427</v>
      </c>
    </row>
    <row r="21" spans="1:5" ht="14.4" customHeight="1" x14ac:dyDescent="0.3">
      <c r="A21" s="321" t="str">
        <f>HYPERLINK("#HI!A1","Hospitalizace (casemix * 30000)")</f>
        <v>Hospitalizace (casemix * 30000)</v>
      </c>
      <c r="B21" s="300"/>
      <c r="C21" s="297">
        <f ca="1">IF(ISERROR(VLOOKUP("Hospitalizace *",INDIRECT("HI!$A:$G"),6,0)),0,VLOOKUP("Hospitalizace *",INDIRECT("HI!$A:$G"),6,0))</f>
        <v>42238.950000000004</v>
      </c>
      <c r="D21" s="297">
        <f ca="1">IF(ISERROR(VLOOKUP("Hospitalizace *",INDIRECT("HI!$A:$G"),5,0)),0,VLOOKUP("Hospitalizace *",INDIRECT("HI!$A:$G"),5,0))</f>
        <v>34764.06</v>
      </c>
      <c r="E21" s="298">
        <f ca="1">IF(C21=0,0,D21/C21)</f>
        <v>0.82303324301385317</v>
      </c>
    </row>
    <row r="22" spans="1:5" ht="14.4" customHeight="1" x14ac:dyDescent="0.3">
      <c r="A22" s="320" t="str">
        <f>HYPERLINK("#'CaseMix'!A1","Casemix (min. 100 %)")</f>
        <v>Casemix (min. 100 %)</v>
      </c>
      <c r="B22" s="300" t="s">
        <v>74</v>
      </c>
      <c r="C22" s="303">
        <v>1</v>
      </c>
      <c r="D22" s="303">
        <f>IF(ISERROR(VLOOKUP("Celkem",CaseMix!A:M,5,0)),0,VLOOKUP("Celkem",CaseMix!A:M,5,0))</f>
        <v>0.82303324301385317</v>
      </c>
      <c r="E22" s="298">
        <f t="shared" si="1"/>
        <v>0.82303324301385317</v>
      </c>
    </row>
    <row r="23" spans="1:5" ht="14.4" customHeight="1" x14ac:dyDescent="0.3">
      <c r="A23" s="322" t="str">
        <f>HYPERLINK("#'CaseMix'!A1","DRG mimo vyjmenované baze")</f>
        <v>DRG mimo vyjmenované baze</v>
      </c>
      <c r="B23" s="300" t="s">
        <v>74</v>
      </c>
      <c r="C23" s="303">
        <v>1</v>
      </c>
      <c r="D23" s="303">
        <f>IF(ISERROR(CaseMix!E26),"",CaseMix!E26)</f>
        <v>0.82303324301385317</v>
      </c>
      <c r="E23" s="298">
        <f t="shared" si="1"/>
        <v>0.82303324301385317</v>
      </c>
    </row>
    <row r="24" spans="1:5" ht="14.4" customHeight="1" x14ac:dyDescent="0.3">
      <c r="A24" s="322" t="str">
        <f>HYPERLINK("#'CaseMix'!A1","Vyjmenované baze DRG")</f>
        <v>Vyjmenované baze DRG</v>
      </c>
      <c r="B24" s="300" t="s">
        <v>74</v>
      </c>
      <c r="C24" s="303">
        <v>1</v>
      </c>
      <c r="D24" s="303">
        <f>IF(ISERROR(CaseMix!E39),"",CaseMix!E39)</f>
        <v>0</v>
      </c>
      <c r="E24" s="298">
        <f t="shared" si="1"/>
        <v>0</v>
      </c>
    </row>
    <row r="25" spans="1:5" ht="14.4" customHeight="1" x14ac:dyDescent="0.3">
      <c r="A25" s="320" t="str">
        <f>HYPERLINK("#'CaseMix'!A1","Počet hospitalizací ukončených na pracovišti (min. 95 %)")</f>
        <v>Počet hospitalizací ukončených na pracovišti (min. 95 %)</v>
      </c>
      <c r="B25" s="300" t="s">
        <v>74</v>
      </c>
      <c r="C25" s="303">
        <v>0.95</v>
      </c>
      <c r="D25" s="303">
        <f>IF(ISERROR(CaseMix!I13),"",CaseMix!I13)</f>
        <v>0.91489361702127658</v>
      </c>
      <c r="E25" s="298">
        <f t="shared" si="1"/>
        <v>0.96304591265397543</v>
      </c>
    </row>
    <row r="26" spans="1:5" ht="14.4" customHeight="1" x14ac:dyDescent="0.3">
      <c r="A26" s="320" t="str">
        <f>HYPERLINK("#'ALOS'!A1","Průměrná délka hospitalizace (max. 100 % republikového průměru)")</f>
        <v>Průměrná délka hospitalizace (max. 100 % republikového průměru)</v>
      </c>
      <c r="B26" s="300" t="s">
        <v>89</v>
      </c>
      <c r="C26" s="303">
        <v>1</v>
      </c>
      <c r="D26" s="323">
        <f>IF(ISERROR(INDEX(ALOS!$E:$E,COUNT(ALOS!$E:$E)+32)),0,INDEX(ALOS!$E:$E,COUNT(ALOS!$E:$E)+32))</f>
        <v>0.67514423758042375</v>
      </c>
      <c r="E26" s="298">
        <f t="shared" si="1"/>
        <v>0.67514423758042375</v>
      </c>
    </row>
    <row r="27" spans="1:5" ht="27.6" x14ac:dyDescent="0.3">
      <c r="A27" s="324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300" t="s">
        <v>154</v>
      </c>
      <c r="C27" s="303">
        <f>IF(E22&gt;1,95%,95%-2*ABS(C22-D22))</f>
        <v>0.59606648602770629</v>
      </c>
      <c r="D27" s="303">
        <f>IF(ISERROR(VLOOKUP("Celkem:",'ZV Vyžád.'!$A:$M,7,0)),"",VLOOKUP("Celkem:",'ZV Vyžád.'!$A:$M,7,0))</f>
        <v>1.200239381128555</v>
      </c>
      <c r="E27" s="298">
        <f t="shared" si="1"/>
        <v>2.0135998403922439</v>
      </c>
    </row>
    <row r="28" spans="1:5" ht="14.4" customHeight="1" thickBot="1" x14ac:dyDescent="0.35">
      <c r="A28" s="325" t="s">
        <v>202</v>
      </c>
      <c r="B28" s="308"/>
      <c r="C28" s="309"/>
      <c r="D28" s="309"/>
      <c r="E28" s="310"/>
    </row>
    <row r="29" spans="1:5" ht="14.4" customHeight="1" thickBot="1" x14ac:dyDescent="0.35">
      <c r="A29" s="326"/>
      <c r="B29" s="327"/>
      <c r="C29" s="328"/>
      <c r="D29" s="328"/>
      <c r="E29" s="329"/>
    </row>
    <row r="30" spans="1:5" ht="14.4" customHeight="1" thickBot="1" x14ac:dyDescent="0.35">
      <c r="A30" s="330" t="s">
        <v>203</v>
      </c>
      <c r="B30" s="331"/>
      <c r="C30" s="332"/>
      <c r="D30" s="332"/>
      <c r="E30" s="333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7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1" priority="16" operator="lessThan">
      <formula>1</formula>
    </cfRule>
  </conditionalFormatting>
  <conditionalFormatting sqref="E26:E27 E4 E7 E14 E20">
    <cfRule type="cellIs" dxfId="70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5.4414062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527" t="s">
        <v>2229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</row>
    <row r="3" spans="1:19" ht="14.4" customHeight="1" thickBot="1" x14ac:dyDescent="0.35">
      <c r="A3" s="356" t="s">
        <v>163</v>
      </c>
      <c r="B3" s="357">
        <f>SUBTOTAL(9,B6:B1048576)</f>
        <v>390019.55</v>
      </c>
      <c r="C3" s="358">
        <f t="shared" ref="C3:R3" si="0">SUBTOTAL(9,C6:C1048576)</f>
        <v>2</v>
      </c>
      <c r="D3" s="358">
        <f t="shared" si="0"/>
        <v>295998.44</v>
      </c>
      <c r="E3" s="358">
        <f t="shared" si="0"/>
        <v>1.8567235125931258</v>
      </c>
      <c r="F3" s="358">
        <f t="shared" si="0"/>
        <v>344467.89</v>
      </c>
      <c r="G3" s="359">
        <f>IF(B3&lt;&gt;0,F3/B3,"")</f>
        <v>0.8832067264320469</v>
      </c>
      <c r="H3" s="360">
        <f t="shared" si="0"/>
        <v>364</v>
      </c>
      <c r="I3" s="358">
        <f t="shared" si="0"/>
        <v>1</v>
      </c>
      <c r="J3" s="358">
        <f t="shared" si="0"/>
        <v>773.82999999999993</v>
      </c>
      <c r="K3" s="358">
        <f t="shared" si="0"/>
        <v>2.1259065934065933</v>
      </c>
      <c r="L3" s="358">
        <f t="shared" si="0"/>
        <v>1026.55</v>
      </c>
      <c r="M3" s="361">
        <f>IF(H3&lt;&gt;0,L3/H3,"")</f>
        <v>2.8201923076923077</v>
      </c>
      <c r="N3" s="357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28" t="s">
        <v>126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  <c r="N4" s="529" t="s">
        <v>129</v>
      </c>
      <c r="O4" s="530"/>
      <c r="P4" s="530"/>
      <c r="Q4" s="530"/>
      <c r="R4" s="530"/>
      <c r="S4" s="531"/>
    </row>
    <row r="5" spans="1:19" ht="14.4" customHeight="1" thickBot="1" x14ac:dyDescent="0.35">
      <c r="A5" s="727"/>
      <c r="B5" s="728">
        <v>2012</v>
      </c>
      <c r="C5" s="729"/>
      <c r="D5" s="729">
        <v>2013</v>
      </c>
      <c r="E5" s="729"/>
      <c r="F5" s="729">
        <v>2014</v>
      </c>
      <c r="G5" s="730" t="s">
        <v>5</v>
      </c>
      <c r="H5" s="728">
        <v>2012</v>
      </c>
      <c r="I5" s="729"/>
      <c r="J5" s="729">
        <v>2013</v>
      </c>
      <c r="K5" s="729"/>
      <c r="L5" s="729">
        <v>2014</v>
      </c>
      <c r="M5" s="730" t="s">
        <v>5</v>
      </c>
      <c r="N5" s="728">
        <v>2012</v>
      </c>
      <c r="O5" s="729"/>
      <c r="P5" s="729">
        <v>2013</v>
      </c>
      <c r="Q5" s="729"/>
      <c r="R5" s="729">
        <v>2014</v>
      </c>
      <c r="S5" s="730" t="s">
        <v>5</v>
      </c>
    </row>
    <row r="6" spans="1:19" ht="14.4" customHeight="1" x14ac:dyDescent="0.3">
      <c r="A6" s="715" t="s">
        <v>2225</v>
      </c>
      <c r="B6" s="731">
        <v>384676.55</v>
      </c>
      <c r="C6" s="696">
        <v>1</v>
      </c>
      <c r="D6" s="731">
        <v>290107.44</v>
      </c>
      <c r="E6" s="696">
        <v>0.75415941002902309</v>
      </c>
      <c r="F6" s="731">
        <v>338302.89</v>
      </c>
      <c r="G6" s="701">
        <v>0.87944765543935555</v>
      </c>
      <c r="H6" s="731">
        <v>364</v>
      </c>
      <c r="I6" s="696">
        <v>1</v>
      </c>
      <c r="J6" s="731">
        <v>773.82999999999993</v>
      </c>
      <c r="K6" s="696">
        <v>2.1259065934065933</v>
      </c>
      <c r="L6" s="731">
        <v>1026.55</v>
      </c>
      <c r="M6" s="701">
        <v>2.8201923076923077</v>
      </c>
      <c r="N6" s="731"/>
      <c r="O6" s="696"/>
      <c r="P6" s="731"/>
      <c r="Q6" s="696"/>
      <c r="R6" s="731"/>
      <c r="S6" s="241"/>
    </row>
    <row r="7" spans="1:19" ht="14.4" customHeight="1" thickBot="1" x14ac:dyDescent="0.35">
      <c r="A7" s="733" t="s">
        <v>2226</v>
      </c>
      <c r="B7" s="732">
        <v>5343</v>
      </c>
      <c r="C7" s="672">
        <v>1</v>
      </c>
      <c r="D7" s="732">
        <v>5891</v>
      </c>
      <c r="E7" s="672">
        <v>1.1025641025641026</v>
      </c>
      <c r="F7" s="732">
        <v>6165</v>
      </c>
      <c r="G7" s="682">
        <v>1.1538461538461537</v>
      </c>
      <c r="H7" s="732"/>
      <c r="I7" s="672"/>
      <c r="J7" s="732"/>
      <c r="K7" s="672"/>
      <c r="L7" s="732"/>
      <c r="M7" s="682"/>
      <c r="N7" s="732"/>
      <c r="O7" s="672"/>
      <c r="P7" s="732"/>
      <c r="Q7" s="672"/>
      <c r="R7" s="732"/>
      <c r="S7" s="683"/>
    </row>
    <row r="8" spans="1:19" ht="14.4" customHeight="1" x14ac:dyDescent="0.3">
      <c r="A8" s="734" t="s">
        <v>2227</v>
      </c>
    </row>
    <row r="9" spans="1:19" ht="14.4" customHeight="1" x14ac:dyDescent="0.3">
      <c r="A9" s="735" t="s">
        <v>239</v>
      </c>
    </row>
    <row r="10" spans="1:19" ht="14.4" customHeight="1" x14ac:dyDescent="0.3">
      <c r="A10" s="734" t="s">
        <v>2228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2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60" bestFit="1" customWidth="1"/>
    <col min="2" max="2" width="2.109375" style="260" bestFit="1" customWidth="1"/>
    <col min="3" max="3" width="8" style="260" bestFit="1" customWidth="1"/>
    <col min="4" max="4" width="50.88671875" style="260" bestFit="1" customWidth="1"/>
    <col min="5" max="6" width="11.109375" style="343" customWidth="1"/>
    <col min="7" max="8" width="9.33203125" style="260" hidden="1" customWidth="1"/>
    <col min="9" max="10" width="11.109375" style="343" customWidth="1"/>
    <col min="11" max="12" width="9.33203125" style="260" hidden="1" customWidth="1"/>
    <col min="13" max="14" width="11.109375" style="343" customWidth="1"/>
    <col min="15" max="15" width="11.109375" style="346" customWidth="1"/>
    <col min="16" max="16" width="11.109375" style="343" customWidth="1"/>
    <col min="17" max="16384" width="8.88671875" style="260"/>
  </cols>
  <sheetData>
    <row r="1" spans="1:16" ht="18.600000000000001" customHeight="1" thickBot="1" x14ac:dyDescent="0.4">
      <c r="A1" s="462" t="s">
        <v>2276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4.4" customHeight="1" thickBot="1" x14ac:dyDescent="0.35">
      <c r="A2" s="389" t="s">
        <v>298</v>
      </c>
      <c r="B2" s="261"/>
      <c r="C2" s="261"/>
      <c r="D2" s="261"/>
      <c r="E2" s="364"/>
      <c r="F2" s="364"/>
      <c r="G2" s="261"/>
      <c r="H2" s="261"/>
      <c r="I2" s="364"/>
      <c r="J2" s="364"/>
      <c r="K2" s="261"/>
      <c r="L2" s="261"/>
      <c r="M2" s="364"/>
      <c r="N2" s="364"/>
      <c r="O2" s="365"/>
      <c r="P2" s="364"/>
    </row>
    <row r="3" spans="1:16" ht="14.4" customHeight="1" thickBot="1" x14ac:dyDescent="0.35">
      <c r="D3" s="112" t="s">
        <v>163</v>
      </c>
      <c r="E3" s="217">
        <f t="shared" ref="E3:N3" si="0">SUBTOTAL(9,E6:E1048576)</f>
        <v>1997.5</v>
      </c>
      <c r="F3" s="218">
        <f t="shared" si="0"/>
        <v>390383.55</v>
      </c>
      <c r="G3" s="78"/>
      <c r="H3" s="78"/>
      <c r="I3" s="218">
        <f t="shared" si="0"/>
        <v>1937.9</v>
      </c>
      <c r="J3" s="218">
        <f t="shared" si="0"/>
        <v>296772.27</v>
      </c>
      <c r="K3" s="78"/>
      <c r="L3" s="78"/>
      <c r="M3" s="218">
        <f t="shared" si="0"/>
        <v>2197.5</v>
      </c>
      <c r="N3" s="218">
        <f t="shared" si="0"/>
        <v>345494.44</v>
      </c>
      <c r="O3" s="79">
        <f>IF(F3=0,0,N3/F3)</f>
        <v>0.88501280343395616</v>
      </c>
      <c r="P3" s="219">
        <f>IF(M3=0,0,N3/M3)</f>
        <v>157.22158816837316</v>
      </c>
    </row>
    <row r="4" spans="1:16" ht="14.4" customHeight="1" x14ac:dyDescent="0.3">
      <c r="A4" s="533" t="s">
        <v>122</v>
      </c>
      <c r="B4" s="534" t="s">
        <v>123</v>
      </c>
      <c r="C4" s="535" t="s">
        <v>124</v>
      </c>
      <c r="D4" s="536" t="s">
        <v>84</v>
      </c>
      <c r="E4" s="537">
        <v>2012</v>
      </c>
      <c r="F4" s="538"/>
      <c r="G4" s="216"/>
      <c r="H4" s="216"/>
      <c r="I4" s="537">
        <v>2013</v>
      </c>
      <c r="J4" s="538"/>
      <c r="K4" s="216"/>
      <c r="L4" s="216"/>
      <c r="M4" s="537">
        <v>2014</v>
      </c>
      <c r="N4" s="538"/>
      <c r="O4" s="539" t="s">
        <v>5</v>
      </c>
      <c r="P4" s="532" t="s">
        <v>125</v>
      </c>
    </row>
    <row r="5" spans="1:16" ht="14.4" customHeight="1" thickBot="1" x14ac:dyDescent="0.35">
      <c r="A5" s="736"/>
      <c r="B5" s="737"/>
      <c r="C5" s="738"/>
      <c r="D5" s="739"/>
      <c r="E5" s="740" t="s">
        <v>94</v>
      </c>
      <c r="F5" s="741" t="s">
        <v>17</v>
      </c>
      <c r="G5" s="742"/>
      <c r="H5" s="742"/>
      <c r="I5" s="740" t="s">
        <v>94</v>
      </c>
      <c r="J5" s="741" t="s">
        <v>17</v>
      </c>
      <c r="K5" s="742"/>
      <c r="L5" s="742"/>
      <c r="M5" s="740" t="s">
        <v>94</v>
      </c>
      <c r="N5" s="741" t="s">
        <v>17</v>
      </c>
      <c r="O5" s="743"/>
      <c r="P5" s="744"/>
    </row>
    <row r="6" spans="1:16" ht="14.4" customHeight="1" x14ac:dyDescent="0.3">
      <c r="A6" s="695" t="s">
        <v>2230</v>
      </c>
      <c r="B6" s="696" t="s">
        <v>2231</v>
      </c>
      <c r="C6" s="696" t="s">
        <v>2232</v>
      </c>
      <c r="D6" s="696" t="s">
        <v>2233</v>
      </c>
      <c r="E6" s="235">
        <v>2.5</v>
      </c>
      <c r="F6" s="235">
        <v>364</v>
      </c>
      <c r="G6" s="696">
        <v>1</v>
      </c>
      <c r="H6" s="696">
        <v>145.6</v>
      </c>
      <c r="I6" s="235">
        <v>4.9000000000000004</v>
      </c>
      <c r="J6" s="235">
        <v>773.82999999999993</v>
      </c>
      <c r="K6" s="696">
        <v>2.1259065934065933</v>
      </c>
      <c r="L6" s="696">
        <v>157.92448979591833</v>
      </c>
      <c r="M6" s="235">
        <v>6.5</v>
      </c>
      <c r="N6" s="235">
        <v>1026.55</v>
      </c>
      <c r="O6" s="701">
        <v>2.8201923076923077</v>
      </c>
      <c r="P6" s="711">
        <v>157.93076923076922</v>
      </c>
    </row>
    <row r="7" spans="1:16" ht="14.4" customHeight="1" x14ac:dyDescent="0.3">
      <c r="A7" s="679" t="s">
        <v>2230</v>
      </c>
      <c r="B7" s="670" t="s">
        <v>2234</v>
      </c>
      <c r="C7" s="670" t="s">
        <v>2235</v>
      </c>
      <c r="D7" s="670" t="s">
        <v>2236</v>
      </c>
      <c r="E7" s="238"/>
      <c r="F7" s="238"/>
      <c r="G7" s="670"/>
      <c r="H7" s="670"/>
      <c r="I7" s="238"/>
      <c r="J7" s="238"/>
      <c r="K7" s="670"/>
      <c r="L7" s="670"/>
      <c r="M7" s="238">
        <v>15</v>
      </c>
      <c r="N7" s="238">
        <v>1200</v>
      </c>
      <c r="O7" s="681"/>
      <c r="P7" s="712">
        <v>80</v>
      </c>
    </row>
    <row r="8" spans="1:16" ht="14.4" customHeight="1" x14ac:dyDescent="0.3">
      <c r="A8" s="679" t="s">
        <v>2230</v>
      </c>
      <c r="B8" s="670" t="s">
        <v>2234</v>
      </c>
      <c r="C8" s="670" t="s">
        <v>2237</v>
      </c>
      <c r="D8" s="670" t="s">
        <v>2238</v>
      </c>
      <c r="E8" s="238"/>
      <c r="F8" s="238"/>
      <c r="G8" s="670"/>
      <c r="H8" s="670"/>
      <c r="I8" s="238"/>
      <c r="J8" s="238"/>
      <c r="K8" s="670"/>
      <c r="L8" s="670"/>
      <c r="M8" s="238">
        <v>1</v>
      </c>
      <c r="N8" s="238">
        <v>5</v>
      </c>
      <c r="O8" s="681"/>
      <c r="P8" s="712">
        <v>5</v>
      </c>
    </row>
    <row r="9" spans="1:16" ht="14.4" customHeight="1" x14ac:dyDescent="0.3">
      <c r="A9" s="679" t="s">
        <v>2230</v>
      </c>
      <c r="B9" s="670" t="s">
        <v>2234</v>
      </c>
      <c r="C9" s="670" t="s">
        <v>2239</v>
      </c>
      <c r="D9" s="670" t="s">
        <v>2240</v>
      </c>
      <c r="E9" s="238">
        <v>17</v>
      </c>
      <c r="F9" s="238">
        <v>59915.55</v>
      </c>
      <c r="G9" s="670">
        <v>1</v>
      </c>
      <c r="H9" s="670">
        <v>3524.4441176470591</v>
      </c>
      <c r="I9" s="238">
        <v>28</v>
      </c>
      <c r="J9" s="238">
        <v>98684.44</v>
      </c>
      <c r="K9" s="670">
        <v>1.647058902071332</v>
      </c>
      <c r="L9" s="670">
        <v>3524.4442857142858</v>
      </c>
      <c r="M9" s="238">
        <v>20</v>
      </c>
      <c r="N9" s="238">
        <v>70488.89</v>
      </c>
      <c r="O9" s="681">
        <v>1.1764707158659145</v>
      </c>
      <c r="P9" s="712">
        <v>3524.4445000000001</v>
      </c>
    </row>
    <row r="10" spans="1:16" ht="14.4" customHeight="1" x14ac:dyDescent="0.3">
      <c r="A10" s="679" t="s">
        <v>2230</v>
      </c>
      <c r="B10" s="670" t="s">
        <v>2234</v>
      </c>
      <c r="C10" s="670" t="s">
        <v>2241</v>
      </c>
      <c r="D10" s="670" t="s">
        <v>2242</v>
      </c>
      <c r="E10" s="238"/>
      <c r="F10" s="238"/>
      <c r="G10" s="670"/>
      <c r="H10" s="670"/>
      <c r="I10" s="238">
        <v>1</v>
      </c>
      <c r="J10" s="238">
        <v>108</v>
      </c>
      <c r="K10" s="670"/>
      <c r="L10" s="670">
        <v>108</v>
      </c>
      <c r="M10" s="238"/>
      <c r="N10" s="238"/>
      <c r="O10" s="681"/>
      <c r="P10" s="712"/>
    </row>
    <row r="11" spans="1:16" ht="14.4" customHeight="1" x14ac:dyDescent="0.3">
      <c r="A11" s="679" t="s">
        <v>2230</v>
      </c>
      <c r="B11" s="670" t="s">
        <v>2234</v>
      </c>
      <c r="C11" s="670" t="s">
        <v>2243</v>
      </c>
      <c r="D11" s="670" t="s">
        <v>2244</v>
      </c>
      <c r="E11" s="238">
        <v>745</v>
      </c>
      <c r="F11" s="238">
        <v>127395</v>
      </c>
      <c r="G11" s="670">
        <v>1</v>
      </c>
      <c r="H11" s="670">
        <v>171</v>
      </c>
      <c r="I11" s="238">
        <v>1049</v>
      </c>
      <c r="J11" s="238">
        <v>121684</v>
      </c>
      <c r="K11" s="670">
        <v>0.95517092507555246</v>
      </c>
      <c r="L11" s="670">
        <v>116</v>
      </c>
      <c r="M11" s="238">
        <v>498</v>
      </c>
      <c r="N11" s="238">
        <v>57768</v>
      </c>
      <c r="O11" s="681">
        <v>0.45345578711880374</v>
      </c>
      <c r="P11" s="712">
        <v>116</v>
      </c>
    </row>
    <row r="12" spans="1:16" ht="14.4" customHeight="1" x14ac:dyDescent="0.3">
      <c r="A12" s="679" t="s">
        <v>2230</v>
      </c>
      <c r="B12" s="670" t="s">
        <v>2234</v>
      </c>
      <c r="C12" s="670" t="s">
        <v>2245</v>
      </c>
      <c r="D12" s="670" t="s">
        <v>2246</v>
      </c>
      <c r="E12" s="238">
        <v>25</v>
      </c>
      <c r="F12" s="238">
        <v>40500</v>
      </c>
      <c r="G12" s="670">
        <v>1</v>
      </c>
      <c r="H12" s="670">
        <v>1620</v>
      </c>
      <c r="I12" s="238">
        <v>24</v>
      </c>
      <c r="J12" s="238">
        <v>39000</v>
      </c>
      <c r="K12" s="670">
        <v>0.96296296296296291</v>
      </c>
      <c r="L12" s="670">
        <v>1625</v>
      </c>
      <c r="M12" s="238">
        <v>20</v>
      </c>
      <c r="N12" s="238">
        <v>32500</v>
      </c>
      <c r="O12" s="681">
        <v>0.80246913580246915</v>
      </c>
      <c r="P12" s="712">
        <v>1625</v>
      </c>
    </row>
    <row r="13" spans="1:16" ht="14.4" customHeight="1" x14ac:dyDescent="0.3">
      <c r="A13" s="679" t="s">
        <v>2230</v>
      </c>
      <c r="B13" s="670" t="s">
        <v>2234</v>
      </c>
      <c r="C13" s="670" t="s">
        <v>2247</v>
      </c>
      <c r="D13" s="670" t="s">
        <v>2248</v>
      </c>
      <c r="E13" s="238">
        <v>1</v>
      </c>
      <c r="F13" s="238">
        <v>249</v>
      </c>
      <c r="G13" s="670">
        <v>1</v>
      </c>
      <c r="H13" s="670">
        <v>249</v>
      </c>
      <c r="I13" s="238">
        <v>1</v>
      </c>
      <c r="J13" s="238">
        <v>250</v>
      </c>
      <c r="K13" s="670">
        <v>1.0040160642570282</v>
      </c>
      <c r="L13" s="670">
        <v>250</v>
      </c>
      <c r="M13" s="238">
        <v>1</v>
      </c>
      <c r="N13" s="238">
        <v>250</v>
      </c>
      <c r="O13" s="681">
        <v>1.0040160642570282</v>
      </c>
      <c r="P13" s="712">
        <v>250</v>
      </c>
    </row>
    <row r="14" spans="1:16" ht="14.4" customHeight="1" x14ac:dyDescent="0.3">
      <c r="A14" s="679" t="s">
        <v>2230</v>
      </c>
      <c r="B14" s="670" t="s">
        <v>2234</v>
      </c>
      <c r="C14" s="670" t="s">
        <v>2249</v>
      </c>
      <c r="D14" s="670" t="s">
        <v>2250</v>
      </c>
      <c r="E14" s="238">
        <v>2</v>
      </c>
      <c r="F14" s="238">
        <v>0</v>
      </c>
      <c r="G14" s="670"/>
      <c r="H14" s="670">
        <v>0</v>
      </c>
      <c r="I14" s="238">
        <v>2</v>
      </c>
      <c r="J14" s="238">
        <v>0</v>
      </c>
      <c r="K14" s="670"/>
      <c r="L14" s="670">
        <v>0</v>
      </c>
      <c r="M14" s="238">
        <v>1</v>
      </c>
      <c r="N14" s="238">
        <v>0</v>
      </c>
      <c r="O14" s="681"/>
      <c r="P14" s="712">
        <v>0</v>
      </c>
    </row>
    <row r="15" spans="1:16" ht="14.4" customHeight="1" x14ac:dyDescent="0.3">
      <c r="A15" s="679" t="s">
        <v>2230</v>
      </c>
      <c r="B15" s="670" t="s">
        <v>2234</v>
      </c>
      <c r="C15" s="670" t="s">
        <v>2251</v>
      </c>
      <c r="D15" s="670" t="s">
        <v>2252</v>
      </c>
      <c r="E15" s="238"/>
      <c r="F15" s="238"/>
      <c r="G15" s="670"/>
      <c r="H15" s="670"/>
      <c r="I15" s="238"/>
      <c r="J15" s="238"/>
      <c r="K15" s="670"/>
      <c r="L15" s="670"/>
      <c r="M15" s="238">
        <v>8</v>
      </c>
      <c r="N15" s="238">
        <v>0</v>
      </c>
      <c r="O15" s="681"/>
      <c r="P15" s="712">
        <v>0</v>
      </c>
    </row>
    <row r="16" spans="1:16" ht="14.4" customHeight="1" x14ac:dyDescent="0.3">
      <c r="A16" s="679" t="s">
        <v>2230</v>
      </c>
      <c r="B16" s="670" t="s">
        <v>2234</v>
      </c>
      <c r="C16" s="670" t="s">
        <v>2253</v>
      </c>
      <c r="D16" s="670" t="s">
        <v>2254</v>
      </c>
      <c r="E16" s="238">
        <v>699</v>
      </c>
      <c r="F16" s="238">
        <v>0</v>
      </c>
      <c r="G16" s="670"/>
      <c r="H16" s="670">
        <v>0</v>
      </c>
      <c r="I16" s="238">
        <v>653</v>
      </c>
      <c r="J16" s="238">
        <v>0</v>
      </c>
      <c r="K16" s="670"/>
      <c r="L16" s="670">
        <v>0</v>
      </c>
      <c r="M16" s="238">
        <v>788</v>
      </c>
      <c r="N16" s="238">
        <v>0</v>
      </c>
      <c r="O16" s="681"/>
      <c r="P16" s="712">
        <v>0</v>
      </c>
    </row>
    <row r="17" spans="1:16" ht="14.4" customHeight="1" x14ac:dyDescent="0.3">
      <c r="A17" s="679" t="s">
        <v>2230</v>
      </c>
      <c r="B17" s="670" t="s">
        <v>2234</v>
      </c>
      <c r="C17" s="670" t="s">
        <v>2255</v>
      </c>
      <c r="D17" s="670" t="s">
        <v>2256</v>
      </c>
      <c r="E17" s="238">
        <v>451</v>
      </c>
      <c r="F17" s="238">
        <v>154242</v>
      </c>
      <c r="G17" s="670">
        <v>1</v>
      </c>
      <c r="H17" s="670">
        <v>342</v>
      </c>
      <c r="I17" s="238">
        <v>116</v>
      </c>
      <c r="J17" s="238">
        <v>26912</v>
      </c>
      <c r="K17" s="670">
        <v>0.17447906536481633</v>
      </c>
      <c r="L17" s="670">
        <v>232</v>
      </c>
      <c r="M17" s="238">
        <v>734</v>
      </c>
      <c r="N17" s="238">
        <v>170288</v>
      </c>
      <c r="O17" s="681">
        <v>1.1040313273946136</v>
      </c>
      <c r="P17" s="712">
        <v>232</v>
      </c>
    </row>
    <row r="18" spans="1:16" ht="14.4" customHeight="1" x14ac:dyDescent="0.3">
      <c r="A18" s="679" t="s">
        <v>2230</v>
      </c>
      <c r="B18" s="670" t="s">
        <v>2234</v>
      </c>
      <c r="C18" s="670" t="s">
        <v>2257</v>
      </c>
      <c r="D18" s="670" t="s">
        <v>2258</v>
      </c>
      <c r="E18" s="238"/>
      <c r="F18" s="238"/>
      <c r="G18" s="670"/>
      <c r="H18" s="670"/>
      <c r="I18" s="238"/>
      <c r="J18" s="238"/>
      <c r="K18" s="670"/>
      <c r="L18" s="670"/>
      <c r="M18" s="238">
        <v>27</v>
      </c>
      <c r="N18" s="238">
        <v>2862</v>
      </c>
      <c r="O18" s="681"/>
      <c r="P18" s="712">
        <v>106</v>
      </c>
    </row>
    <row r="19" spans="1:16" ht="14.4" customHeight="1" x14ac:dyDescent="0.3">
      <c r="A19" s="679" t="s">
        <v>2230</v>
      </c>
      <c r="B19" s="670" t="s">
        <v>2234</v>
      </c>
      <c r="C19" s="670" t="s">
        <v>2259</v>
      </c>
      <c r="D19" s="670" t="s">
        <v>2260</v>
      </c>
      <c r="E19" s="238">
        <v>25</v>
      </c>
      <c r="F19" s="238">
        <v>1875</v>
      </c>
      <c r="G19" s="670">
        <v>1</v>
      </c>
      <c r="H19" s="670">
        <v>75</v>
      </c>
      <c r="I19" s="238">
        <v>24</v>
      </c>
      <c r="J19" s="238">
        <v>1944</v>
      </c>
      <c r="K19" s="670">
        <v>1.0367999999999999</v>
      </c>
      <c r="L19" s="670">
        <v>81</v>
      </c>
      <c r="M19" s="238">
        <v>19</v>
      </c>
      <c r="N19" s="238">
        <v>1539</v>
      </c>
      <c r="O19" s="681">
        <v>0.82079999999999997</v>
      </c>
      <c r="P19" s="712">
        <v>81</v>
      </c>
    </row>
    <row r="20" spans="1:16" ht="14.4" customHeight="1" x14ac:dyDescent="0.3">
      <c r="A20" s="679" t="s">
        <v>2230</v>
      </c>
      <c r="B20" s="670" t="s">
        <v>2234</v>
      </c>
      <c r="C20" s="670" t="s">
        <v>2261</v>
      </c>
      <c r="D20" s="670" t="s">
        <v>2262</v>
      </c>
      <c r="E20" s="238"/>
      <c r="F20" s="238"/>
      <c r="G20" s="670"/>
      <c r="H20" s="670"/>
      <c r="I20" s="238"/>
      <c r="J20" s="238"/>
      <c r="K20" s="670"/>
      <c r="L20" s="670"/>
      <c r="M20" s="238">
        <v>2</v>
      </c>
      <c r="N20" s="238">
        <v>0</v>
      </c>
      <c r="O20" s="681"/>
      <c r="P20" s="712">
        <v>0</v>
      </c>
    </row>
    <row r="21" spans="1:16" ht="14.4" customHeight="1" x14ac:dyDescent="0.3">
      <c r="A21" s="679" t="s">
        <v>2230</v>
      </c>
      <c r="B21" s="670" t="s">
        <v>2234</v>
      </c>
      <c r="C21" s="670" t="s">
        <v>2263</v>
      </c>
      <c r="D21" s="670" t="s">
        <v>2264</v>
      </c>
      <c r="E21" s="238"/>
      <c r="F21" s="238"/>
      <c r="G21" s="670"/>
      <c r="H21" s="670"/>
      <c r="I21" s="238">
        <v>1</v>
      </c>
      <c r="J21" s="238">
        <v>668</v>
      </c>
      <c r="K21" s="670"/>
      <c r="L21" s="670">
        <v>668</v>
      </c>
      <c r="M21" s="238"/>
      <c r="N21" s="238"/>
      <c r="O21" s="681"/>
      <c r="P21" s="712"/>
    </row>
    <row r="22" spans="1:16" ht="14.4" customHeight="1" x14ac:dyDescent="0.3">
      <c r="A22" s="679" t="s">
        <v>2230</v>
      </c>
      <c r="B22" s="670" t="s">
        <v>2234</v>
      </c>
      <c r="C22" s="670" t="s">
        <v>2265</v>
      </c>
      <c r="D22" s="670" t="s">
        <v>2266</v>
      </c>
      <c r="E22" s="238">
        <v>1</v>
      </c>
      <c r="F22" s="238">
        <v>176</v>
      </c>
      <c r="G22" s="670">
        <v>1</v>
      </c>
      <c r="H22" s="670">
        <v>176</v>
      </c>
      <c r="I22" s="238">
        <v>3</v>
      </c>
      <c r="J22" s="238">
        <v>531</v>
      </c>
      <c r="K22" s="670">
        <v>3.0170454545454546</v>
      </c>
      <c r="L22" s="670">
        <v>177</v>
      </c>
      <c r="M22" s="238">
        <v>7</v>
      </c>
      <c r="N22" s="238">
        <v>1239</v>
      </c>
      <c r="O22" s="681">
        <v>7.0397727272727275</v>
      </c>
      <c r="P22" s="712">
        <v>177</v>
      </c>
    </row>
    <row r="23" spans="1:16" ht="14.4" customHeight="1" x14ac:dyDescent="0.3">
      <c r="A23" s="679" t="s">
        <v>2230</v>
      </c>
      <c r="B23" s="670" t="s">
        <v>2234</v>
      </c>
      <c r="C23" s="670" t="s">
        <v>2267</v>
      </c>
      <c r="D23" s="670" t="s">
        <v>2268</v>
      </c>
      <c r="E23" s="238">
        <v>2</v>
      </c>
      <c r="F23" s="238">
        <v>324</v>
      </c>
      <c r="G23" s="670">
        <v>1</v>
      </c>
      <c r="H23" s="670">
        <v>162</v>
      </c>
      <c r="I23" s="238">
        <v>2</v>
      </c>
      <c r="J23" s="238">
        <v>326</v>
      </c>
      <c r="K23" s="670">
        <v>1.0061728395061729</v>
      </c>
      <c r="L23" s="670">
        <v>163</v>
      </c>
      <c r="M23" s="238">
        <v>1</v>
      </c>
      <c r="N23" s="238">
        <v>163</v>
      </c>
      <c r="O23" s="681">
        <v>0.50308641975308643</v>
      </c>
      <c r="P23" s="712">
        <v>163</v>
      </c>
    </row>
    <row r="24" spans="1:16" ht="14.4" customHeight="1" x14ac:dyDescent="0.3">
      <c r="A24" s="679" t="s">
        <v>2230</v>
      </c>
      <c r="B24" s="670" t="s">
        <v>2234</v>
      </c>
      <c r="C24" s="670" t="s">
        <v>2269</v>
      </c>
      <c r="D24" s="670" t="s">
        <v>2270</v>
      </c>
      <c r="E24" s="238"/>
      <c r="F24" s="238"/>
      <c r="G24" s="670"/>
      <c r="H24" s="670"/>
      <c r="I24" s="238"/>
      <c r="J24" s="238"/>
      <c r="K24" s="670"/>
      <c r="L24" s="670"/>
      <c r="M24" s="238">
        <v>15</v>
      </c>
      <c r="N24" s="238">
        <v>0</v>
      </c>
      <c r="O24" s="681"/>
      <c r="P24" s="712">
        <v>0</v>
      </c>
    </row>
    <row r="25" spans="1:16" ht="14.4" customHeight="1" x14ac:dyDescent="0.3">
      <c r="A25" s="679" t="s">
        <v>2271</v>
      </c>
      <c r="B25" s="670" t="s">
        <v>2234</v>
      </c>
      <c r="C25" s="670" t="s">
        <v>2272</v>
      </c>
      <c r="D25" s="670" t="s">
        <v>2273</v>
      </c>
      <c r="E25" s="238"/>
      <c r="F25" s="238"/>
      <c r="G25" s="670"/>
      <c r="H25" s="670"/>
      <c r="I25" s="238"/>
      <c r="J25" s="238"/>
      <c r="K25" s="670"/>
      <c r="L25" s="670"/>
      <c r="M25" s="238">
        <v>1</v>
      </c>
      <c r="N25" s="238">
        <v>5</v>
      </c>
      <c r="O25" s="681"/>
      <c r="P25" s="712">
        <v>5</v>
      </c>
    </row>
    <row r="26" spans="1:16" ht="14.4" customHeight="1" x14ac:dyDescent="0.3">
      <c r="A26" s="679" t="s">
        <v>2271</v>
      </c>
      <c r="B26" s="670" t="s">
        <v>2234</v>
      </c>
      <c r="C26" s="670" t="s">
        <v>2274</v>
      </c>
      <c r="D26" s="670" t="s">
        <v>2275</v>
      </c>
      <c r="E26" s="238"/>
      <c r="F26" s="238"/>
      <c r="G26" s="670"/>
      <c r="H26" s="670"/>
      <c r="I26" s="238">
        <v>3</v>
      </c>
      <c r="J26" s="238">
        <v>348</v>
      </c>
      <c r="K26" s="670"/>
      <c r="L26" s="670">
        <v>116</v>
      </c>
      <c r="M26" s="238">
        <v>13</v>
      </c>
      <c r="N26" s="238">
        <v>1508</v>
      </c>
      <c r="O26" s="681"/>
      <c r="P26" s="712">
        <v>116</v>
      </c>
    </row>
    <row r="27" spans="1:16" ht="14.4" customHeight="1" x14ac:dyDescent="0.3">
      <c r="A27" s="679" t="s">
        <v>2271</v>
      </c>
      <c r="B27" s="670" t="s">
        <v>2234</v>
      </c>
      <c r="C27" s="670" t="s">
        <v>2247</v>
      </c>
      <c r="D27" s="670" t="s">
        <v>2248</v>
      </c>
      <c r="E27" s="238">
        <v>13</v>
      </c>
      <c r="F27" s="238">
        <v>3237</v>
      </c>
      <c r="G27" s="670">
        <v>1</v>
      </c>
      <c r="H27" s="670">
        <v>249</v>
      </c>
      <c r="I27" s="238">
        <v>15</v>
      </c>
      <c r="J27" s="238">
        <v>3750</v>
      </c>
      <c r="K27" s="670">
        <v>1.1584800741427248</v>
      </c>
      <c r="L27" s="670">
        <v>250</v>
      </c>
      <c r="M27" s="238">
        <v>16</v>
      </c>
      <c r="N27" s="238">
        <v>4000</v>
      </c>
      <c r="O27" s="681">
        <v>1.2357120790855731</v>
      </c>
      <c r="P27" s="712">
        <v>250</v>
      </c>
    </row>
    <row r="28" spans="1:16" ht="14.4" customHeight="1" x14ac:dyDescent="0.3">
      <c r="A28" s="679" t="s">
        <v>2271</v>
      </c>
      <c r="B28" s="670" t="s">
        <v>2234</v>
      </c>
      <c r="C28" s="670" t="s">
        <v>2253</v>
      </c>
      <c r="D28" s="670" t="s">
        <v>2254</v>
      </c>
      <c r="E28" s="238">
        <v>1</v>
      </c>
      <c r="F28" s="238">
        <v>0</v>
      </c>
      <c r="G28" s="670"/>
      <c r="H28" s="670">
        <v>0</v>
      </c>
      <c r="I28" s="238"/>
      <c r="J28" s="238"/>
      <c r="K28" s="670"/>
      <c r="L28" s="670"/>
      <c r="M28" s="238"/>
      <c r="N28" s="238"/>
      <c r="O28" s="681"/>
      <c r="P28" s="712"/>
    </row>
    <row r="29" spans="1:16" ht="14.4" customHeight="1" thickBot="1" x14ac:dyDescent="0.35">
      <c r="A29" s="636" t="s">
        <v>2271</v>
      </c>
      <c r="B29" s="672" t="s">
        <v>2234</v>
      </c>
      <c r="C29" s="672" t="s">
        <v>2267</v>
      </c>
      <c r="D29" s="672" t="s">
        <v>2268</v>
      </c>
      <c r="E29" s="673">
        <v>13</v>
      </c>
      <c r="F29" s="673">
        <v>2106</v>
      </c>
      <c r="G29" s="672">
        <v>1</v>
      </c>
      <c r="H29" s="672">
        <v>162</v>
      </c>
      <c r="I29" s="673">
        <v>11</v>
      </c>
      <c r="J29" s="673">
        <v>1793</v>
      </c>
      <c r="K29" s="672">
        <v>0.85137701804368471</v>
      </c>
      <c r="L29" s="672">
        <v>163</v>
      </c>
      <c r="M29" s="673">
        <v>4</v>
      </c>
      <c r="N29" s="673">
        <v>652</v>
      </c>
      <c r="O29" s="682">
        <v>0.30959164292497626</v>
      </c>
      <c r="P29" s="713">
        <v>163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0.10937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471" t="s">
        <v>161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  <c r="N2" s="362"/>
      <c r="O2" s="230"/>
      <c r="P2" s="362"/>
      <c r="Q2" s="230"/>
      <c r="R2" s="362"/>
      <c r="S2" s="363"/>
    </row>
    <row r="3" spans="1:19" ht="14.4" customHeight="1" thickBot="1" x14ac:dyDescent="0.35">
      <c r="A3" s="356" t="s">
        <v>163</v>
      </c>
      <c r="B3" s="357">
        <f>SUBTOTAL(9,B6:B1048576)</f>
        <v>10760618</v>
      </c>
      <c r="C3" s="358">
        <f t="shared" ref="C3:R3" si="0">SUBTOTAL(9,C6:C1048576)</f>
        <v>14</v>
      </c>
      <c r="D3" s="358">
        <f t="shared" si="0"/>
        <v>10764246</v>
      </c>
      <c r="E3" s="358">
        <f t="shared" si="0"/>
        <v>10.955702149778038</v>
      </c>
      <c r="F3" s="358">
        <f t="shared" si="0"/>
        <v>9364329</v>
      </c>
      <c r="G3" s="361">
        <f>IF(B3&lt;&gt;0,F3/B3,"")</f>
        <v>0.87024081702370626</v>
      </c>
      <c r="H3" s="357">
        <f t="shared" si="0"/>
        <v>6248559.1799999988</v>
      </c>
      <c r="I3" s="358">
        <f t="shared" si="0"/>
        <v>1</v>
      </c>
      <c r="J3" s="358">
        <f t="shared" si="0"/>
        <v>3376087.169999999</v>
      </c>
      <c r="K3" s="358">
        <f t="shared" si="0"/>
        <v>0.54029850286222303</v>
      </c>
      <c r="L3" s="358">
        <f t="shared" si="0"/>
        <v>3721795.95</v>
      </c>
      <c r="M3" s="359">
        <f>IF(H3&lt;&gt;0,L3/H3,"")</f>
        <v>0.59562466206809628</v>
      </c>
      <c r="N3" s="360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28" t="s">
        <v>133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  <c r="N4" s="529" t="s">
        <v>129</v>
      </c>
      <c r="O4" s="530"/>
      <c r="P4" s="530"/>
      <c r="Q4" s="530"/>
      <c r="R4" s="530"/>
      <c r="S4" s="531"/>
    </row>
    <row r="5" spans="1:19" ht="14.4" customHeight="1" thickBot="1" x14ac:dyDescent="0.35">
      <c r="A5" s="727"/>
      <c r="B5" s="728">
        <v>2012</v>
      </c>
      <c r="C5" s="729"/>
      <c r="D5" s="729">
        <v>2013</v>
      </c>
      <c r="E5" s="729"/>
      <c r="F5" s="729">
        <v>2014</v>
      </c>
      <c r="G5" s="730" t="s">
        <v>5</v>
      </c>
      <c r="H5" s="728">
        <v>2012</v>
      </c>
      <c r="I5" s="729"/>
      <c r="J5" s="729">
        <v>2013</v>
      </c>
      <c r="K5" s="729"/>
      <c r="L5" s="729">
        <v>2014</v>
      </c>
      <c r="M5" s="730" t="s">
        <v>5</v>
      </c>
      <c r="N5" s="728">
        <v>2012</v>
      </c>
      <c r="O5" s="729"/>
      <c r="P5" s="729">
        <v>2013</v>
      </c>
      <c r="Q5" s="729"/>
      <c r="R5" s="729">
        <v>2014</v>
      </c>
      <c r="S5" s="730" t="s">
        <v>5</v>
      </c>
    </row>
    <row r="6" spans="1:19" ht="14.4" customHeight="1" x14ac:dyDescent="0.3">
      <c r="A6" s="715" t="s">
        <v>2277</v>
      </c>
      <c r="B6" s="731">
        <v>855</v>
      </c>
      <c r="C6" s="696">
        <v>1</v>
      </c>
      <c r="D6" s="731">
        <v>580</v>
      </c>
      <c r="E6" s="696">
        <v>0.67836257309941517</v>
      </c>
      <c r="F6" s="731">
        <v>232</v>
      </c>
      <c r="G6" s="701">
        <v>0.27134502923976606</v>
      </c>
      <c r="H6" s="731"/>
      <c r="I6" s="696"/>
      <c r="J6" s="731"/>
      <c r="K6" s="696"/>
      <c r="L6" s="731"/>
      <c r="M6" s="701"/>
      <c r="N6" s="731"/>
      <c r="O6" s="696"/>
      <c r="P6" s="731"/>
      <c r="Q6" s="696"/>
      <c r="R6" s="731"/>
      <c r="S6" s="241"/>
    </row>
    <row r="7" spans="1:19" ht="14.4" customHeight="1" x14ac:dyDescent="0.3">
      <c r="A7" s="716" t="s">
        <v>2278</v>
      </c>
      <c r="B7" s="745">
        <v>513</v>
      </c>
      <c r="C7" s="670">
        <v>1</v>
      </c>
      <c r="D7" s="745">
        <v>116</v>
      </c>
      <c r="E7" s="670">
        <v>0.22612085769980506</v>
      </c>
      <c r="F7" s="745">
        <v>464</v>
      </c>
      <c r="G7" s="681">
        <v>0.90448343079922022</v>
      </c>
      <c r="H7" s="745"/>
      <c r="I7" s="670"/>
      <c r="J7" s="745"/>
      <c r="K7" s="670"/>
      <c r="L7" s="745"/>
      <c r="M7" s="681"/>
      <c r="N7" s="745"/>
      <c r="O7" s="670"/>
      <c r="P7" s="745"/>
      <c r="Q7" s="670"/>
      <c r="R7" s="745"/>
      <c r="S7" s="242"/>
    </row>
    <row r="8" spans="1:19" ht="14.4" customHeight="1" x14ac:dyDescent="0.3">
      <c r="A8" s="716" t="s">
        <v>2279</v>
      </c>
      <c r="B8" s="745">
        <v>2565</v>
      </c>
      <c r="C8" s="670">
        <v>1</v>
      </c>
      <c r="D8" s="745">
        <v>812</v>
      </c>
      <c r="E8" s="670">
        <v>0.31656920077972711</v>
      </c>
      <c r="F8" s="745">
        <v>1856</v>
      </c>
      <c r="G8" s="681">
        <v>0.72358674463937622</v>
      </c>
      <c r="H8" s="745"/>
      <c r="I8" s="670"/>
      <c r="J8" s="745"/>
      <c r="K8" s="670"/>
      <c r="L8" s="745"/>
      <c r="M8" s="681"/>
      <c r="N8" s="745"/>
      <c r="O8" s="670"/>
      <c r="P8" s="745"/>
      <c r="Q8" s="670"/>
      <c r="R8" s="745"/>
      <c r="S8" s="242"/>
    </row>
    <row r="9" spans="1:19" ht="14.4" customHeight="1" x14ac:dyDescent="0.3">
      <c r="A9" s="716" t="s">
        <v>2280</v>
      </c>
      <c r="B9" s="745"/>
      <c r="C9" s="670"/>
      <c r="D9" s="745">
        <v>116</v>
      </c>
      <c r="E9" s="670"/>
      <c r="F9" s="745">
        <v>232</v>
      </c>
      <c r="G9" s="681"/>
      <c r="H9" s="745"/>
      <c r="I9" s="670"/>
      <c r="J9" s="745"/>
      <c r="K9" s="670"/>
      <c r="L9" s="745"/>
      <c r="M9" s="681"/>
      <c r="N9" s="745"/>
      <c r="O9" s="670"/>
      <c r="P9" s="745"/>
      <c r="Q9" s="670"/>
      <c r="R9" s="745"/>
      <c r="S9" s="242"/>
    </row>
    <row r="10" spans="1:19" ht="14.4" customHeight="1" x14ac:dyDescent="0.3">
      <c r="A10" s="716" t="s">
        <v>2281</v>
      </c>
      <c r="B10" s="745">
        <v>10742492</v>
      </c>
      <c r="C10" s="670">
        <v>1</v>
      </c>
      <c r="D10" s="745">
        <v>10748818</v>
      </c>
      <c r="E10" s="670">
        <v>1.0005888763985116</v>
      </c>
      <c r="F10" s="745">
        <v>9342173</v>
      </c>
      <c r="G10" s="681">
        <v>0.86964672629032447</v>
      </c>
      <c r="H10" s="745">
        <v>6248559.1799999988</v>
      </c>
      <c r="I10" s="670">
        <v>1</v>
      </c>
      <c r="J10" s="745">
        <v>3376087.169999999</v>
      </c>
      <c r="K10" s="670">
        <v>0.54029850286222303</v>
      </c>
      <c r="L10" s="745">
        <v>3721795.95</v>
      </c>
      <c r="M10" s="681">
        <v>0.59562466206809628</v>
      </c>
      <c r="N10" s="745"/>
      <c r="O10" s="670"/>
      <c r="P10" s="745"/>
      <c r="Q10" s="670"/>
      <c r="R10" s="745"/>
      <c r="S10" s="242"/>
    </row>
    <row r="11" spans="1:19" ht="14.4" customHeight="1" x14ac:dyDescent="0.3">
      <c r="A11" s="716" t="s">
        <v>2282</v>
      </c>
      <c r="B11" s="745">
        <v>2907</v>
      </c>
      <c r="C11" s="670">
        <v>1</v>
      </c>
      <c r="D11" s="745">
        <v>1740</v>
      </c>
      <c r="E11" s="670">
        <v>0.59855521155830749</v>
      </c>
      <c r="F11" s="745">
        <v>1856</v>
      </c>
      <c r="G11" s="681">
        <v>0.63845889232886133</v>
      </c>
      <c r="H11" s="745"/>
      <c r="I11" s="670"/>
      <c r="J11" s="745"/>
      <c r="K11" s="670"/>
      <c r="L11" s="745"/>
      <c r="M11" s="681"/>
      <c r="N11" s="745"/>
      <c r="O11" s="670"/>
      <c r="P11" s="745"/>
      <c r="Q11" s="670"/>
      <c r="R11" s="745"/>
      <c r="S11" s="242"/>
    </row>
    <row r="12" spans="1:19" ht="14.4" customHeight="1" x14ac:dyDescent="0.3">
      <c r="A12" s="716" t="s">
        <v>2283</v>
      </c>
      <c r="B12" s="745">
        <v>342</v>
      </c>
      <c r="C12" s="670">
        <v>1</v>
      </c>
      <c r="D12" s="745"/>
      <c r="E12" s="670"/>
      <c r="F12" s="745"/>
      <c r="G12" s="681"/>
      <c r="H12" s="745"/>
      <c r="I12" s="670"/>
      <c r="J12" s="745"/>
      <c r="K12" s="670"/>
      <c r="L12" s="745"/>
      <c r="M12" s="681"/>
      <c r="N12" s="745"/>
      <c r="O12" s="670"/>
      <c r="P12" s="745"/>
      <c r="Q12" s="670"/>
      <c r="R12" s="745"/>
      <c r="S12" s="242"/>
    </row>
    <row r="13" spans="1:19" ht="14.4" customHeight="1" x14ac:dyDescent="0.3">
      <c r="A13" s="716" t="s">
        <v>2284</v>
      </c>
      <c r="B13" s="745"/>
      <c r="C13" s="670"/>
      <c r="D13" s="745">
        <v>464</v>
      </c>
      <c r="E13" s="670"/>
      <c r="F13" s="745">
        <v>928</v>
      </c>
      <c r="G13" s="681"/>
      <c r="H13" s="745"/>
      <c r="I13" s="670"/>
      <c r="J13" s="745"/>
      <c r="K13" s="670"/>
      <c r="L13" s="745"/>
      <c r="M13" s="681"/>
      <c r="N13" s="745"/>
      <c r="O13" s="670"/>
      <c r="P13" s="745"/>
      <c r="Q13" s="670"/>
      <c r="R13" s="745"/>
      <c r="S13" s="242"/>
    </row>
    <row r="14" spans="1:19" ht="14.4" customHeight="1" x14ac:dyDescent="0.3">
      <c r="A14" s="716" t="s">
        <v>2285</v>
      </c>
      <c r="B14" s="745">
        <v>1710</v>
      </c>
      <c r="C14" s="670">
        <v>1</v>
      </c>
      <c r="D14" s="745">
        <v>1508</v>
      </c>
      <c r="E14" s="670">
        <v>0.88187134502923981</v>
      </c>
      <c r="F14" s="745">
        <v>2204</v>
      </c>
      <c r="G14" s="681">
        <v>1.288888888888889</v>
      </c>
      <c r="H14" s="745"/>
      <c r="I14" s="670"/>
      <c r="J14" s="745"/>
      <c r="K14" s="670"/>
      <c r="L14" s="745"/>
      <c r="M14" s="681"/>
      <c r="N14" s="745"/>
      <c r="O14" s="670"/>
      <c r="P14" s="745"/>
      <c r="Q14" s="670"/>
      <c r="R14" s="745"/>
      <c r="S14" s="242"/>
    </row>
    <row r="15" spans="1:19" ht="14.4" customHeight="1" x14ac:dyDescent="0.3">
      <c r="A15" s="716" t="s">
        <v>2286</v>
      </c>
      <c r="B15" s="745"/>
      <c r="C15" s="670"/>
      <c r="D15" s="745"/>
      <c r="E15" s="670"/>
      <c r="F15" s="745">
        <v>232</v>
      </c>
      <c r="G15" s="681"/>
      <c r="H15" s="745"/>
      <c r="I15" s="670"/>
      <c r="J15" s="745"/>
      <c r="K15" s="670"/>
      <c r="L15" s="745"/>
      <c r="M15" s="681"/>
      <c r="N15" s="745"/>
      <c r="O15" s="670"/>
      <c r="P15" s="745"/>
      <c r="Q15" s="670"/>
      <c r="R15" s="745"/>
      <c r="S15" s="242"/>
    </row>
    <row r="16" spans="1:19" ht="14.4" customHeight="1" x14ac:dyDescent="0.3">
      <c r="A16" s="716" t="s">
        <v>2287</v>
      </c>
      <c r="B16" s="745"/>
      <c r="C16" s="670"/>
      <c r="D16" s="745">
        <v>116</v>
      </c>
      <c r="E16" s="670"/>
      <c r="F16" s="745"/>
      <c r="G16" s="681"/>
      <c r="H16" s="745"/>
      <c r="I16" s="670"/>
      <c r="J16" s="745"/>
      <c r="K16" s="670"/>
      <c r="L16" s="745"/>
      <c r="M16" s="681"/>
      <c r="N16" s="745"/>
      <c r="O16" s="670"/>
      <c r="P16" s="745"/>
      <c r="Q16" s="670"/>
      <c r="R16" s="745"/>
      <c r="S16" s="242"/>
    </row>
    <row r="17" spans="1:19" ht="14.4" customHeight="1" x14ac:dyDescent="0.3">
      <c r="A17" s="716" t="s">
        <v>2288</v>
      </c>
      <c r="B17" s="745">
        <v>171</v>
      </c>
      <c r="C17" s="670">
        <v>1</v>
      </c>
      <c r="D17" s="745">
        <v>580</v>
      </c>
      <c r="E17" s="670">
        <v>3.3918128654970761</v>
      </c>
      <c r="F17" s="745">
        <v>232</v>
      </c>
      <c r="G17" s="681">
        <v>1.3567251461988303</v>
      </c>
      <c r="H17" s="745"/>
      <c r="I17" s="670"/>
      <c r="J17" s="745"/>
      <c r="K17" s="670"/>
      <c r="L17" s="745"/>
      <c r="M17" s="681"/>
      <c r="N17" s="745"/>
      <c r="O17" s="670"/>
      <c r="P17" s="745"/>
      <c r="Q17" s="670"/>
      <c r="R17" s="745"/>
      <c r="S17" s="242"/>
    </row>
    <row r="18" spans="1:19" ht="14.4" customHeight="1" x14ac:dyDescent="0.3">
      <c r="A18" s="716" t="s">
        <v>2289</v>
      </c>
      <c r="B18" s="745">
        <v>5985</v>
      </c>
      <c r="C18" s="670">
        <v>1</v>
      </c>
      <c r="D18" s="745">
        <v>6264</v>
      </c>
      <c r="E18" s="670">
        <v>1.0466165413533834</v>
      </c>
      <c r="F18" s="745">
        <v>8004</v>
      </c>
      <c r="G18" s="681">
        <v>1.3373433583959899</v>
      </c>
      <c r="H18" s="745"/>
      <c r="I18" s="670"/>
      <c r="J18" s="745"/>
      <c r="K18" s="670"/>
      <c r="L18" s="745"/>
      <c r="M18" s="681"/>
      <c r="N18" s="745"/>
      <c r="O18" s="670"/>
      <c r="P18" s="745"/>
      <c r="Q18" s="670"/>
      <c r="R18" s="745"/>
      <c r="S18" s="242"/>
    </row>
    <row r="19" spans="1:19" ht="14.4" customHeight="1" x14ac:dyDescent="0.3">
      <c r="A19" s="716" t="s">
        <v>2290</v>
      </c>
      <c r="B19" s="745">
        <v>171</v>
      </c>
      <c r="C19" s="670">
        <v>1</v>
      </c>
      <c r="D19" s="745">
        <v>116</v>
      </c>
      <c r="E19" s="670">
        <v>0.67836257309941517</v>
      </c>
      <c r="F19" s="745">
        <v>232</v>
      </c>
      <c r="G19" s="681">
        <v>1.3567251461988303</v>
      </c>
      <c r="H19" s="745"/>
      <c r="I19" s="670"/>
      <c r="J19" s="745"/>
      <c r="K19" s="670"/>
      <c r="L19" s="745"/>
      <c r="M19" s="681"/>
      <c r="N19" s="745"/>
      <c r="O19" s="670"/>
      <c r="P19" s="745"/>
      <c r="Q19" s="670"/>
      <c r="R19" s="745"/>
      <c r="S19" s="242"/>
    </row>
    <row r="20" spans="1:19" ht="14.4" customHeight="1" x14ac:dyDescent="0.3">
      <c r="A20" s="716" t="s">
        <v>2291</v>
      </c>
      <c r="B20" s="745"/>
      <c r="C20" s="670"/>
      <c r="D20" s="745">
        <v>696</v>
      </c>
      <c r="E20" s="670"/>
      <c r="F20" s="745">
        <v>232</v>
      </c>
      <c r="G20" s="681"/>
      <c r="H20" s="745"/>
      <c r="I20" s="670"/>
      <c r="J20" s="745"/>
      <c r="K20" s="670"/>
      <c r="L20" s="745"/>
      <c r="M20" s="681"/>
      <c r="N20" s="745"/>
      <c r="O20" s="670"/>
      <c r="P20" s="745"/>
      <c r="Q20" s="670"/>
      <c r="R20" s="745"/>
      <c r="S20" s="242"/>
    </row>
    <row r="21" spans="1:19" ht="14.4" customHeight="1" x14ac:dyDescent="0.3">
      <c r="A21" s="716" t="s">
        <v>2292</v>
      </c>
      <c r="B21" s="745">
        <v>171</v>
      </c>
      <c r="C21" s="670">
        <v>1</v>
      </c>
      <c r="D21" s="745">
        <v>232</v>
      </c>
      <c r="E21" s="670">
        <v>1.3567251461988303</v>
      </c>
      <c r="F21" s="745"/>
      <c r="G21" s="681"/>
      <c r="H21" s="745"/>
      <c r="I21" s="670"/>
      <c r="J21" s="745"/>
      <c r="K21" s="670"/>
      <c r="L21" s="745"/>
      <c r="M21" s="681"/>
      <c r="N21" s="745"/>
      <c r="O21" s="670"/>
      <c r="P21" s="745"/>
      <c r="Q21" s="670"/>
      <c r="R21" s="745"/>
      <c r="S21" s="242"/>
    </row>
    <row r="22" spans="1:19" ht="14.4" customHeight="1" x14ac:dyDescent="0.3">
      <c r="A22" s="716" t="s">
        <v>2293</v>
      </c>
      <c r="B22" s="745">
        <v>684</v>
      </c>
      <c r="C22" s="670">
        <v>1</v>
      </c>
      <c r="D22" s="745">
        <v>116</v>
      </c>
      <c r="E22" s="670">
        <v>0.16959064327485379</v>
      </c>
      <c r="F22" s="745">
        <v>1624</v>
      </c>
      <c r="G22" s="681">
        <v>2.3742690058479532</v>
      </c>
      <c r="H22" s="745"/>
      <c r="I22" s="670"/>
      <c r="J22" s="745"/>
      <c r="K22" s="670"/>
      <c r="L22" s="745"/>
      <c r="M22" s="681"/>
      <c r="N22" s="745"/>
      <c r="O22" s="670"/>
      <c r="P22" s="745"/>
      <c r="Q22" s="670"/>
      <c r="R22" s="745"/>
      <c r="S22" s="242"/>
    </row>
    <row r="23" spans="1:19" ht="14.4" customHeight="1" x14ac:dyDescent="0.3">
      <c r="A23" s="716" t="s">
        <v>2294</v>
      </c>
      <c r="B23" s="745">
        <v>342</v>
      </c>
      <c r="C23" s="670">
        <v>1</v>
      </c>
      <c r="D23" s="745"/>
      <c r="E23" s="670"/>
      <c r="F23" s="745"/>
      <c r="G23" s="681"/>
      <c r="H23" s="745"/>
      <c r="I23" s="670"/>
      <c r="J23" s="745"/>
      <c r="K23" s="670"/>
      <c r="L23" s="745"/>
      <c r="M23" s="681"/>
      <c r="N23" s="745"/>
      <c r="O23" s="670"/>
      <c r="P23" s="745"/>
      <c r="Q23" s="670"/>
      <c r="R23" s="745"/>
      <c r="S23" s="242"/>
    </row>
    <row r="24" spans="1:19" ht="14.4" customHeight="1" x14ac:dyDescent="0.3">
      <c r="A24" s="716" t="s">
        <v>2295</v>
      </c>
      <c r="B24" s="745">
        <v>1710</v>
      </c>
      <c r="C24" s="670">
        <v>1</v>
      </c>
      <c r="D24" s="745">
        <v>1044</v>
      </c>
      <c r="E24" s="670">
        <v>0.61052631578947369</v>
      </c>
      <c r="F24" s="745">
        <v>2088</v>
      </c>
      <c r="G24" s="681">
        <v>1.2210526315789474</v>
      </c>
      <c r="H24" s="745"/>
      <c r="I24" s="670"/>
      <c r="J24" s="745"/>
      <c r="K24" s="670"/>
      <c r="L24" s="745"/>
      <c r="M24" s="681"/>
      <c r="N24" s="745"/>
      <c r="O24" s="670"/>
      <c r="P24" s="745"/>
      <c r="Q24" s="670"/>
      <c r="R24" s="745"/>
      <c r="S24" s="242"/>
    </row>
    <row r="25" spans="1:19" ht="14.4" customHeight="1" x14ac:dyDescent="0.3">
      <c r="A25" s="716" t="s">
        <v>2296</v>
      </c>
      <c r="B25" s="745"/>
      <c r="C25" s="670"/>
      <c r="D25" s="745">
        <v>580</v>
      </c>
      <c r="E25" s="670"/>
      <c r="F25" s="745">
        <v>464</v>
      </c>
      <c r="G25" s="681"/>
      <c r="H25" s="745"/>
      <c r="I25" s="670"/>
      <c r="J25" s="745"/>
      <c r="K25" s="670"/>
      <c r="L25" s="745"/>
      <c r="M25" s="681"/>
      <c r="N25" s="745"/>
      <c r="O25" s="670"/>
      <c r="P25" s="745"/>
      <c r="Q25" s="670"/>
      <c r="R25" s="745"/>
      <c r="S25" s="242"/>
    </row>
    <row r="26" spans="1:19" ht="14.4" customHeight="1" x14ac:dyDescent="0.3">
      <c r="A26" s="716" t="s">
        <v>2297</v>
      </c>
      <c r="B26" s="745"/>
      <c r="C26" s="670"/>
      <c r="D26" s="745">
        <v>116</v>
      </c>
      <c r="E26" s="670"/>
      <c r="F26" s="745">
        <v>464</v>
      </c>
      <c r="G26" s="681"/>
      <c r="H26" s="745"/>
      <c r="I26" s="670"/>
      <c r="J26" s="745"/>
      <c r="K26" s="670"/>
      <c r="L26" s="745"/>
      <c r="M26" s="681"/>
      <c r="N26" s="745"/>
      <c r="O26" s="670"/>
      <c r="P26" s="745"/>
      <c r="Q26" s="670"/>
      <c r="R26" s="745"/>
      <c r="S26" s="242"/>
    </row>
    <row r="27" spans="1:19" ht="14.4" customHeight="1" thickBot="1" x14ac:dyDescent="0.35">
      <c r="A27" s="733" t="s">
        <v>2298</v>
      </c>
      <c r="B27" s="732">
        <v>0</v>
      </c>
      <c r="C27" s="672"/>
      <c r="D27" s="732">
        <v>232</v>
      </c>
      <c r="E27" s="672"/>
      <c r="F27" s="732">
        <v>812</v>
      </c>
      <c r="G27" s="682"/>
      <c r="H27" s="732"/>
      <c r="I27" s="672"/>
      <c r="J27" s="732"/>
      <c r="K27" s="672"/>
      <c r="L27" s="732"/>
      <c r="M27" s="682"/>
      <c r="N27" s="732"/>
      <c r="O27" s="672"/>
      <c r="P27" s="732"/>
      <c r="Q27" s="672"/>
      <c r="R27" s="732"/>
      <c r="S27" s="68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8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62" t="s">
        <v>2810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298</v>
      </c>
      <c r="B2" s="261"/>
      <c r="C2" s="261"/>
      <c r="D2" s="261"/>
      <c r="E2" s="261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5"/>
      <c r="Q2" s="364"/>
    </row>
    <row r="3" spans="1:17" ht="14.4" customHeight="1" thickBot="1" x14ac:dyDescent="0.35">
      <c r="E3" s="112" t="s">
        <v>163</v>
      </c>
      <c r="F3" s="217">
        <f t="shared" ref="F3:O3" si="0">SUBTOTAL(9,F6:F1048576)</f>
        <v>7433.6900000000005</v>
      </c>
      <c r="G3" s="218">
        <f t="shared" si="0"/>
        <v>17009177.179999992</v>
      </c>
      <c r="H3" s="218"/>
      <c r="I3" s="218"/>
      <c r="J3" s="218">
        <f t="shared" si="0"/>
        <v>7352.3399999999983</v>
      </c>
      <c r="K3" s="218">
        <f t="shared" si="0"/>
        <v>14140333.170000002</v>
      </c>
      <c r="L3" s="218"/>
      <c r="M3" s="218"/>
      <c r="N3" s="218">
        <f t="shared" si="0"/>
        <v>5641.3099999999995</v>
      </c>
      <c r="O3" s="218">
        <f t="shared" si="0"/>
        <v>13086124.950000001</v>
      </c>
      <c r="P3" s="79">
        <f>IF(G3=0,0,O3/G3)</f>
        <v>0.76935673087038814</v>
      </c>
      <c r="Q3" s="219">
        <f>IF(N3=0,0,O3/N3)</f>
        <v>2319.696125545308</v>
      </c>
    </row>
    <row r="4" spans="1:17" ht="14.4" customHeight="1" x14ac:dyDescent="0.3">
      <c r="A4" s="534" t="s">
        <v>77</v>
      </c>
      <c r="B4" s="533" t="s">
        <v>122</v>
      </c>
      <c r="C4" s="534" t="s">
        <v>123</v>
      </c>
      <c r="D4" s="535" t="s">
        <v>124</v>
      </c>
      <c r="E4" s="536" t="s">
        <v>84</v>
      </c>
      <c r="F4" s="540">
        <v>2012</v>
      </c>
      <c r="G4" s="541"/>
      <c r="H4" s="220"/>
      <c r="I4" s="220"/>
      <c r="J4" s="540">
        <v>2013</v>
      </c>
      <c r="K4" s="541"/>
      <c r="L4" s="220"/>
      <c r="M4" s="220"/>
      <c r="N4" s="540">
        <v>2014</v>
      </c>
      <c r="O4" s="541"/>
      <c r="P4" s="542" t="s">
        <v>5</v>
      </c>
      <c r="Q4" s="532" t="s">
        <v>125</v>
      </c>
    </row>
    <row r="5" spans="1:17" ht="14.4" customHeight="1" thickBot="1" x14ac:dyDescent="0.35">
      <c r="A5" s="737"/>
      <c r="B5" s="736"/>
      <c r="C5" s="737"/>
      <c r="D5" s="738"/>
      <c r="E5" s="739"/>
      <c r="F5" s="746" t="s">
        <v>94</v>
      </c>
      <c r="G5" s="747" t="s">
        <v>17</v>
      </c>
      <c r="H5" s="748"/>
      <c r="I5" s="748"/>
      <c r="J5" s="746" t="s">
        <v>94</v>
      </c>
      <c r="K5" s="747" t="s">
        <v>17</v>
      </c>
      <c r="L5" s="748"/>
      <c r="M5" s="748"/>
      <c r="N5" s="746" t="s">
        <v>94</v>
      </c>
      <c r="O5" s="747" t="s">
        <v>17</v>
      </c>
      <c r="P5" s="749"/>
      <c r="Q5" s="744"/>
    </row>
    <row r="6" spans="1:17" ht="14.4" customHeight="1" x14ac:dyDescent="0.3">
      <c r="A6" s="695" t="s">
        <v>2299</v>
      </c>
      <c r="B6" s="696" t="s">
        <v>2230</v>
      </c>
      <c r="C6" s="696" t="s">
        <v>2234</v>
      </c>
      <c r="D6" s="696" t="s">
        <v>2243</v>
      </c>
      <c r="E6" s="696" t="s">
        <v>2244</v>
      </c>
      <c r="F6" s="235">
        <v>5</v>
      </c>
      <c r="G6" s="235">
        <v>855</v>
      </c>
      <c r="H6" s="235">
        <v>1</v>
      </c>
      <c r="I6" s="235">
        <v>171</v>
      </c>
      <c r="J6" s="235">
        <v>5</v>
      </c>
      <c r="K6" s="235">
        <v>580</v>
      </c>
      <c r="L6" s="235">
        <v>0.67836257309941517</v>
      </c>
      <c r="M6" s="235">
        <v>116</v>
      </c>
      <c r="N6" s="235"/>
      <c r="O6" s="235"/>
      <c r="P6" s="701"/>
      <c r="Q6" s="711"/>
    </row>
    <row r="7" spans="1:17" ht="14.4" customHeight="1" x14ac:dyDescent="0.3">
      <c r="A7" s="679" t="s">
        <v>2299</v>
      </c>
      <c r="B7" s="670" t="s">
        <v>2230</v>
      </c>
      <c r="C7" s="670" t="s">
        <v>2234</v>
      </c>
      <c r="D7" s="670" t="s">
        <v>2253</v>
      </c>
      <c r="E7" s="670" t="s">
        <v>2254</v>
      </c>
      <c r="F7" s="238">
        <v>2</v>
      </c>
      <c r="G7" s="238">
        <v>0</v>
      </c>
      <c r="H7" s="238"/>
      <c r="I7" s="238">
        <v>0</v>
      </c>
      <c r="J7" s="238"/>
      <c r="K7" s="238"/>
      <c r="L7" s="238"/>
      <c r="M7" s="238"/>
      <c r="N7" s="238"/>
      <c r="O7" s="238"/>
      <c r="P7" s="681"/>
      <c r="Q7" s="712"/>
    </row>
    <row r="8" spans="1:17" ht="14.4" customHeight="1" x14ac:dyDescent="0.3">
      <c r="A8" s="679" t="s">
        <v>2299</v>
      </c>
      <c r="B8" s="670" t="s">
        <v>2230</v>
      </c>
      <c r="C8" s="670" t="s">
        <v>2234</v>
      </c>
      <c r="D8" s="670" t="s">
        <v>2255</v>
      </c>
      <c r="E8" s="670" t="s">
        <v>2256</v>
      </c>
      <c r="F8" s="238"/>
      <c r="G8" s="238"/>
      <c r="H8" s="238"/>
      <c r="I8" s="238"/>
      <c r="J8" s="238"/>
      <c r="K8" s="238"/>
      <c r="L8" s="238"/>
      <c r="M8" s="238"/>
      <c r="N8" s="238">
        <v>1</v>
      </c>
      <c r="O8" s="238">
        <v>232</v>
      </c>
      <c r="P8" s="681"/>
      <c r="Q8" s="712">
        <v>232</v>
      </c>
    </row>
    <row r="9" spans="1:17" ht="14.4" customHeight="1" x14ac:dyDescent="0.3">
      <c r="A9" s="679" t="s">
        <v>2300</v>
      </c>
      <c r="B9" s="670" t="s">
        <v>2230</v>
      </c>
      <c r="C9" s="670" t="s">
        <v>2234</v>
      </c>
      <c r="D9" s="670" t="s">
        <v>2243</v>
      </c>
      <c r="E9" s="670" t="s">
        <v>2244</v>
      </c>
      <c r="F9" s="238">
        <v>3</v>
      </c>
      <c r="G9" s="238">
        <v>513</v>
      </c>
      <c r="H9" s="238">
        <v>1</v>
      </c>
      <c r="I9" s="238">
        <v>171</v>
      </c>
      <c r="J9" s="238">
        <v>1</v>
      </c>
      <c r="K9" s="238">
        <v>116</v>
      </c>
      <c r="L9" s="238">
        <v>0.22612085769980506</v>
      </c>
      <c r="M9" s="238">
        <v>116</v>
      </c>
      <c r="N9" s="238">
        <v>2</v>
      </c>
      <c r="O9" s="238">
        <v>232</v>
      </c>
      <c r="P9" s="681">
        <v>0.45224171539961011</v>
      </c>
      <c r="Q9" s="712">
        <v>116</v>
      </c>
    </row>
    <row r="10" spans="1:17" ht="14.4" customHeight="1" x14ac:dyDescent="0.3">
      <c r="A10" s="679" t="s">
        <v>2300</v>
      </c>
      <c r="B10" s="670" t="s">
        <v>2230</v>
      </c>
      <c r="C10" s="670" t="s">
        <v>2234</v>
      </c>
      <c r="D10" s="670" t="s">
        <v>2255</v>
      </c>
      <c r="E10" s="670" t="s">
        <v>2256</v>
      </c>
      <c r="F10" s="238"/>
      <c r="G10" s="238"/>
      <c r="H10" s="238"/>
      <c r="I10" s="238"/>
      <c r="J10" s="238"/>
      <c r="K10" s="238"/>
      <c r="L10" s="238"/>
      <c r="M10" s="238"/>
      <c r="N10" s="238">
        <v>1</v>
      </c>
      <c r="O10" s="238">
        <v>232</v>
      </c>
      <c r="P10" s="681"/>
      <c r="Q10" s="712">
        <v>232</v>
      </c>
    </row>
    <row r="11" spans="1:17" ht="14.4" customHeight="1" x14ac:dyDescent="0.3">
      <c r="A11" s="679" t="s">
        <v>2301</v>
      </c>
      <c r="B11" s="670" t="s">
        <v>2230</v>
      </c>
      <c r="C11" s="670" t="s">
        <v>2234</v>
      </c>
      <c r="D11" s="670" t="s">
        <v>2243</v>
      </c>
      <c r="E11" s="670" t="s">
        <v>2244</v>
      </c>
      <c r="F11" s="238">
        <v>7</v>
      </c>
      <c r="G11" s="238">
        <v>1197</v>
      </c>
      <c r="H11" s="238">
        <v>1</v>
      </c>
      <c r="I11" s="238">
        <v>171</v>
      </c>
      <c r="J11" s="238">
        <v>7</v>
      </c>
      <c r="K11" s="238">
        <v>812</v>
      </c>
      <c r="L11" s="238">
        <v>0.67836257309941517</v>
      </c>
      <c r="M11" s="238">
        <v>116</v>
      </c>
      <c r="N11" s="238">
        <v>2</v>
      </c>
      <c r="O11" s="238">
        <v>232</v>
      </c>
      <c r="P11" s="681">
        <v>0.19381787802840433</v>
      </c>
      <c r="Q11" s="712">
        <v>116</v>
      </c>
    </row>
    <row r="12" spans="1:17" ht="14.4" customHeight="1" x14ac:dyDescent="0.3">
      <c r="A12" s="679" t="s">
        <v>2301</v>
      </c>
      <c r="B12" s="670" t="s">
        <v>2230</v>
      </c>
      <c r="C12" s="670" t="s">
        <v>2234</v>
      </c>
      <c r="D12" s="670" t="s">
        <v>2253</v>
      </c>
      <c r="E12" s="670" t="s">
        <v>2254</v>
      </c>
      <c r="F12" s="238"/>
      <c r="G12" s="238"/>
      <c r="H12" s="238"/>
      <c r="I12" s="238"/>
      <c r="J12" s="238"/>
      <c r="K12" s="238"/>
      <c r="L12" s="238"/>
      <c r="M12" s="238"/>
      <c r="N12" s="238">
        <v>1</v>
      </c>
      <c r="O12" s="238">
        <v>0</v>
      </c>
      <c r="P12" s="681"/>
      <c r="Q12" s="712">
        <v>0</v>
      </c>
    </row>
    <row r="13" spans="1:17" ht="14.4" customHeight="1" x14ac:dyDescent="0.3">
      <c r="A13" s="679" t="s">
        <v>2301</v>
      </c>
      <c r="B13" s="670" t="s">
        <v>2230</v>
      </c>
      <c r="C13" s="670" t="s">
        <v>2234</v>
      </c>
      <c r="D13" s="670" t="s">
        <v>2255</v>
      </c>
      <c r="E13" s="670" t="s">
        <v>2256</v>
      </c>
      <c r="F13" s="238">
        <v>4</v>
      </c>
      <c r="G13" s="238">
        <v>1368</v>
      </c>
      <c r="H13" s="238">
        <v>1</v>
      </c>
      <c r="I13" s="238">
        <v>342</v>
      </c>
      <c r="J13" s="238"/>
      <c r="K13" s="238"/>
      <c r="L13" s="238"/>
      <c r="M13" s="238"/>
      <c r="N13" s="238">
        <v>7</v>
      </c>
      <c r="O13" s="238">
        <v>1624</v>
      </c>
      <c r="P13" s="681">
        <v>1.1871345029239766</v>
      </c>
      <c r="Q13" s="712">
        <v>232</v>
      </c>
    </row>
    <row r="14" spans="1:17" ht="14.4" customHeight="1" x14ac:dyDescent="0.3">
      <c r="A14" s="679" t="s">
        <v>2302</v>
      </c>
      <c r="B14" s="670" t="s">
        <v>2230</v>
      </c>
      <c r="C14" s="670" t="s">
        <v>2234</v>
      </c>
      <c r="D14" s="670" t="s">
        <v>2243</v>
      </c>
      <c r="E14" s="670" t="s">
        <v>2244</v>
      </c>
      <c r="F14" s="238"/>
      <c r="G14" s="238"/>
      <c r="H14" s="238"/>
      <c r="I14" s="238"/>
      <c r="J14" s="238">
        <v>1</v>
      </c>
      <c r="K14" s="238">
        <v>116</v>
      </c>
      <c r="L14" s="238"/>
      <c r="M14" s="238">
        <v>116</v>
      </c>
      <c r="N14" s="238"/>
      <c r="O14" s="238"/>
      <c r="P14" s="681"/>
      <c r="Q14" s="712"/>
    </row>
    <row r="15" spans="1:17" ht="14.4" customHeight="1" x14ac:dyDescent="0.3">
      <c r="A15" s="679" t="s">
        <v>2302</v>
      </c>
      <c r="B15" s="670" t="s">
        <v>2230</v>
      </c>
      <c r="C15" s="670" t="s">
        <v>2234</v>
      </c>
      <c r="D15" s="670" t="s">
        <v>2255</v>
      </c>
      <c r="E15" s="670" t="s">
        <v>2256</v>
      </c>
      <c r="F15" s="238"/>
      <c r="G15" s="238"/>
      <c r="H15" s="238"/>
      <c r="I15" s="238"/>
      <c r="J15" s="238"/>
      <c r="K15" s="238"/>
      <c r="L15" s="238"/>
      <c r="M15" s="238"/>
      <c r="N15" s="238">
        <v>1</v>
      </c>
      <c r="O15" s="238">
        <v>232</v>
      </c>
      <c r="P15" s="681"/>
      <c r="Q15" s="712">
        <v>232</v>
      </c>
    </row>
    <row r="16" spans="1:17" ht="14.4" customHeight="1" x14ac:dyDescent="0.3">
      <c r="A16" s="679" t="s">
        <v>507</v>
      </c>
      <c r="B16" s="670" t="s">
        <v>2230</v>
      </c>
      <c r="C16" s="670" t="s">
        <v>2234</v>
      </c>
      <c r="D16" s="670" t="s">
        <v>2272</v>
      </c>
      <c r="E16" s="670" t="s">
        <v>2273</v>
      </c>
      <c r="F16" s="238"/>
      <c r="G16" s="238"/>
      <c r="H16" s="238"/>
      <c r="I16" s="238"/>
      <c r="J16" s="238"/>
      <c r="K16" s="238"/>
      <c r="L16" s="238"/>
      <c r="M16" s="238"/>
      <c r="N16" s="238">
        <v>18</v>
      </c>
      <c r="O16" s="238">
        <v>90</v>
      </c>
      <c r="P16" s="681"/>
      <c r="Q16" s="712">
        <v>5</v>
      </c>
    </row>
    <row r="17" spans="1:17" ht="14.4" customHeight="1" x14ac:dyDescent="0.3">
      <c r="A17" s="679" t="s">
        <v>507</v>
      </c>
      <c r="B17" s="670" t="s">
        <v>2230</v>
      </c>
      <c r="C17" s="670" t="s">
        <v>2234</v>
      </c>
      <c r="D17" s="670" t="s">
        <v>2243</v>
      </c>
      <c r="E17" s="670" t="s">
        <v>2244</v>
      </c>
      <c r="F17" s="238"/>
      <c r="G17" s="238"/>
      <c r="H17" s="238"/>
      <c r="I17" s="238"/>
      <c r="J17" s="238">
        <v>3</v>
      </c>
      <c r="K17" s="238">
        <v>348</v>
      </c>
      <c r="L17" s="238"/>
      <c r="M17" s="238">
        <v>116</v>
      </c>
      <c r="N17" s="238">
        <v>1</v>
      </c>
      <c r="O17" s="238">
        <v>116</v>
      </c>
      <c r="P17" s="681"/>
      <c r="Q17" s="712">
        <v>116</v>
      </c>
    </row>
    <row r="18" spans="1:17" ht="14.4" customHeight="1" x14ac:dyDescent="0.3">
      <c r="A18" s="679" t="s">
        <v>507</v>
      </c>
      <c r="B18" s="670" t="s">
        <v>2230</v>
      </c>
      <c r="C18" s="670" t="s">
        <v>2234</v>
      </c>
      <c r="D18" s="670" t="s">
        <v>2253</v>
      </c>
      <c r="E18" s="670" t="s">
        <v>2254</v>
      </c>
      <c r="F18" s="238"/>
      <c r="G18" s="238"/>
      <c r="H18" s="238"/>
      <c r="I18" s="238"/>
      <c r="J18" s="238"/>
      <c r="K18" s="238"/>
      <c r="L18" s="238"/>
      <c r="M18" s="238"/>
      <c r="N18" s="238">
        <v>6</v>
      </c>
      <c r="O18" s="238">
        <v>0</v>
      </c>
      <c r="P18" s="681"/>
      <c r="Q18" s="712">
        <v>0</v>
      </c>
    </row>
    <row r="19" spans="1:17" ht="14.4" customHeight="1" x14ac:dyDescent="0.3">
      <c r="A19" s="679" t="s">
        <v>507</v>
      </c>
      <c r="B19" s="670" t="s">
        <v>2230</v>
      </c>
      <c r="C19" s="670" t="s">
        <v>2234</v>
      </c>
      <c r="D19" s="670" t="s">
        <v>2255</v>
      </c>
      <c r="E19" s="670" t="s">
        <v>2256</v>
      </c>
      <c r="F19" s="238"/>
      <c r="G19" s="238"/>
      <c r="H19" s="238"/>
      <c r="I19" s="238"/>
      <c r="J19" s="238"/>
      <c r="K19" s="238"/>
      <c r="L19" s="238"/>
      <c r="M19" s="238"/>
      <c r="N19" s="238">
        <v>3</v>
      </c>
      <c r="O19" s="238">
        <v>696</v>
      </c>
      <c r="P19" s="681"/>
      <c r="Q19" s="712">
        <v>232</v>
      </c>
    </row>
    <row r="20" spans="1:17" ht="14.4" customHeight="1" x14ac:dyDescent="0.3">
      <c r="A20" s="679" t="s">
        <v>507</v>
      </c>
      <c r="B20" s="670" t="s">
        <v>2303</v>
      </c>
      <c r="C20" s="670" t="s">
        <v>2234</v>
      </c>
      <c r="D20" s="670" t="s">
        <v>2304</v>
      </c>
      <c r="E20" s="670" t="s">
        <v>2305</v>
      </c>
      <c r="F20" s="238"/>
      <c r="G20" s="238"/>
      <c r="H20" s="238"/>
      <c r="I20" s="238"/>
      <c r="J20" s="238"/>
      <c r="K20" s="238"/>
      <c r="L20" s="238"/>
      <c r="M20" s="238"/>
      <c r="N20" s="238">
        <v>1</v>
      </c>
      <c r="O20" s="238">
        <v>6794</v>
      </c>
      <c r="P20" s="681"/>
      <c r="Q20" s="712">
        <v>6794</v>
      </c>
    </row>
    <row r="21" spans="1:17" ht="14.4" customHeight="1" x14ac:dyDescent="0.3">
      <c r="A21" s="679" t="s">
        <v>507</v>
      </c>
      <c r="B21" s="670" t="s">
        <v>2303</v>
      </c>
      <c r="C21" s="670" t="s">
        <v>2234</v>
      </c>
      <c r="D21" s="670" t="s">
        <v>2306</v>
      </c>
      <c r="E21" s="670" t="s">
        <v>2307</v>
      </c>
      <c r="F21" s="238"/>
      <c r="G21" s="238"/>
      <c r="H21" s="238"/>
      <c r="I21" s="238"/>
      <c r="J21" s="238">
        <v>1</v>
      </c>
      <c r="K21" s="238">
        <v>4527</v>
      </c>
      <c r="L21" s="238"/>
      <c r="M21" s="238">
        <v>4527</v>
      </c>
      <c r="N21" s="238">
        <v>1</v>
      </c>
      <c r="O21" s="238">
        <v>4527</v>
      </c>
      <c r="P21" s="681"/>
      <c r="Q21" s="712">
        <v>4527</v>
      </c>
    </row>
    <row r="22" spans="1:17" ht="14.4" customHeight="1" x14ac:dyDescent="0.3">
      <c r="A22" s="679" t="s">
        <v>507</v>
      </c>
      <c r="B22" s="670" t="s">
        <v>2303</v>
      </c>
      <c r="C22" s="670" t="s">
        <v>2234</v>
      </c>
      <c r="D22" s="670" t="s">
        <v>2308</v>
      </c>
      <c r="E22" s="670" t="s">
        <v>2309</v>
      </c>
      <c r="F22" s="238"/>
      <c r="G22" s="238"/>
      <c r="H22" s="238"/>
      <c r="I22" s="238"/>
      <c r="J22" s="238">
        <v>1</v>
      </c>
      <c r="K22" s="238">
        <v>9046</v>
      </c>
      <c r="L22" s="238"/>
      <c r="M22" s="238">
        <v>9046</v>
      </c>
      <c r="N22" s="238"/>
      <c r="O22" s="238"/>
      <c r="P22" s="681"/>
      <c r="Q22" s="712"/>
    </row>
    <row r="23" spans="1:17" ht="14.4" customHeight="1" x14ac:dyDescent="0.3">
      <c r="A23" s="679" t="s">
        <v>507</v>
      </c>
      <c r="B23" s="670" t="s">
        <v>2310</v>
      </c>
      <c r="C23" s="670" t="s">
        <v>2231</v>
      </c>
      <c r="D23" s="670" t="s">
        <v>2311</v>
      </c>
      <c r="E23" s="670" t="s">
        <v>1039</v>
      </c>
      <c r="F23" s="238"/>
      <c r="G23" s="238"/>
      <c r="H23" s="238"/>
      <c r="I23" s="238"/>
      <c r="J23" s="238">
        <v>4</v>
      </c>
      <c r="K23" s="238">
        <v>331.68</v>
      </c>
      <c r="L23" s="238"/>
      <c r="M23" s="238">
        <v>82.92</v>
      </c>
      <c r="N23" s="238"/>
      <c r="O23" s="238"/>
      <c r="P23" s="681"/>
      <c r="Q23" s="712"/>
    </row>
    <row r="24" spans="1:17" ht="14.4" customHeight="1" x14ac:dyDescent="0.3">
      <c r="A24" s="679" t="s">
        <v>507</v>
      </c>
      <c r="B24" s="670" t="s">
        <v>2310</v>
      </c>
      <c r="C24" s="670" t="s">
        <v>2231</v>
      </c>
      <c r="D24" s="670" t="s">
        <v>2312</v>
      </c>
      <c r="E24" s="670" t="s">
        <v>1039</v>
      </c>
      <c r="F24" s="238">
        <v>3</v>
      </c>
      <c r="G24" s="238">
        <v>418.29</v>
      </c>
      <c r="H24" s="238">
        <v>1</v>
      </c>
      <c r="I24" s="238">
        <v>139.43</v>
      </c>
      <c r="J24" s="238">
        <v>5</v>
      </c>
      <c r="K24" s="238">
        <v>695.75</v>
      </c>
      <c r="L24" s="238">
        <v>1.6633197064237728</v>
      </c>
      <c r="M24" s="238">
        <v>139.15</v>
      </c>
      <c r="N24" s="238">
        <v>12</v>
      </c>
      <c r="O24" s="238">
        <v>1415.52</v>
      </c>
      <c r="P24" s="681">
        <v>3.3840636878720503</v>
      </c>
      <c r="Q24" s="712">
        <v>117.96</v>
      </c>
    </row>
    <row r="25" spans="1:17" ht="14.4" customHeight="1" x14ac:dyDescent="0.3">
      <c r="A25" s="679" t="s">
        <v>507</v>
      </c>
      <c r="B25" s="670" t="s">
        <v>2310</v>
      </c>
      <c r="C25" s="670" t="s">
        <v>2231</v>
      </c>
      <c r="D25" s="670" t="s">
        <v>2313</v>
      </c>
      <c r="E25" s="670" t="s">
        <v>1039</v>
      </c>
      <c r="F25" s="238"/>
      <c r="G25" s="238"/>
      <c r="H25" s="238"/>
      <c r="I25" s="238"/>
      <c r="J25" s="238">
        <v>7</v>
      </c>
      <c r="K25" s="238">
        <v>1291.6499999999999</v>
      </c>
      <c r="L25" s="238"/>
      <c r="M25" s="238">
        <v>184.52142857142854</v>
      </c>
      <c r="N25" s="238">
        <v>26</v>
      </c>
      <c r="O25" s="238">
        <v>2069.34</v>
      </c>
      <c r="P25" s="681"/>
      <c r="Q25" s="712">
        <v>79.59</v>
      </c>
    </row>
    <row r="26" spans="1:17" ht="14.4" customHeight="1" x14ac:dyDescent="0.3">
      <c r="A26" s="679" t="s">
        <v>507</v>
      </c>
      <c r="B26" s="670" t="s">
        <v>2310</v>
      </c>
      <c r="C26" s="670" t="s">
        <v>2231</v>
      </c>
      <c r="D26" s="670" t="s">
        <v>2314</v>
      </c>
      <c r="E26" s="670" t="s">
        <v>2227</v>
      </c>
      <c r="F26" s="238">
        <v>3</v>
      </c>
      <c r="G26" s="238">
        <v>204.63</v>
      </c>
      <c r="H26" s="238">
        <v>1</v>
      </c>
      <c r="I26" s="238">
        <v>68.209999999999994</v>
      </c>
      <c r="J26" s="238"/>
      <c r="K26" s="238"/>
      <c r="L26" s="238"/>
      <c r="M26" s="238"/>
      <c r="N26" s="238"/>
      <c r="O26" s="238"/>
      <c r="P26" s="681"/>
      <c r="Q26" s="712"/>
    </row>
    <row r="27" spans="1:17" ht="14.4" customHeight="1" x14ac:dyDescent="0.3">
      <c r="A27" s="679" t="s">
        <v>507</v>
      </c>
      <c r="B27" s="670" t="s">
        <v>2310</v>
      </c>
      <c r="C27" s="670" t="s">
        <v>2231</v>
      </c>
      <c r="D27" s="670" t="s">
        <v>2315</v>
      </c>
      <c r="E27" s="670" t="s">
        <v>820</v>
      </c>
      <c r="F27" s="238">
        <v>12</v>
      </c>
      <c r="G27" s="238">
        <v>1335.24</v>
      </c>
      <c r="H27" s="238">
        <v>1</v>
      </c>
      <c r="I27" s="238">
        <v>111.27</v>
      </c>
      <c r="J27" s="238">
        <v>4</v>
      </c>
      <c r="K27" s="238">
        <v>278.88</v>
      </c>
      <c r="L27" s="238">
        <v>0.20886132830053022</v>
      </c>
      <c r="M27" s="238">
        <v>69.72</v>
      </c>
      <c r="N27" s="238">
        <v>30</v>
      </c>
      <c r="O27" s="238">
        <v>1831.5</v>
      </c>
      <c r="P27" s="681">
        <v>1.3716635211647343</v>
      </c>
      <c r="Q27" s="712">
        <v>61.05</v>
      </c>
    </row>
    <row r="28" spans="1:17" ht="14.4" customHeight="1" x14ac:dyDescent="0.3">
      <c r="A28" s="679" t="s">
        <v>507</v>
      </c>
      <c r="B28" s="670" t="s">
        <v>2310</v>
      </c>
      <c r="C28" s="670" t="s">
        <v>2231</v>
      </c>
      <c r="D28" s="670" t="s">
        <v>2316</v>
      </c>
      <c r="E28" s="670" t="s">
        <v>2317</v>
      </c>
      <c r="F28" s="238"/>
      <c r="G28" s="238"/>
      <c r="H28" s="238"/>
      <c r="I28" s="238"/>
      <c r="J28" s="238"/>
      <c r="K28" s="238"/>
      <c r="L28" s="238"/>
      <c r="M28" s="238"/>
      <c r="N28" s="238">
        <v>0.3</v>
      </c>
      <c r="O28" s="238">
        <v>242.88</v>
      </c>
      <c r="P28" s="681"/>
      <c r="Q28" s="712">
        <v>809.6</v>
      </c>
    </row>
    <row r="29" spans="1:17" ht="14.4" customHeight="1" x14ac:dyDescent="0.3">
      <c r="A29" s="679" t="s">
        <v>507</v>
      </c>
      <c r="B29" s="670" t="s">
        <v>2310</v>
      </c>
      <c r="C29" s="670" t="s">
        <v>2231</v>
      </c>
      <c r="D29" s="670" t="s">
        <v>2318</v>
      </c>
      <c r="E29" s="670" t="s">
        <v>952</v>
      </c>
      <c r="F29" s="238"/>
      <c r="G29" s="238"/>
      <c r="H29" s="238"/>
      <c r="I29" s="238"/>
      <c r="J29" s="238">
        <v>0.2</v>
      </c>
      <c r="K29" s="238">
        <v>32.53</v>
      </c>
      <c r="L29" s="238"/>
      <c r="M29" s="238">
        <v>162.65</v>
      </c>
      <c r="N29" s="238"/>
      <c r="O29" s="238"/>
      <c r="P29" s="681"/>
      <c r="Q29" s="712"/>
    </row>
    <row r="30" spans="1:17" ht="14.4" customHeight="1" x14ac:dyDescent="0.3">
      <c r="A30" s="679" t="s">
        <v>507</v>
      </c>
      <c r="B30" s="670" t="s">
        <v>2310</v>
      </c>
      <c r="C30" s="670" t="s">
        <v>2231</v>
      </c>
      <c r="D30" s="670" t="s">
        <v>2319</v>
      </c>
      <c r="E30" s="670" t="s">
        <v>2320</v>
      </c>
      <c r="F30" s="238"/>
      <c r="G30" s="238"/>
      <c r="H30" s="238"/>
      <c r="I30" s="238"/>
      <c r="J30" s="238"/>
      <c r="K30" s="238"/>
      <c r="L30" s="238"/>
      <c r="M30" s="238"/>
      <c r="N30" s="238">
        <v>5</v>
      </c>
      <c r="O30" s="238">
        <v>201.8</v>
      </c>
      <c r="P30" s="681"/>
      <c r="Q30" s="712">
        <v>40.36</v>
      </c>
    </row>
    <row r="31" spans="1:17" ht="14.4" customHeight="1" x14ac:dyDescent="0.3">
      <c r="A31" s="679" t="s">
        <v>507</v>
      </c>
      <c r="B31" s="670" t="s">
        <v>2310</v>
      </c>
      <c r="C31" s="670" t="s">
        <v>2231</v>
      </c>
      <c r="D31" s="670" t="s">
        <v>2321</v>
      </c>
      <c r="E31" s="670" t="s">
        <v>2322</v>
      </c>
      <c r="F31" s="238"/>
      <c r="G31" s="238"/>
      <c r="H31" s="238"/>
      <c r="I31" s="238"/>
      <c r="J31" s="238"/>
      <c r="K31" s="238"/>
      <c r="L31" s="238"/>
      <c r="M31" s="238"/>
      <c r="N31" s="238">
        <v>0.2</v>
      </c>
      <c r="O31" s="238">
        <v>80.84</v>
      </c>
      <c r="P31" s="681"/>
      <c r="Q31" s="712">
        <v>404.2</v>
      </c>
    </row>
    <row r="32" spans="1:17" ht="14.4" customHeight="1" x14ac:dyDescent="0.3">
      <c r="A32" s="679" t="s">
        <v>507</v>
      </c>
      <c r="B32" s="670" t="s">
        <v>2310</v>
      </c>
      <c r="C32" s="670" t="s">
        <v>2231</v>
      </c>
      <c r="D32" s="670" t="s">
        <v>2323</v>
      </c>
      <c r="E32" s="670" t="s">
        <v>1530</v>
      </c>
      <c r="F32" s="238"/>
      <c r="G32" s="238"/>
      <c r="H32" s="238"/>
      <c r="I32" s="238"/>
      <c r="J32" s="238"/>
      <c r="K32" s="238"/>
      <c r="L32" s="238"/>
      <c r="M32" s="238"/>
      <c r="N32" s="238">
        <v>2</v>
      </c>
      <c r="O32" s="238">
        <v>95</v>
      </c>
      <c r="P32" s="681"/>
      <c r="Q32" s="712">
        <v>47.5</v>
      </c>
    </row>
    <row r="33" spans="1:17" ht="14.4" customHeight="1" x14ac:dyDescent="0.3">
      <c r="A33" s="679" t="s">
        <v>507</v>
      </c>
      <c r="B33" s="670" t="s">
        <v>2310</v>
      </c>
      <c r="C33" s="670" t="s">
        <v>2231</v>
      </c>
      <c r="D33" s="670" t="s">
        <v>2324</v>
      </c>
      <c r="E33" s="670" t="s">
        <v>1035</v>
      </c>
      <c r="F33" s="238"/>
      <c r="G33" s="238"/>
      <c r="H33" s="238"/>
      <c r="I33" s="238"/>
      <c r="J33" s="238"/>
      <c r="K33" s="238"/>
      <c r="L33" s="238"/>
      <c r="M33" s="238"/>
      <c r="N33" s="238">
        <v>4</v>
      </c>
      <c r="O33" s="238">
        <v>322.92</v>
      </c>
      <c r="P33" s="681"/>
      <c r="Q33" s="712">
        <v>80.73</v>
      </c>
    </row>
    <row r="34" spans="1:17" ht="14.4" customHeight="1" x14ac:dyDescent="0.3">
      <c r="A34" s="679" t="s">
        <v>507</v>
      </c>
      <c r="B34" s="670" t="s">
        <v>2310</v>
      </c>
      <c r="C34" s="670" t="s">
        <v>2231</v>
      </c>
      <c r="D34" s="670" t="s">
        <v>2325</v>
      </c>
      <c r="E34" s="670" t="s">
        <v>1501</v>
      </c>
      <c r="F34" s="238">
        <v>1</v>
      </c>
      <c r="G34" s="238">
        <v>594.21</v>
      </c>
      <c r="H34" s="238">
        <v>1</v>
      </c>
      <c r="I34" s="238">
        <v>594.21</v>
      </c>
      <c r="J34" s="238">
        <v>3.2</v>
      </c>
      <c r="K34" s="238">
        <v>1215.1999999999998</v>
      </c>
      <c r="L34" s="238">
        <v>2.0450682418673529</v>
      </c>
      <c r="M34" s="238">
        <v>379.74999999999994</v>
      </c>
      <c r="N34" s="238">
        <v>39.4</v>
      </c>
      <c r="O34" s="238">
        <v>14962.51</v>
      </c>
      <c r="P34" s="681">
        <v>25.180508574409718</v>
      </c>
      <c r="Q34" s="712">
        <v>379.75913705583758</v>
      </c>
    </row>
    <row r="35" spans="1:17" ht="14.4" customHeight="1" x14ac:dyDescent="0.3">
      <c r="A35" s="679" t="s">
        <v>507</v>
      </c>
      <c r="B35" s="670" t="s">
        <v>2310</v>
      </c>
      <c r="C35" s="670" t="s">
        <v>2231</v>
      </c>
      <c r="D35" s="670" t="s">
        <v>2326</v>
      </c>
      <c r="E35" s="670" t="s">
        <v>1482</v>
      </c>
      <c r="F35" s="238">
        <v>167</v>
      </c>
      <c r="G35" s="238">
        <v>14208.189999999999</v>
      </c>
      <c r="H35" s="238">
        <v>1</v>
      </c>
      <c r="I35" s="238">
        <v>85.078982035928135</v>
      </c>
      <c r="J35" s="238">
        <v>221</v>
      </c>
      <c r="K35" s="238">
        <v>9049.9499999999989</v>
      </c>
      <c r="L35" s="238">
        <v>0.6369530531334392</v>
      </c>
      <c r="M35" s="238">
        <v>40.949999999999996</v>
      </c>
      <c r="N35" s="238">
        <v>207</v>
      </c>
      <c r="O35" s="238">
        <v>12169.59</v>
      </c>
      <c r="P35" s="681">
        <v>0.85651937368517739</v>
      </c>
      <c r="Q35" s="712">
        <v>58.790289855072466</v>
      </c>
    </row>
    <row r="36" spans="1:17" ht="14.4" customHeight="1" x14ac:dyDescent="0.3">
      <c r="A36" s="679" t="s">
        <v>507</v>
      </c>
      <c r="B36" s="670" t="s">
        <v>2310</v>
      </c>
      <c r="C36" s="670" t="s">
        <v>2231</v>
      </c>
      <c r="D36" s="670" t="s">
        <v>2327</v>
      </c>
      <c r="E36" s="670" t="s">
        <v>2328</v>
      </c>
      <c r="F36" s="238">
        <v>4</v>
      </c>
      <c r="G36" s="238">
        <v>1254.72</v>
      </c>
      <c r="H36" s="238">
        <v>1</v>
      </c>
      <c r="I36" s="238">
        <v>313.68</v>
      </c>
      <c r="J36" s="238"/>
      <c r="K36" s="238"/>
      <c r="L36" s="238"/>
      <c r="M36" s="238"/>
      <c r="N36" s="238"/>
      <c r="O36" s="238"/>
      <c r="P36" s="681"/>
      <c r="Q36" s="712"/>
    </row>
    <row r="37" spans="1:17" ht="14.4" customHeight="1" x14ac:dyDescent="0.3">
      <c r="A37" s="679" t="s">
        <v>507</v>
      </c>
      <c r="B37" s="670" t="s">
        <v>2310</v>
      </c>
      <c r="C37" s="670" t="s">
        <v>2231</v>
      </c>
      <c r="D37" s="670" t="s">
        <v>2329</v>
      </c>
      <c r="E37" s="670" t="s">
        <v>2330</v>
      </c>
      <c r="F37" s="238">
        <v>0.6</v>
      </c>
      <c r="G37" s="238">
        <v>53.38</v>
      </c>
      <c r="H37" s="238">
        <v>1</v>
      </c>
      <c r="I37" s="238">
        <v>88.966666666666669</v>
      </c>
      <c r="J37" s="238">
        <v>0.2</v>
      </c>
      <c r="K37" s="238">
        <v>19.39</v>
      </c>
      <c r="L37" s="238">
        <v>0.3632446609216935</v>
      </c>
      <c r="M37" s="238">
        <v>96.95</v>
      </c>
      <c r="N37" s="238">
        <v>3.6</v>
      </c>
      <c r="O37" s="238">
        <v>349.08</v>
      </c>
      <c r="P37" s="681">
        <v>6.539527913076058</v>
      </c>
      <c r="Q37" s="712">
        <v>96.966666666666654</v>
      </c>
    </row>
    <row r="38" spans="1:17" ht="14.4" customHeight="1" x14ac:dyDescent="0.3">
      <c r="A38" s="679" t="s">
        <v>507</v>
      </c>
      <c r="B38" s="670" t="s">
        <v>2310</v>
      </c>
      <c r="C38" s="670" t="s">
        <v>2231</v>
      </c>
      <c r="D38" s="670" t="s">
        <v>2331</v>
      </c>
      <c r="E38" s="670" t="s">
        <v>2332</v>
      </c>
      <c r="F38" s="238"/>
      <c r="G38" s="238"/>
      <c r="H38" s="238"/>
      <c r="I38" s="238"/>
      <c r="J38" s="238"/>
      <c r="K38" s="238"/>
      <c r="L38" s="238"/>
      <c r="M38" s="238"/>
      <c r="N38" s="238">
        <v>0.57999999999999996</v>
      </c>
      <c r="O38" s="238">
        <v>2104.2600000000002</v>
      </c>
      <c r="P38" s="681"/>
      <c r="Q38" s="712">
        <v>3628.0344827586214</v>
      </c>
    </row>
    <row r="39" spans="1:17" ht="14.4" customHeight="1" x14ac:dyDescent="0.3">
      <c r="A39" s="679" t="s">
        <v>507</v>
      </c>
      <c r="B39" s="670" t="s">
        <v>2310</v>
      </c>
      <c r="C39" s="670" t="s">
        <v>2231</v>
      </c>
      <c r="D39" s="670" t="s">
        <v>2333</v>
      </c>
      <c r="E39" s="670" t="s">
        <v>2227</v>
      </c>
      <c r="F39" s="238">
        <v>0.1</v>
      </c>
      <c r="G39" s="238">
        <v>31.36</v>
      </c>
      <c r="H39" s="238">
        <v>1</v>
      </c>
      <c r="I39" s="238">
        <v>313.59999999999997</v>
      </c>
      <c r="J39" s="238"/>
      <c r="K39" s="238"/>
      <c r="L39" s="238"/>
      <c r="M39" s="238"/>
      <c r="N39" s="238"/>
      <c r="O39" s="238"/>
      <c r="P39" s="681"/>
      <c r="Q39" s="712"/>
    </row>
    <row r="40" spans="1:17" ht="14.4" customHeight="1" x14ac:dyDescent="0.3">
      <c r="A40" s="679" t="s">
        <v>507</v>
      </c>
      <c r="B40" s="670" t="s">
        <v>2310</v>
      </c>
      <c r="C40" s="670" t="s">
        <v>2334</v>
      </c>
      <c r="D40" s="670" t="s">
        <v>2335</v>
      </c>
      <c r="E40" s="670" t="s">
        <v>2336</v>
      </c>
      <c r="F40" s="238">
        <v>8</v>
      </c>
      <c r="G40" s="238">
        <v>14257.279999999999</v>
      </c>
      <c r="H40" s="238">
        <v>1</v>
      </c>
      <c r="I40" s="238">
        <v>1782.1599999999999</v>
      </c>
      <c r="J40" s="238">
        <v>13</v>
      </c>
      <c r="K40" s="238">
        <v>23952.14</v>
      </c>
      <c r="L40" s="238">
        <v>1.6799936593796294</v>
      </c>
      <c r="M40" s="238">
        <v>1842.4723076923076</v>
      </c>
      <c r="N40" s="238">
        <v>14</v>
      </c>
      <c r="O40" s="238">
        <v>26118.12</v>
      </c>
      <c r="P40" s="681">
        <v>1.8319146429052386</v>
      </c>
      <c r="Q40" s="712">
        <v>1865.58</v>
      </c>
    </row>
    <row r="41" spans="1:17" ht="14.4" customHeight="1" x14ac:dyDescent="0.3">
      <c r="A41" s="679" t="s">
        <v>507</v>
      </c>
      <c r="B41" s="670" t="s">
        <v>2310</v>
      </c>
      <c r="C41" s="670" t="s">
        <v>2334</v>
      </c>
      <c r="D41" s="670" t="s">
        <v>2337</v>
      </c>
      <c r="E41" s="670" t="s">
        <v>2338</v>
      </c>
      <c r="F41" s="238"/>
      <c r="G41" s="238"/>
      <c r="H41" s="238"/>
      <c r="I41" s="238"/>
      <c r="J41" s="238"/>
      <c r="K41" s="238"/>
      <c r="L41" s="238"/>
      <c r="M41" s="238"/>
      <c r="N41" s="238">
        <v>1</v>
      </c>
      <c r="O41" s="238">
        <v>2728.71</v>
      </c>
      <c r="P41" s="681"/>
      <c r="Q41" s="712">
        <v>2728.71</v>
      </c>
    </row>
    <row r="42" spans="1:17" ht="14.4" customHeight="1" x14ac:dyDescent="0.3">
      <c r="A42" s="679" t="s">
        <v>507</v>
      </c>
      <c r="B42" s="670" t="s">
        <v>2310</v>
      </c>
      <c r="C42" s="670" t="s">
        <v>2334</v>
      </c>
      <c r="D42" s="670" t="s">
        <v>2339</v>
      </c>
      <c r="E42" s="670" t="s">
        <v>2340</v>
      </c>
      <c r="F42" s="238">
        <v>6</v>
      </c>
      <c r="G42" s="238">
        <v>5158.32</v>
      </c>
      <c r="H42" s="238">
        <v>1</v>
      </c>
      <c r="I42" s="238">
        <v>859.71999999999991</v>
      </c>
      <c r="J42" s="238">
        <v>12</v>
      </c>
      <c r="K42" s="238">
        <v>10886.880000000001</v>
      </c>
      <c r="L42" s="238">
        <v>2.1105476201553999</v>
      </c>
      <c r="M42" s="238">
        <v>907.24000000000012</v>
      </c>
      <c r="N42" s="238">
        <v>9</v>
      </c>
      <c r="O42" s="238">
        <v>8330.1299999999992</v>
      </c>
      <c r="P42" s="681">
        <v>1.6148920578793096</v>
      </c>
      <c r="Q42" s="712">
        <v>925.56999999999994</v>
      </c>
    </row>
    <row r="43" spans="1:17" ht="14.4" customHeight="1" x14ac:dyDescent="0.3">
      <c r="A43" s="679" t="s">
        <v>507</v>
      </c>
      <c r="B43" s="670" t="s">
        <v>2310</v>
      </c>
      <c r="C43" s="670" t="s">
        <v>2341</v>
      </c>
      <c r="D43" s="670" t="s">
        <v>2342</v>
      </c>
      <c r="E43" s="670" t="s">
        <v>2343</v>
      </c>
      <c r="F43" s="238">
        <v>96</v>
      </c>
      <c r="G43" s="238">
        <v>65952</v>
      </c>
      <c r="H43" s="238">
        <v>1</v>
      </c>
      <c r="I43" s="238">
        <v>687</v>
      </c>
      <c r="J43" s="238">
        <v>97</v>
      </c>
      <c r="K43" s="238">
        <v>66639</v>
      </c>
      <c r="L43" s="238">
        <v>1.0104166666666667</v>
      </c>
      <c r="M43" s="238">
        <v>687</v>
      </c>
      <c r="N43" s="238">
        <v>76</v>
      </c>
      <c r="O43" s="238">
        <v>52212</v>
      </c>
      <c r="P43" s="681">
        <v>0.79166666666666663</v>
      </c>
      <c r="Q43" s="712">
        <v>687</v>
      </c>
    </row>
    <row r="44" spans="1:17" ht="14.4" customHeight="1" x14ac:dyDescent="0.3">
      <c r="A44" s="679" t="s">
        <v>507</v>
      </c>
      <c r="B44" s="670" t="s">
        <v>2310</v>
      </c>
      <c r="C44" s="670" t="s">
        <v>2341</v>
      </c>
      <c r="D44" s="670" t="s">
        <v>2344</v>
      </c>
      <c r="E44" s="670" t="s">
        <v>2345</v>
      </c>
      <c r="F44" s="238">
        <v>104</v>
      </c>
      <c r="G44" s="238">
        <v>23865.920000000006</v>
      </c>
      <c r="H44" s="238">
        <v>1</v>
      </c>
      <c r="I44" s="238">
        <v>229.48000000000005</v>
      </c>
      <c r="J44" s="238">
        <v>125</v>
      </c>
      <c r="K44" s="238">
        <v>30000</v>
      </c>
      <c r="L44" s="238">
        <v>1.2570225660691057</v>
      </c>
      <c r="M44" s="238">
        <v>240</v>
      </c>
      <c r="N44" s="238">
        <v>105</v>
      </c>
      <c r="O44" s="238">
        <v>25200</v>
      </c>
      <c r="P44" s="681">
        <v>1.0558989554980489</v>
      </c>
      <c r="Q44" s="712">
        <v>240</v>
      </c>
    </row>
    <row r="45" spans="1:17" ht="14.4" customHeight="1" x14ac:dyDescent="0.3">
      <c r="A45" s="679" t="s">
        <v>507</v>
      </c>
      <c r="B45" s="670" t="s">
        <v>2310</v>
      </c>
      <c r="C45" s="670" t="s">
        <v>2341</v>
      </c>
      <c r="D45" s="670" t="s">
        <v>2346</v>
      </c>
      <c r="E45" s="670" t="s">
        <v>2345</v>
      </c>
      <c r="F45" s="238">
        <v>8</v>
      </c>
      <c r="G45" s="238">
        <v>1886</v>
      </c>
      <c r="H45" s="238">
        <v>1</v>
      </c>
      <c r="I45" s="238">
        <v>235.75</v>
      </c>
      <c r="J45" s="238">
        <v>8</v>
      </c>
      <c r="K45" s="238">
        <v>1976</v>
      </c>
      <c r="L45" s="238">
        <v>1.0477200424178155</v>
      </c>
      <c r="M45" s="238">
        <v>247</v>
      </c>
      <c r="N45" s="238">
        <v>7</v>
      </c>
      <c r="O45" s="238">
        <v>1729</v>
      </c>
      <c r="P45" s="681">
        <v>0.91675503711558859</v>
      </c>
      <c r="Q45" s="712">
        <v>247</v>
      </c>
    </row>
    <row r="46" spans="1:17" ht="14.4" customHeight="1" x14ac:dyDescent="0.3">
      <c r="A46" s="679" t="s">
        <v>507</v>
      </c>
      <c r="B46" s="670" t="s">
        <v>2310</v>
      </c>
      <c r="C46" s="670" t="s">
        <v>2341</v>
      </c>
      <c r="D46" s="670" t="s">
        <v>2347</v>
      </c>
      <c r="E46" s="670" t="s">
        <v>2345</v>
      </c>
      <c r="F46" s="238">
        <v>5.7799999999999994</v>
      </c>
      <c r="G46" s="238">
        <v>6696</v>
      </c>
      <c r="H46" s="238">
        <v>1</v>
      </c>
      <c r="I46" s="238">
        <v>1158.4775086505192</v>
      </c>
      <c r="J46" s="238">
        <v>6.3900000000000006</v>
      </c>
      <c r="K46" s="238">
        <v>7767.8</v>
      </c>
      <c r="L46" s="238">
        <v>1.1600657108721626</v>
      </c>
      <c r="M46" s="238">
        <v>1215.6181533646322</v>
      </c>
      <c r="N46" s="238">
        <v>6.2299999999999986</v>
      </c>
      <c r="O46" s="238">
        <v>7568.3599999999988</v>
      </c>
      <c r="P46" s="681">
        <v>1.1302807646356032</v>
      </c>
      <c r="Q46" s="712">
        <v>1214.825040128411</v>
      </c>
    </row>
    <row r="47" spans="1:17" ht="14.4" customHeight="1" x14ac:dyDescent="0.3">
      <c r="A47" s="679" t="s">
        <v>507</v>
      </c>
      <c r="B47" s="670" t="s">
        <v>2310</v>
      </c>
      <c r="C47" s="670" t="s">
        <v>2341</v>
      </c>
      <c r="D47" s="670" t="s">
        <v>2348</v>
      </c>
      <c r="E47" s="670" t="s">
        <v>2349</v>
      </c>
      <c r="F47" s="238"/>
      <c r="G47" s="238"/>
      <c r="H47" s="238"/>
      <c r="I47" s="238"/>
      <c r="J47" s="238"/>
      <c r="K47" s="238"/>
      <c r="L47" s="238"/>
      <c r="M47" s="238"/>
      <c r="N47" s="238">
        <v>2</v>
      </c>
      <c r="O47" s="238">
        <v>8904.1200000000008</v>
      </c>
      <c r="P47" s="681"/>
      <c r="Q47" s="712">
        <v>4452.0600000000004</v>
      </c>
    </row>
    <row r="48" spans="1:17" ht="14.4" customHeight="1" x14ac:dyDescent="0.3">
      <c r="A48" s="679" t="s">
        <v>507</v>
      </c>
      <c r="B48" s="670" t="s">
        <v>2310</v>
      </c>
      <c r="C48" s="670" t="s">
        <v>2341</v>
      </c>
      <c r="D48" s="670" t="s">
        <v>2350</v>
      </c>
      <c r="E48" s="670" t="s">
        <v>2351</v>
      </c>
      <c r="F48" s="238">
        <v>1</v>
      </c>
      <c r="G48" s="238">
        <v>500.5</v>
      </c>
      <c r="H48" s="238">
        <v>1</v>
      </c>
      <c r="I48" s="238">
        <v>500.5</v>
      </c>
      <c r="J48" s="238"/>
      <c r="K48" s="238"/>
      <c r="L48" s="238"/>
      <c r="M48" s="238"/>
      <c r="N48" s="238"/>
      <c r="O48" s="238"/>
      <c r="P48" s="681"/>
      <c r="Q48" s="712"/>
    </row>
    <row r="49" spans="1:17" ht="14.4" customHeight="1" x14ac:dyDescent="0.3">
      <c r="A49" s="679" t="s">
        <v>507</v>
      </c>
      <c r="B49" s="670" t="s">
        <v>2310</v>
      </c>
      <c r="C49" s="670" t="s">
        <v>2341</v>
      </c>
      <c r="D49" s="670" t="s">
        <v>2352</v>
      </c>
      <c r="E49" s="670" t="s">
        <v>2353</v>
      </c>
      <c r="F49" s="238">
        <v>58</v>
      </c>
      <c r="G49" s="238">
        <v>12975.45</v>
      </c>
      <c r="H49" s="238">
        <v>1</v>
      </c>
      <c r="I49" s="238">
        <v>223.71465517241381</v>
      </c>
      <c r="J49" s="238">
        <v>75</v>
      </c>
      <c r="K49" s="238">
        <v>16788.75</v>
      </c>
      <c r="L49" s="238">
        <v>1.2938857611874732</v>
      </c>
      <c r="M49" s="238">
        <v>223.85</v>
      </c>
      <c r="N49" s="238">
        <v>70</v>
      </c>
      <c r="O49" s="238">
        <v>15669.5</v>
      </c>
      <c r="P49" s="681">
        <v>1.2076267104416416</v>
      </c>
      <c r="Q49" s="712">
        <v>223.85</v>
      </c>
    </row>
    <row r="50" spans="1:17" ht="14.4" customHeight="1" x14ac:dyDescent="0.3">
      <c r="A50" s="679" t="s">
        <v>507</v>
      </c>
      <c r="B50" s="670" t="s">
        <v>2310</v>
      </c>
      <c r="C50" s="670" t="s">
        <v>2341</v>
      </c>
      <c r="D50" s="670" t="s">
        <v>2354</v>
      </c>
      <c r="E50" s="670" t="s">
        <v>2355</v>
      </c>
      <c r="F50" s="238">
        <v>2</v>
      </c>
      <c r="G50" s="238">
        <v>4313.34</v>
      </c>
      <c r="H50" s="238">
        <v>1</v>
      </c>
      <c r="I50" s="238">
        <v>2156.67</v>
      </c>
      <c r="J50" s="238"/>
      <c r="K50" s="238"/>
      <c r="L50" s="238"/>
      <c r="M50" s="238"/>
      <c r="N50" s="238">
        <v>1</v>
      </c>
      <c r="O50" s="238">
        <v>2156.67</v>
      </c>
      <c r="P50" s="681">
        <v>0.5</v>
      </c>
      <c r="Q50" s="712">
        <v>2156.67</v>
      </c>
    </row>
    <row r="51" spans="1:17" ht="14.4" customHeight="1" x14ac:dyDescent="0.3">
      <c r="A51" s="679" t="s">
        <v>507</v>
      </c>
      <c r="B51" s="670" t="s">
        <v>2310</v>
      </c>
      <c r="C51" s="670" t="s">
        <v>2341</v>
      </c>
      <c r="D51" s="670" t="s">
        <v>2356</v>
      </c>
      <c r="E51" s="670" t="s">
        <v>2355</v>
      </c>
      <c r="F51" s="238">
        <v>1</v>
      </c>
      <c r="G51" s="238">
        <v>5708.29</v>
      </c>
      <c r="H51" s="238">
        <v>1</v>
      </c>
      <c r="I51" s="238">
        <v>5708.29</v>
      </c>
      <c r="J51" s="238">
        <v>2</v>
      </c>
      <c r="K51" s="238">
        <v>11416.58</v>
      </c>
      <c r="L51" s="238">
        <v>2</v>
      </c>
      <c r="M51" s="238">
        <v>5708.29</v>
      </c>
      <c r="N51" s="238"/>
      <c r="O51" s="238"/>
      <c r="P51" s="681"/>
      <c r="Q51" s="712"/>
    </row>
    <row r="52" spans="1:17" ht="14.4" customHeight="1" x14ac:dyDescent="0.3">
      <c r="A52" s="679" t="s">
        <v>507</v>
      </c>
      <c r="B52" s="670" t="s">
        <v>2310</v>
      </c>
      <c r="C52" s="670" t="s">
        <v>2341</v>
      </c>
      <c r="D52" s="670" t="s">
        <v>2357</v>
      </c>
      <c r="E52" s="670" t="s">
        <v>2358</v>
      </c>
      <c r="F52" s="238">
        <v>1</v>
      </c>
      <c r="G52" s="238">
        <v>3938.18</v>
      </c>
      <c r="H52" s="238">
        <v>1</v>
      </c>
      <c r="I52" s="238">
        <v>3938.18</v>
      </c>
      <c r="J52" s="238"/>
      <c r="K52" s="238"/>
      <c r="L52" s="238"/>
      <c r="M52" s="238"/>
      <c r="N52" s="238">
        <v>1</v>
      </c>
      <c r="O52" s="238">
        <v>3938.18</v>
      </c>
      <c r="P52" s="681">
        <v>1</v>
      </c>
      <c r="Q52" s="712">
        <v>3938.18</v>
      </c>
    </row>
    <row r="53" spans="1:17" ht="14.4" customHeight="1" x14ac:dyDescent="0.3">
      <c r="A53" s="679" t="s">
        <v>507</v>
      </c>
      <c r="B53" s="670" t="s">
        <v>2310</v>
      </c>
      <c r="C53" s="670" t="s">
        <v>2341</v>
      </c>
      <c r="D53" s="670" t="s">
        <v>2359</v>
      </c>
      <c r="E53" s="670" t="s">
        <v>2360</v>
      </c>
      <c r="F53" s="238"/>
      <c r="G53" s="238"/>
      <c r="H53" s="238"/>
      <c r="I53" s="238"/>
      <c r="J53" s="238"/>
      <c r="K53" s="238"/>
      <c r="L53" s="238"/>
      <c r="M53" s="238"/>
      <c r="N53" s="238">
        <v>2</v>
      </c>
      <c r="O53" s="238">
        <v>7856.68</v>
      </c>
      <c r="P53" s="681"/>
      <c r="Q53" s="712">
        <v>3928.34</v>
      </c>
    </row>
    <row r="54" spans="1:17" ht="14.4" customHeight="1" x14ac:dyDescent="0.3">
      <c r="A54" s="679" t="s">
        <v>507</v>
      </c>
      <c r="B54" s="670" t="s">
        <v>2310</v>
      </c>
      <c r="C54" s="670" t="s">
        <v>2341</v>
      </c>
      <c r="D54" s="670" t="s">
        <v>2361</v>
      </c>
      <c r="E54" s="670" t="s">
        <v>2362</v>
      </c>
      <c r="F54" s="238"/>
      <c r="G54" s="238"/>
      <c r="H54" s="238"/>
      <c r="I54" s="238"/>
      <c r="J54" s="238">
        <v>1</v>
      </c>
      <c r="K54" s="238">
        <v>3928.34</v>
      </c>
      <c r="L54" s="238"/>
      <c r="M54" s="238">
        <v>3928.34</v>
      </c>
      <c r="N54" s="238"/>
      <c r="O54" s="238"/>
      <c r="P54" s="681"/>
      <c r="Q54" s="712"/>
    </row>
    <row r="55" spans="1:17" ht="14.4" customHeight="1" x14ac:dyDescent="0.3">
      <c r="A55" s="679" t="s">
        <v>507</v>
      </c>
      <c r="B55" s="670" t="s">
        <v>2310</v>
      </c>
      <c r="C55" s="670" t="s">
        <v>2341</v>
      </c>
      <c r="D55" s="670" t="s">
        <v>2363</v>
      </c>
      <c r="E55" s="670" t="s">
        <v>2364</v>
      </c>
      <c r="F55" s="238"/>
      <c r="G55" s="238"/>
      <c r="H55" s="238"/>
      <c r="I55" s="238"/>
      <c r="J55" s="238"/>
      <c r="K55" s="238"/>
      <c r="L55" s="238"/>
      <c r="M55" s="238"/>
      <c r="N55" s="238">
        <v>2</v>
      </c>
      <c r="O55" s="238">
        <v>7856.68</v>
      </c>
      <c r="P55" s="681"/>
      <c r="Q55" s="712">
        <v>3928.34</v>
      </c>
    </row>
    <row r="56" spans="1:17" ht="14.4" customHeight="1" x14ac:dyDescent="0.3">
      <c r="A56" s="679" t="s">
        <v>507</v>
      </c>
      <c r="B56" s="670" t="s">
        <v>2310</v>
      </c>
      <c r="C56" s="670" t="s">
        <v>2341</v>
      </c>
      <c r="D56" s="670" t="s">
        <v>2365</v>
      </c>
      <c r="E56" s="670" t="s">
        <v>2366</v>
      </c>
      <c r="F56" s="238">
        <v>1</v>
      </c>
      <c r="G56" s="238">
        <v>6520</v>
      </c>
      <c r="H56" s="238">
        <v>1</v>
      </c>
      <c r="I56" s="238">
        <v>6520</v>
      </c>
      <c r="J56" s="238"/>
      <c r="K56" s="238"/>
      <c r="L56" s="238"/>
      <c r="M56" s="238"/>
      <c r="N56" s="238"/>
      <c r="O56" s="238"/>
      <c r="P56" s="681"/>
      <c r="Q56" s="712"/>
    </row>
    <row r="57" spans="1:17" ht="14.4" customHeight="1" x14ac:dyDescent="0.3">
      <c r="A57" s="679" t="s">
        <v>507</v>
      </c>
      <c r="B57" s="670" t="s">
        <v>2310</v>
      </c>
      <c r="C57" s="670" t="s">
        <v>2341</v>
      </c>
      <c r="D57" s="670" t="s">
        <v>2367</v>
      </c>
      <c r="E57" s="670" t="s">
        <v>2368</v>
      </c>
      <c r="F57" s="238">
        <v>49</v>
      </c>
      <c r="G57" s="238">
        <v>816046</v>
      </c>
      <c r="H57" s="238">
        <v>1</v>
      </c>
      <c r="I57" s="238">
        <v>16654</v>
      </c>
      <c r="J57" s="238"/>
      <c r="K57" s="238"/>
      <c r="L57" s="238"/>
      <c r="M57" s="238"/>
      <c r="N57" s="238"/>
      <c r="O57" s="238"/>
      <c r="P57" s="681"/>
      <c r="Q57" s="712"/>
    </row>
    <row r="58" spans="1:17" ht="14.4" customHeight="1" x14ac:dyDescent="0.3">
      <c r="A58" s="679" t="s">
        <v>507</v>
      </c>
      <c r="B58" s="670" t="s">
        <v>2310</v>
      </c>
      <c r="C58" s="670" t="s">
        <v>2341</v>
      </c>
      <c r="D58" s="670" t="s">
        <v>2369</v>
      </c>
      <c r="E58" s="670" t="s">
        <v>2370</v>
      </c>
      <c r="F58" s="238">
        <v>2</v>
      </c>
      <c r="G58" s="238">
        <v>1710.2</v>
      </c>
      <c r="H58" s="238">
        <v>1</v>
      </c>
      <c r="I58" s="238">
        <v>855.1</v>
      </c>
      <c r="J58" s="238"/>
      <c r="K58" s="238"/>
      <c r="L58" s="238"/>
      <c r="M58" s="238"/>
      <c r="N58" s="238"/>
      <c r="O58" s="238"/>
      <c r="P58" s="681"/>
      <c r="Q58" s="712"/>
    </row>
    <row r="59" spans="1:17" ht="14.4" customHeight="1" x14ac:dyDescent="0.3">
      <c r="A59" s="679" t="s">
        <v>507</v>
      </c>
      <c r="B59" s="670" t="s">
        <v>2310</v>
      </c>
      <c r="C59" s="670" t="s">
        <v>2341</v>
      </c>
      <c r="D59" s="670" t="s">
        <v>2371</v>
      </c>
      <c r="E59" s="670" t="s">
        <v>2370</v>
      </c>
      <c r="F59" s="238">
        <v>4</v>
      </c>
      <c r="G59" s="238">
        <v>2264.1999999999998</v>
      </c>
      <c r="H59" s="238">
        <v>1</v>
      </c>
      <c r="I59" s="238">
        <v>566.04999999999995</v>
      </c>
      <c r="J59" s="238"/>
      <c r="K59" s="238"/>
      <c r="L59" s="238"/>
      <c r="M59" s="238"/>
      <c r="N59" s="238"/>
      <c r="O59" s="238"/>
      <c r="P59" s="681"/>
      <c r="Q59" s="712"/>
    </row>
    <row r="60" spans="1:17" ht="14.4" customHeight="1" x14ac:dyDescent="0.3">
      <c r="A60" s="679" t="s">
        <v>507</v>
      </c>
      <c r="B60" s="670" t="s">
        <v>2310</v>
      </c>
      <c r="C60" s="670" t="s">
        <v>2341</v>
      </c>
      <c r="D60" s="670" t="s">
        <v>2372</v>
      </c>
      <c r="E60" s="670" t="s">
        <v>2373</v>
      </c>
      <c r="F60" s="238">
        <v>26</v>
      </c>
      <c r="G60" s="238">
        <v>364865.8</v>
      </c>
      <c r="H60" s="238">
        <v>1</v>
      </c>
      <c r="I60" s="238">
        <v>14033.3</v>
      </c>
      <c r="J60" s="238">
        <v>16</v>
      </c>
      <c r="K60" s="238">
        <v>224532.8</v>
      </c>
      <c r="L60" s="238">
        <v>0.61538461538461542</v>
      </c>
      <c r="M60" s="238">
        <v>14033.3</v>
      </c>
      <c r="N60" s="238"/>
      <c r="O60" s="238"/>
      <c r="P60" s="681"/>
      <c r="Q60" s="712"/>
    </row>
    <row r="61" spans="1:17" ht="14.4" customHeight="1" x14ac:dyDescent="0.3">
      <c r="A61" s="679" t="s">
        <v>507</v>
      </c>
      <c r="B61" s="670" t="s">
        <v>2310</v>
      </c>
      <c r="C61" s="670" t="s">
        <v>2341</v>
      </c>
      <c r="D61" s="670" t="s">
        <v>2374</v>
      </c>
      <c r="E61" s="670" t="s">
        <v>2373</v>
      </c>
      <c r="F61" s="238">
        <v>10</v>
      </c>
      <c r="G61" s="238">
        <v>26779.599999999999</v>
      </c>
      <c r="H61" s="238">
        <v>1</v>
      </c>
      <c r="I61" s="238">
        <v>2677.96</v>
      </c>
      <c r="J61" s="238">
        <v>8</v>
      </c>
      <c r="K61" s="238">
        <v>21423.68</v>
      </c>
      <c r="L61" s="238">
        <v>0.8</v>
      </c>
      <c r="M61" s="238">
        <v>2677.96</v>
      </c>
      <c r="N61" s="238"/>
      <c r="O61" s="238"/>
      <c r="P61" s="681"/>
      <c r="Q61" s="712"/>
    </row>
    <row r="62" spans="1:17" ht="14.4" customHeight="1" x14ac:dyDescent="0.3">
      <c r="A62" s="679" t="s">
        <v>507</v>
      </c>
      <c r="B62" s="670" t="s">
        <v>2310</v>
      </c>
      <c r="C62" s="670" t="s">
        <v>2341</v>
      </c>
      <c r="D62" s="670" t="s">
        <v>2375</v>
      </c>
      <c r="E62" s="670" t="s">
        <v>2376</v>
      </c>
      <c r="F62" s="238"/>
      <c r="G62" s="238"/>
      <c r="H62" s="238"/>
      <c r="I62" s="238"/>
      <c r="J62" s="238">
        <v>1</v>
      </c>
      <c r="K62" s="238">
        <v>3353.67</v>
      </c>
      <c r="L62" s="238"/>
      <c r="M62" s="238">
        <v>3353.67</v>
      </c>
      <c r="N62" s="238"/>
      <c r="O62" s="238"/>
      <c r="P62" s="681"/>
      <c r="Q62" s="712"/>
    </row>
    <row r="63" spans="1:17" ht="14.4" customHeight="1" x14ac:dyDescent="0.3">
      <c r="A63" s="679" t="s">
        <v>507</v>
      </c>
      <c r="B63" s="670" t="s">
        <v>2310</v>
      </c>
      <c r="C63" s="670" t="s">
        <v>2341</v>
      </c>
      <c r="D63" s="670" t="s">
        <v>2377</v>
      </c>
      <c r="E63" s="670" t="s">
        <v>2378</v>
      </c>
      <c r="F63" s="238">
        <v>2</v>
      </c>
      <c r="G63" s="238">
        <v>116236</v>
      </c>
      <c r="H63" s="238">
        <v>1</v>
      </c>
      <c r="I63" s="238">
        <v>58118</v>
      </c>
      <c r="J63" s="238"/>
      <c r="K63" s="238"/>
      <c r="L63" s="238"/>
      <c r="M63" s="238"/>
      <c r="N63" s="238"/>
      <c r="O63" s="238"/>
      <c r="P63" s="681"/>
      <c r="Q63" s="712"/>
    </row>
    <row r="64" spans="1:17" ht="14.4" customHeight="1" x14ac:dyDescent="0.3">
      <c r="A64" s="679" t="s">
        <v>507</v>
      </c>
      <c r="B64" s="670" t="s">
        <v>2310</v>
      </c>
      <c r="C64" s="670" t="s">
        <v>2341</v>
      </c>
      <c r="D64" s="670" t="s">
        <v>2379</v>
      </c>
      <c r="E64" s="670" t="s">
        <v>2380</v>
      </c>
      <c r="F64" s="238">
        <v>6</v>
      </c>
      <c r="G64" s="238">
        <v>257109.36</v>
      </c>
      <c r="H64" s="238">
        <v>1</v>
      </c>
      <c r="I64" s="238">
        <v>42851.56</v>
      </c>
      <c r="J64" s="238">
        <v>10</v>
      </c>
      <c r="K64" s="238">
        <v>428515.6</v>
      </c>
      <c r="L64" s="238">
        <v>1.6666666666666667</v>
      </c>
      <c r="M64" s="238">
        <v>42851.56</v>
      </c>
      <c r="N64" s="238"/>
      <c r="O64" s="238"/>
      <c r="P64" s="681"/>
      <c r="Q64" s="712"/>
    </row>
    <row r="65" spans="1:17" ht="14.4" customHeight="1" x14ac:dyDescent="0.3">
      <c r="A65" s="679" t="s">
        <v>507</v>
      </c>
      <c r="B65" s="670" t="s">
        <v>2310</v>
      </c>
      <c r="C65" s="670" t="s">
        <v>2341</v>
      </c>
      <c r="D65" s="670" t="s">
        <v>2381</v>
      </c>
      <c r="E65" s="670" t="s">
        <v>2382</v>
      </c>
      <c r="F65" s="238">
        <v>2</v>
      </c>
      <c r="G65" s="238">
        <v>9352</v>
      </c>
      <c r="H65" s="238">
        <v>1</v>
      </c>
      <c r="I65" s="238">
        <v>4676</v>
      </c>
      <c r="J65" s="238">
        <v>2</v>
      </c>
      <c r="K65" s="238">
        <v>9352</v>
      </c>
      <c r="L65" s="238">
        <v>1</v>
      </c>
      <c r="M65" s="238">
        <v>4676</v>
      </c>
      <c r="N65" s="238"/>
      <c r="O65" s="238"/>
      <c r="P65" s="681"/>
      <c r="Q65" s="712"/>
    </row>
    <row r="66" spans="1:17" ht="14.4" customHeight="1" x14ac:dyDescent="0.3">
      <c r="A66" s="679" t="s">
        <v>507</v>
      </c>
      <c r="B66" s="670" t="s">
        <v>2310</v>
      </c>
      <c r="C66" s="670" t="s">
        <v>2341</v>
      </c>
      <c r="D66" s="670" t="s">
        <v>2383</v>
      </c>
      <c r="E66" s="670" t="s">
        <v>2382</v>
      </c>
      <c r="F66" s="238"/>
      <c r="G66" s="238"/>
      <c r="H66" s="238"/>
      <c r="I66" s="238"/>
      <c r="J66" s="238">
        <v>1</v>
      </c>
      <c r="K66" s="238">
        <v>5239</v>
      </c>
      <c r="L66" s="238"/>
      <c r="M66" s="238">
        <v>5239</v>
      </c>
      <c r="N66" s="238"/>
      <c r="O66" s="238"/>
      <c r="P66" s="681"/>
      <c r="Q66" s="712"/>
    </row>
    <row r="67" spans="1:17" ht="14.4" customHeight="1" x14ac:dyDescent="0.3">
      <c r="A67" s="679" t="s">
        <v>507</v>
      </c>
      <c r="B67" s="670" t="s">
        <v>2310</v>
      </c>
      <c r="C67" s="670" t="s">
        <v>2341</v>
      </c>
      <c r="D67" s="670" t="s">
        <v>2384</v>
      </c>
      <c r="E67" s="670" t="s">
        <v>2385</v>
      </c>
      <c r="F67" s="238">
        <v>8</v>
      </c>
      <c r="G67" s="238">
        <v>4736</v>
      </c>
      <c r="H67" s="238">
        <v>1</v>
      </c>
      <c r="I67" s="238">
        <v>592</v>
      </c>
      <c r="J67" s="238">
        <v>12</v>
      </c>
      <c r="K67" s="238">
        <v>7104</v>
      </c>
      <c r="L67" s="238">
        <v>1.5</v>
      </c>
      <c r="M67" s="238">
        <v>592</v>
      </c>
      <c r="N67" s="238"/>
      <c r="O67" s="238"/>
      <c r="P67" s="681"/>
      <c r="Q67" s="712"/>
    </row>
    <row r="68" spans="1:17" ht="14.4" customHeight="1" x14ac:dyDescent="0.3">
      <c r="A68" s="679" t="s">
        <v>507</v>
      </c>
      <c r="B68" s="670" t="s">
        <v>2310</v>
      </c>
      <c r="C68" s="670" t="s">
        <v>2341</v>
      </c>
      <c r="D68" s="670" t="s">
        <v>2386</v>
      </c>
      <c r="E68" s="670" t="s">
        <v>2387</v>
      </c>
      <c r="F68" s="238"/>
      <c r="G68" s="238"/>
      <c r="H68" s="238"/>
      <c r="I68" s="238"/>
      <c r="J68" s="238">
        <v>1</v>
      </c>
      <c r="K68" s="238">
        <v>6593.35</v>
      </c>
      <c r="L68" s="238"/>
      <c r="M68" s="238">
        <v>6593.35</v>
      </c>
      <c r="N68" s="238"/>
      <c r="O68" s="238"/>
      <c r="P68" s="681"/>
      <c r="Q68" s="712"/>
    </row>
    <row r="69" spans="1:17" ht="14.4" customHeight="1" x14ac:dyDescent="0.3">
      <c r="A69" s="679" t="s">
        <v>507</v>
      </c>
      <c r="B69" s="670" t="s">
        <v>2310</v>
      </c>
      <c r="C69" s="670" t="s">
        <v>2341</v>
      </c>
      <c r="D69" s="670" t="s">
        <v>2388</v>
      </c>
      <c r="E69" s="670" t="s">
        <v>2387</v>
      </c>
      <c r="F69" s="238"/>
      <c r="G69" s="238"/>
      <c r="H69" s="238"/>
      <c r="I69" s="238"/>
      <c r="J69" s="238">
        <v>3</v>
      </c>
      <c r="K69" s="238">
        <v>5936.82</v>
      </c>
      <c r="L69" s="238"/>
      <c r="M69" s="238">
        <v>1978.9399999999998</v>
      </c>
      <c r="N69" s="238">
        <v>1</v>
      </c>
      <c r="O69" s="238">
        <v>1978.94</v>
      </c>
      <c r="P69" s="681"/>
      <c r="Q69" s="712">
        <v>1978.94</v>
      </c>
    </row>
    <row r="70" spans="1:17" ht="14.4" customHeight="1" x14ac:dyDescent="0.3">
      <c r="A70" s="679" t="s">
        <v>507</v>
      </c>
      <c r="B70" s="670" t="s">
        <v>2310</v>
      </c>
      <c r="C70" s="670" t="s">
        <v>2341</v>
      </c>
      <c r="D70" s="670" t="s">
        <v>2389</v>
      </c>
      <c r="E70" s="670" t="s">
        <v>2390</v>
      </c>
      <c r="F70" s="238">
        <v>24</v>
      </c>
      <c r="G70" s="238">
        <v>314184</v>
      </c>
      <c r="H70" s="238">
        <v>1</v>
      </c>
      <c r="I70" s="238">
        <v>13091</v>
      </c>
      <c r="J70" s="238">
        <v>29</v>
      </c>
      <c r="K70" s="238">
        <v>379639</v>
      </c>
      <c r="L70" s="238">
        <v>1.2083333333333333</v>
      </c>
      <c r="M70" s="238">
        <v>13091</v>
      </c>
      <c r="N70" s="238">
        <v>32</v>
      </c>
      <c r="O70" s="238">
        <v>418912</v>
      </c>
      <c r="P70" s="681">
        <v>1.3333333333333333</v>
      </c>
      <c r="Q70" s="712">
        <v>13091</v>
      </c>
    </row>
    <row r="71" spans="1:17" ht="14.4" customHeight="1" x14ac:dyDescent="0.3">
      <c r="A71" s="679" t="s">
        <v>507</v>
      </c>
      <c r="B71" s="670" t="s">
        <v>2310</v>
      </c>
      <c r="C71" s="670" t="s">
        <v>2341</v>
      </c>
      <c r="D71" s="670" t="s">
        <v>2391</v>
      </c>
      <c r="E71" s="670" t="s">
        <v>2392</v>
      </c>
      <c r="F71" s="238">
        <v>2</v>
      </c>
      <c r="G71" s="238">
        <v>98369.56</v>
      </c>
      <c r="H71" s="238">
        <v>1</v>
      </c>
      <c r="I71" s="238">
        <v>49184.78</v>
      </c>
      <c r="J71" s="238">
        <v>1</v>
      </c>
      <c r="K71" s="238">
        <v>49184.78</v>
      </c>
      <c r="L71" s="238">
        <v>0.5</v>
      </c>
      <c r="M71" s="238">
        <v>49184.78</v>
      </c>
      <c r="N71" s="238"/>
      <c r="O71" s="238"/>
      <c r="P71" s="681"/>
      <c r="Q71" s="712"/>
    </row>
    <row r="72" spans="1:17" ht="14.4" customHeight="1" x14ac:dyDescent="0.3">
      <c r="A72" s="679" t="s">
        <v>507</v>
      </c>
      <c r="B72" s="670" t="s">
        <v>2310</v>
      </c>
      <c r="C72" s="670" t="s">
        <v>2341</v>
      </c>
      <c r="D72" s="670" t="s">
        <v>2393</v>
      </c>
      <c r="E72" s="670" t="s">
        <v>2394</v>
      </c>
      <c r="F72" s="238">
        <v>9</v>
      </c>
      <c r="G72" s="238">
        <v>23159.61</v>
      </c>
      <c r="H72" s="238">
        <v>1</v>
      </c>
      <c r="I72" s="238">
        <v>2573.29</v>
      </c>
      <c r="J72" s="238">
        <v>8</v>
      </c>
      <c r="K72" s="238">
        <v>20586.32</v>
      </c>
      <c r="L72" s="238">
        <v>0.88888888888888884</v>
      </c>
      <c r="M72" s="238">
        <v>2573.29</v>
      </c>
      <c r="N72" s="238"/>
      <c r="O72" s="238"/>
      <c r="P72" s="681"/>
      <c r="Q72" s="712"/>
    </row>
    <row r="73" spans="1:17" ht="14.4" customHeight="1" x14ac:dyDescent="0.3">
      <c r="A73" s="679" t="s">
        <v>507</v>
      </c>
      <c r="B73" s="670" t="s">
        <v>2310</v>
      </c>
      <c r="C73" s="670" t="s">
        <v>2341</v>
      </c>
      <c r="D73" s="670" t="s">
        <v>2395</v>
      </c>
      <c r="E73" s="670" t="s">
        <v>2396</v>
      </c>
      <c r="F73" s="238">
        <v>3</v>
      </c>
      <c r="G73" s="238">
        <v>59420.94</v>
      </c>
      <c r="H73" s="238">
        <v>1</v>
      </c>
      <c r="I73" s="238">
        <v>19806.98</v>
      </c>
      <c r="J73" s="238"/>
      <c r="K73" s="238"/>
      <c r="L73" s="238"/>
      <c r="M73" s="238"/>
      <c r="N73" s="238"/>
      <c r="O73" s="238"/>
      <c r="P73" s="681"/>
      <c r="Q73" s="712"/>
    </row>
    <row r="74" spans="1:17" ht="14.4" customHeight="1" x14ac:dyDescent="0.3">
      <c r="A74" s="679" t="s">
        <v>507</v>
      </c>
      <c r="B74" s="670" t="s">
        <v>2310</v>
      </c>
      <c r="C74" s="670" t="s">
        <v>2341</v>
      </c>
      <c r="D74" s="670" t="s">
        <v>2397</v>
      </c>
      <c r="E74" s="670" t="s">
        <v>2396</v>
      </c>
      <c r="F74" s="238">
        <v>8</v>
      </c>
      <c r="G74" s="238">
        <v>144119.20000000001</v>
      </c>
      <c r="H74" s="238">
        <v>1</v>
      </c>
      <c r="I74" s="238">
        <v>18014.900000000001</v>
      </c>
      <c r="J74" s="238"/>
      <c r="K74" s="238"/>
      <c r="L74" s="238"/>
      <c r="M74" s="238"/>
      <c r="N74" s="238"/>
      <c r="O74" s="238"/>
      <c r="P74" s="681"/>
      <c r="Q74" s="712"/>
    </row>
    <row r="75" spans="1:17" ht="14.4" customHeight="1" x14ac:dyDescent="0.3">
      <c r="A75" s="679" t="s">
        <v>507</v>
      </c>
      <c r="B75" s="670" t="s">
        <v>2310</v>
      </c>
      <c r="C75" s="670" t="s">
        <v>2341</v>
      </c>
      <c r="D75" s="670" t="s">
        <v>2398</v>
      </c>
      <c r="E75" s="670" t="s">
        <v>2396</v>
      </c>
      <c r="F75" s="238">
        <v>3</v>
      </c>
      <c r="G75" s="238">
        <v>21137.79</v>
      </c>
      <c r="H75" s="238">
        <v>1</v>
      </c>
      <c r="I75" s="238">
        <v>7045.93</v>
      </c>
      <c r="J75" s="238"/>
      <c r="K75" s="238"/>
      <c r="L75" s="238"/>
      <c r="M75" s="238"/>
      <c r="N75" s="238"/>
      <c r="O75" s="238"/>
      <c r="P75" s="681"/>
      <c r="Q75" s="712"/>
    </row>
    <row r="76" spans="1:17" ht="14.4" customHeight="1" x14ac:dyDescent="0.3">
      <c r="A76" s="679" t="s">
        <v>507</v>
      </c>
      <c r="B76" s="670" t="s">
        <v>2310</v>
      </c>
      <c r="C76" s="670" t="s">
        <v>2341</v>
      </c>
      <c r="D76" s="670" t="s">
        <v>2399</v>
      </c>
      <c r="E76" s="670" t="s">
        <v>2373</v>
      </c>
      <c r="F76" s="238">
        <v>7</v>
      </c>
      <c r="G76" s="238">
        <v>28778.75</v>
      </c>
      <c r="H76" s="238">
        <v>1</v>
      </c>
      <c r="I76" s="238">
        <v>4111.25</v>
      </c>
      <c r="J76" s="238">
        <v>8</v>
      </c>
      <c r="K76" s="238">
        <v>32890</v>
      </c>
      <c r="L76" s="238">
        <v>1.1428571428571428</v>
      </c>
      <c r="M76" s="238">
        <v>4111.25</v>
      </c>
      <c r="N76" s="238"/>
      <c r="O76" s="238"/>
      <c r="P76" s="681"/>
      <c r="Q76" s="712"/>
    </row>
    <row r="77" spans="1:17" ht="14.4" customHeight="1" x14ac:dyDescent="0.3">
      <c r="A77" s="679" t="s">
        <v>507</v>
      </c>
      <c r="B77" s="670" t="s">
        <v>2310</v>
      </c>
      <c r="C77" s="670" t="s">
        <v>2341</v>
      </c>
      <c r="D77" s="670" t="s">
        <v>2400</v>
      </c>
      <c r="E77" s="670" t="s">
        <v>2401</v>
      </c>
      <c r="F77" s="238">
        <v>4</v>
      </c>
      <c r="G77" s="238">
        <v>7366.48</v>
      </c>
      <c r="H77" s="238">
        <v>1</v>
      </c>
      <c r="I77" s="238">
        <v>1841.62</v>
      </c>
      <c r="J77" s="238"/>
      <c r="K77" s="238"/>
      <c r="L77" s="238"/>
      <c r="M77" s="238"/>
      <c r="N77" s="238"/>
      <c r="O77" s="238"/>
      <c r="P77" s="681"/>
      <c r="Q77" s="712"/>
    </row>
    <row r="78" spans="1:17" ht="14.4" customHeight="1" x14ac:dyDescent="0.3">
      <c r="A78" s="679" t="s">
        <v>507</v>
      </c>
      <c r="B78" s="670" t="s">
        <v>2310</v>
      </c>
      <c r="C78" s="670" t="s">
        <v>2341</v>
      </c>
      <c r="D78" s="670" t="s">
        <v>2402</v>
      </c>
      <c r="E78" s="670" t="s">
        <v>2401</v>
      </c>
      <c r="F78" s="238">
        <v>1</v>
      </c>
      <c r="G78" s="238">
        <v>31129.25</v>
      </c>
      <c r="H78" s="238">
        <v>1</v>
      </c>
      <c r="I78" s="238">
        <v>31129.25</v>
      </c>
      <c r="J78" s="238"/>
      <c r="K78" s="238"/>
      <c r="L78" s="238"/>
      <c r="M78" s="238"/>
      <c r="N78" s="238"/>
      <c r="O78" s="238"/>
      <c r="P78" s="681"/>
      <c r="Q78" s="712"/>
    </row>
    <row r="79" spans="1:17" ht="14.4" customHeight="1" x14ac:dyDescent="0.3">
      <c r="A79" s="679" t="s">
        <v>507</v>
      </c>
      <c r="B79" s="670" t="s">
        <v>2310</v>
      </c>
      <c r="C79" s="670" t="s">
        <v>2341</v>
      </c>
      <c r="D79" s="670" t="s">
        <v>2403</v>
      </c>
      <c r="E79" s="670" t="s">
        <v>2404</v>
      </c>
      <c r="F79" s="238">
        <v>1</v>
      </c>
      <c r="G79" s="238">
        <v>5918.67</v>
      </c>
      <c r="H79" s="238">
        <v>1</v>
      </c>
      <c r="I79" s="238">
        <v>5918.67</v>
      </c>
      <c r="J79" s="238"/>
      <c r="K79" s="238"/>
      <c r="L79" s="238"/>
      <c r="M79" s="238"/>
      <c r="N79" s="238">
        <v>1</v>
      </c>
      <c r="O79" s="238">
        <v>5918.67</v>
      </c>
      <c r="P79" s="681">
        <v>1</v>
      </c>
      <c r="Q79" s="712">
        <v>5918.67</v>
      </c>
    </row>
    <row r="80" spans="1:17" ht="14.4" customHeight="1" x14ac:dyDescent="0.3">
      <c r="A80" s="679" t="s">
        <v>507</v>
      </c>
      <c r="B80" s="670" t="s">
        <v>2310</v>
      </c>
      <c r="C80" s="670" t="s">
        <v>2341</v>
      </c>
      <c r="D80" s="670" t="s">
        <v>2405</v>
      </c>
      <c r="E80" s="670" t="s">
        <v>2404</v>
      </c>
      <c r="F80" s="238"/>
      <c r="G80" s="238"/>
      <c r="H80" s="238"/>
      <c r="I80" s="238"/>
      <c r="J80" s="238"/>
      <c r="K80" s="238"/>
      <c r="L80" s="238"/>
      <c r="M80" s="238"/>
      <c r="N80" s="238">
        <v>1</v>
      </c>
      <c r="O80" s="238">
        <v>8286.76</v>
      </c>
      <c r="P80" s="681"/>
      <c r="Q80" s="712">
        <v>8286.76</v>
      </c>
    </row>
    <row r="81" spans="1:17" ht="14.4" customHeight="1" x14ac:dyDescent="0.3">
      <c r="A81" s="679" t="s">
        <v>507</v>
      </c>
      <c r="B81" s="670" t="s">
        <v>2310</v>
      </c>
      <c r="C81" s="670" t="s">
        <v>2341</v>
      </c>
      <c r="D81" s="670" t="s">
        <v>2406</v>
      </c>
      <c r="E81" s="670" t="s">
        <v>2404</v>
      </c>
      <c r="F81" s="238">
        <v>4</v>
      </c>
      <c r="G81" s="238">
        <v>11549.24</v>
      </c>
      <c r="H81" s="238">
        <v>1</v>
      </c>
      <c r="I81" s="238">
        <v>2887.31</v>
      </c>
      <c r="J81" s="238"/>
      <c r="K81" s="238"/>
      <c r="L81" s="238"/>
      <c r="M81" s="238"/>
      <c r="N81" s="238">
        <v>10</v>
      </c>
      <c r="O81" s="238">
        <v>28873.1</v>
      </c>
      <c r="P81" s="681">
        <v>2.5</v>
      </c>
      <c r="Q81" s="712">
        <v>2887.31</v>
      </c>
    </row>
    <row r="82" spans="1:17" ht="14.4" customHeight="1" x14ac:dyDescent="0.3">
      <c r="A82" s="679" t="s">
        <v>507</v>
      </c>
      <c r="B82" s="670" t="s">
        <v>2310</v>
      </c>
      <c r="C82" s="670" t="s">
        <v>2341</v>
      </c>
      <c r="D82" s="670" t="s">
        <v>2407</v>
      </c>
      <c r="E82" s="670" t="s">
        <v>2408</v>
      </c>
      <c r="F82" s="238">
        <v>4</v>
      </c>
      <c r="G82" s="238">
        <v>8581.08</v>
      </c>
      <c r="H82" s="238">
        <v>1</v>
      </c>
      <c r="I82" s="238">
        <v>2145.27</v>
      </c>
      <c r="J82" s="238"/>
      <c r="K82" s="238"/>
      <c r="L82" s="238"/>
      <c r="M82" s="238"/>
      <c r="N82" s="238"/>
      <c r="O82" s="238"/>
      <c r="P82" s="681"/>
      <c r="Q82" s="712"/>
    </row>
    <row r="83" spans="1:17" ht="14.4" customHeight="1" x14ac:dyDescent="0.3">
      <c r="A83" s="679" t="s">
        <v>507</v>
      </c>
      <c r="B83" s="670" t="s">
        <v>2310</v>
      </c>
      <c r="C83" s="670" t="s">
        <v>2341</v>
      </c>
      <c r="D83" s="670" t="s">
        <v>2409</v>
      </c>
      <c r="E83" s="670" t="s">
        <v>2410</v>
      </c>
      <c r="F83" s="238">
        <v>8</v>
      </c>
      <c r="G83" s="238">
        <v>54802.879999999997</v>
      </c>
      <c r="H83" s="238">
        <v>1</v>
      </c>
      <c r="I83" s="238">
        <v>6850.36</v>
      </c>
      <c r="J83" s="238">
        <v>7</v>
      </c>
      <c r="K83" s="238">
        <v>47952.52</v>
      </c>
      <c r="L83" s="238">
        <v>0.875</v>
      </c>
      <c r="M83" s="238">
        <v>6850.36</v>
      </c>
      <c r="N83" s="238">
        <v>1</v>
      </c>
      <c r="O83" s="238">
        <v>6850.36</v>
      </c>
      <c r="P83" s="681">
        <v>0.125</v>
      </c>
      <c r="Q83" s="712">
        <v>6850.36</v>
      </c>
    </row>
    <row r="84" spans="1:17" ht="14.4" customHeight="1" x14ac:dyDescent="0.3">
      <c r="A84" s="679" t="s">
        <v>507</v>
      </c>
      <c r="B84" s="670" t="s">
        <v>2310</v>
      </c>
      <c r="C84" s="670" t="s">
        <v>2341</v>
      </c>
      <c r="D84" s="670" t="s">
        <v>2411</v>
      </c>
      <c r="E84" s="670" t="s">
        <v>2410</v>
      </c>
      <c r="F84" s="238">
        <v>1</v>
      </c>
      <c r="G84" s="238">
        <v>4151.67</v>
      </c>
      <c r="H84" s="238">
        <v>1</v>
      </c>
      <c r="I84" s="238">
        <v>4151.67</v>
      </c>
      <c r="J84" s="238"/>
      <c r="K84" s="238"/>
      <c r="L84" s="238"/>
      <c r="M84" s="238"/>
      <c r="N84" s="238"/>
      <c r="O84" s="238"/>
      <c r="P84" s="681"/>
      <c r="Q84" s="712"/>
    </row>
    <row r="85" spans="1:17" ht="14.4" customHeight="1" x14ac:dyDescent="0.3">
      <c r="A85" s="679" t="s">
        <v>507</v>
      </c>
      <c r="B85" s="670" t="s">
        <v>2310</v>
      </c>
      <c r="C85" s="670" t="s">
        <v>2341</v>
      </c>
      <c r="D85" s="670" t="s">
        <v>2412</v>
      </c>
      <c r="E85" s="670" t="s">
        <v>2413</v>
      </c>
      <c r="F85" s="238"/>
      <c r="G85" s="238"/>
      <c r="H85" s="238"/>
      <c r="I85" s="238"/>
      <c r="J85" s="238">
        <v>2.5</v>
      </c>
      <c r="K85" s="238">
        <v>12397.5</v>
      </c>
      <c r="L85" s="238"/>
      <c r="M85" s="238">
        <v>4959</v>
      </c>
      <c r="N85" s="238"/>
      <c r="O85" s="238"/>
      <c r="P85" s="681"/>
      <c r="Q85" s="712"/>
    </row>
    <row r="86" spans="1:17" ht="14.4" customHeight="1" x14ac:dyDescent="0.3">
      <c r="A86" s="679" t="s">
        <v>507</v>
      </c>
      <c r="B86" s="670" t="s">
        <v>2310</v>
      </c>
      <c r="C86" s="670" t="s">
        <v>2341</v>
      </c>
      <c r="D86" s="670" t="s">
        <v>2414</v>
      </c>
      <c r="E86" s="670" t="s">
        <v>2415</v>
      </c>
      <c r="F86" s="238"/>
      <c r="G86" s="238"/>
      <c r="H86" s="238"/>
      <c r="I86" s="238"/>
      <c r="J86" s="238">
        <v>2</v>
      </c>
      <c r="K86" s="238">
        <v>12740</v>
      </c>
      <c r="L86" s="238"/>
      <c r="M86" s="238">
        <v>6370</v>
      </c>
      <c r="N86" s="238"/>
      <c r="O86" s="238"/>
      <c r="P86" s="681"/>
      <c r="Q86" s="712"/>
    </row>
    <row r="87" spans="1:17" ht="14.4" customHeight="1" x14ac:dyDescent="0.3">
      <c r="A87" s="679" t="s">
        <v>507</v>
      </c>
      <c r="B87" s="670" t="s">
        <v>2310</v>
      </c>
      <c r="C87" s="670" t="s">
        <v>2341</v>
      </c>
      <c r="D87" s="670" t="s">
        <v>2416</v>
      </c>
      <c r="E87" s="670" t="s">
        <v>2415</v>
      </c>
      <c r="F87" s="238"/>
      <c r="G87" s="238"/>
      <c r="H87" s="238"/>
      <c r="I87" s="238"/>
      <c r="J87" s="238">
        <v>4</v>
      </c>
      <c r="K87" s="238">
        <v>45432</v>
      </c>
      <c r="L87" s="238"/>
      <c r="M87" s="238">
        <v>11358</v>
      </c>
      <c r="N87" s="238"/>
      <c r="O87" s="238"/>
      <c r="P87" s="681"/>
      <c r="Q87" s="712"/>
    </row>
    <row r="88" spans="1:17" ht="14.4" customHeight="1" x14ac:dyDescent="0.3">
      <c r="A88" s="679" t="s">
        <v>507</v>
      </c>
      <c r="B88" s="670" t="s">
        <v>2310</v>
      </c>
      <c r="C88" s="670" t="s">
        <v>2341</v>
      </c>
      <c r="D88" s="670" t="s">
        <v>2417</v>
      </c>
      <c r="E88" s="670" t="s">
        <v>2415</v>
      </c>
      <c r="F88" s="238"/>
      <c r="G88" s="238"/>
      <c r="H88" s="238"/>
      <c r="I88" s="238"/>
      <c r="J88" s="238">
        <v>4</v>
      </c>
      <c r="K88" s="238">
        <v>30880</v>
      </c>
      <c r="L88" s="238"/>
      <c r="M88" s="238">
        <v>7720</v>
      </c>
      <c r="N88" s="238"/>
      <c r="O88" s="238"/>
      <c r="P88" s="681"/>
      <c r="Q88" s="712"/>
    </row>
    <row r="89" spans="1:17" ht="14.4" customHeight="1" x14ac:dyDescent="0.3">
      <c r="A89" s="679" t="s">
        <v>507</v>
      </c>
      <c r="B89" s="670" t="s">
        <v>2310</v>
      </c>
      <c r="C89" s="670" t="s">
        <v>2341</v>
      </c>
      <c r="D89" s="670" t="s">
        <v>2418</v>
      </c>
      <c r="E89" s="670" t="s">
        <v>2419</v>
      </c>
      <c r="F89" s="238"/>
      <c r="G89" s="238"/>
      <c r="H89" s="238"/>
      <c r="I89" s="238"/>
      <c r="J89" s="238">
        <v>77</v>
      </c>
      <c r="K89" s="238">
        <v>626241</v>
      </c>
      <c r="L89" s="238"/>
      <c r="M89" s="238">
        <v>8133</v>
      </c>
      <c r="N89" s="238">
        <v>40</v>
      </c>
      <c r="O89" s="238">
        <v>325320</v>
      </c>
      <c r="P89" s="681"/>
      <c r="Q89" s="712">
        <v>8133</v>
      </c>
    </row>
    <row r="90" spans="1:17" ht="14.4" customHeight="1" x14ac:dyDescent="0.3">
      <c r="A90" s="679" t="s">
        <v>507</v>
      </c>
      <c r="B90" s="670" t="s">
        <v>2310</v>
      </c>
      <c r="C90" s="670" t="s">
        <v>2341</v>
      </c>
      <c r="D90" s="670" t="s">
        <v>2420</v>
      </c>
      <c r="E90" s="670" t="s">
        <v>2421</v>
      </c>
      <c r="F90" s="238"/>
      <c r="G90" s="238"/>
      <c r="H90" s="238"/>
      <c r="I90" s="238"/>
      <c r="J90" s="238">
        <v>2</v>
      </c>
      <c r="K90" s="238">
        <v>12492</v>
      </c>
      <c r="L90" s="238"/>
      <c r="M90" s="238">
        <v>6246</v>
      </c>
      <c r="N90" s="238"/>
      <c r="O90" s="238"/>
      <c r="P90" s="681"/>
      <c r="Q90" s="712"/>
    </row>
    <row r="91" spans="1:17" ht="14.4" customHeight="1" x14ac:dyDescent="0.3">
      <c r="A91" s="679" t="s">
        <v>507</v>
      </c>
      <c r="B91" s="670" t="s">
        <v>2310</v>
      </c>
      <c r="C91" s="670" t="s">
        <v>2341</v>
      </c>
      <c r="D91" s="670" t="s">
        <v>2422</v>
      </c>
      <c r="E91" s="670" t="s">
        <v>2419</v>
      </c>
      <c r="F91" s="238">
        <v>28</v>
      </c>
      <c r="G91" s="238">
        <v>144457.76</v>
      </c>
      <c r="H91" s="238">
        <v>1</v>
      </c>
      <c r="I91" s="238">
        <v>5159.2057142857147</v>
      </c>
      <c r="J91" s="238">
        <v>29</v>
      </c>
      <c r="K91" s="238">
        <v>166721</v>
      </c>
      <c r="L91" s="238">
        <v>1.1541159159604855</v>
      </c>
      <c r="M91" s="238">
        <v>5749</v>
      </c>
      <c r="N91" s="238">
        <v>20</v>
      </c>
      <c r="O91" s="238">
        <v>114980</v>
      </c>
      <c r="P91" s="681">
        <v>0.79594201100723139</v>
      </c>
      <c r="Q91" s="712">
        <v>5749</v>
      </c>
    </row>
    <row r="92" spans="1:17" ht="14.4" customHeight="1" x14ac:dyDescent="0.3">
      <c r="A92" s="679" t="s">
        <v>507</v>
      </c>
      <c r="B92" s="670" t="s">
        <v>2310</v>
      </c>
      <c r="C92" s="670" t="s">
        <v>2341</v>
      </c>
      <c r="D92" s="670" t="s">
        <v>2423</v>
      </c>
      <c r="E92" s="670" t="s">
        <v>2421</v>
      </c>
      <c r="F92" s="238">
        <v>51</v>
      </c>
      <c r="G92" s="238">
        <v>133977</v>
      </c>
      <c r="H92" s="238">
        <v>1</v>
      </c>
      <c r="I92" s="238">
        <v>2627</v>
      </c>
      <c r="J92" s="238">
        <v>81</v>
      </c>
      <c r="K92" s="238">
        <v>220482</v>
      </c>
      <c r="L92" s="238">
        <v>1.6456705255379656</v>
      </c>
      <c r="M92" s="238">
        <v>2722</v>
      </c>
      <c r="N92" s="238">
        <v>42</v>
      </c>
      <c r="O92" s="238">
        <v>114324</v>
      </c>
      <c r="P92" s="681">
        <v>0.85331064287153768</v>
      </c>
      <c r="Q92" s="712">
        <v>2722</v>
      </c>
    </row>
    <row r="93" spans="1:17" ht="14.4" customHeight="1" x14ac:dyDescent="0.3">
      <c r="A93" s="679" t="s">
        <v>507</v>
      </c>
      <c r="B93" s="670" t="s">
        <v>2310</v>
      </c>
      <c r="C93" s="670" t="s">
        <v>2341</v>
      </c>
      <c r="D93" s="670" t="s">
        <v>2424</v>
      </c>
      <c r="E93" s="670" t="s">
        <v>2425</v>
      </c>
      <c r="F93" s="238">
        <v>3</v>
      </c>
      <c r="G93" s="238">
        <v>51477.21</v>
      </c>
      <c r="H93" s="238">
        <v>1</v>
      </c>
      <c r="I93" s="238">
        <v>17159.07</v>
      </c>
      <c r="J93" s="238">
        <v>5</v>
      </c>
      <c r="K93" s="238">
        <v>85795.35</v>
      </c>
      <c r="L93" s="238">
        <v>1.6666666666666667</v>
      </c>
      <c r="M93" s="238">
        <v>17159.07</v>
      </c>
      <c r="N93" s="238">
        <v>1</v>
      </c>
      <c r="O93" s="238">
        <v>17159.07</v>
      </c>
      <c r="P93" s="681">
        <v>0.33333333333333331</v>
      </c>
      <c r="Q93" s="712">
        <v>17159.07</v>
      </c>
    </row>
    <row r="94" spans="1:17" ht="14.4" customHeight="1" x14ac:dyDescent="0.3">
      <c r="A94" s="679" t="s">
        <v>507</v>
      </c>
      <c r="B94" s="670" t="s">
        <v>2310</v>
      </c>
      <c r="C94" s="670" t="s">
        <v>2341</v>
      </c>
      <c r="D94" s="670" t="s">
        <v>2426</v>
      </c>
      <c r="E94" s="670" t="s">
        <v>2427</v>
      </c>
      <c r="F94" s="238"/>
      <c r="G94" s="238"/>
      <c r="H94" s="238"/>
      <c r="I94" s="238"/>
      <c r="J94" s="238">
        <v>1</v>
      </c>
      <c r="K94" s="238">
        <v>62658</v>
      </c>
      <c r="L94" s="238"/>
      <c r="M94" s="238">
        <v>62658</v>
      </c>
      <c r="N94" s="238"/>
      <c r="O94" s="238"/>
      <c r="P94" s="681"/>
      <c r="Q94" s="712"/>
    </row>
    <row r="95" spans="1:17" ht="14.4" customHeight="1" x14ac:dyDescent="0.3">
      <c r="A95" s="679" t="s">
        <v>507</v>
      </c>
      <c r="B95" s="670" t="s">
        <v>2310</v>
      </c>
      <c r="C95" s="670" t="s">
        <v>2341</v>
      </c>
      <c r="D95" s="670" t="s">
        <v>2428</v>
      </c>
      <c r="E95" s="670" t="s">
        <v>2429</v>
      </c>
      <c r="F95" s="238">
        <v>2</v>
      </c>
      <c r="G95" s="238">
        <v>13794</v>
      </c>
      <c r="H95" s="238">
        <v>1</v>
      </c>
      <c r="I95" s="238">
        <v>6897</v>
      </c>
      <c r="J95" s="238"/>
      <c r="K95" s="238"/>
      <c r="L95" s="238"/>
      <c r="M95" s="238"/>
      <c r="N95" s="238"/>
      <c r="O95" s="238"/>
      <c r="P95" s="681"/>
      <c r="Q95" s="712"/>
    </row>
    <row r="96" spans="1:17" ht="14.4" customHeight="1" x14ac:dyDescent="0.3">
      <c r="A96" s="679" t="s">
        <v>507</v>
      </c>
      <c r="B96" s="670" t="s">
        <v>2310</v>
      </c>
      <c r="C96" s="670" t="s">
        <v>2341</v>
      </c>
      <c r="D96" s="670" t="s">
        <v>2430</v>
      </c>
      <c r="E96" s="670" t="s">
        <v>2431</v>
      </c>
      <c r="F96" s="238">
        <v>2</v>
      </c>
      <c r="G96" s="238">
        <v>39120</v>
      </c>
      <c r="H96" s="238">
        <v>1</v>
      </c>
      <c r="I96" s="238">
        <v>19560</v>
      </c>
      <c r="J96" s="238"/>
      <c r="K96" s="238"/>
      <c r="L96" s="238"/>
      <c r="M96" s="238"/>
      <c r="N96" s="238"/>
      <c r="O96" s="238"/>
      <c r="P96" s="681"/>
      <c r="Q96" s="712"/>
    </row>
    <row r="97" spans="1:17" ht="14.4" customHeight="1" x14ac:dyDescent="0.3">
      <c r="A97" s="679" t="s">
        <v>507</v>
      </c>
      <c r="B97" s="670" t="s">
        <v>2310</v>
      </c>
      <c r="C97" s="670" t="s">
        <v>2341</v>
      </c>
      <c r="D97" s="670" t="s">
        <v>2432</v>
      </c>
      <c r="E97" s="670" t="s">
        <v>2433</v>
      </c>
      <c r="F97" s="238">
        <v>1</v>
      </c>
      <c r="G97" s="238">
        <v>5835.76</v>
      </c>
      <c r="H97" s="238">
        <v>1</v>
      </c>
      <c r="I97" s="238">
        <v>5835.76</v>
      </c>
      <c r="J97" s="238">
        <v>1</v>
      </c>
      <c r="K97" s="238">
        <v>5835.76</v>
      </c>
      <c r="L97" s="238">
        <v>1</v>
      </c>
      <c r="M97" s="238">
        <v>5835.76</v>
      </c>
      <c r="N97" s="238"/>
      <c r="O97" s="238"/>
      <c r="P97" s="681"/>
      <c r="Q97" s="712"/>
    </row>
    <row r="98" spans="1:17" ht="14.4" customHeight="1" x14ac:dyDescent="0.3">
      <c r="A98" s="679" t="s">
        <v>507</v>
      </c>
      <c r="B98" s="670" t="s">
        <v>2310</v>
      </c>
      <c r="C98" s="670" t="s">
        <v>2341</v>
      </c>
      <c r="D98" s="670" t="s">
        <v>2434</v>
      </c>
      <c r="E98" s="670" t="s">
        <v>2433</v>
      </c>
      <c r="F98" s="238">
        <v>1</v>
      </c>
      <c r="G98" s="238">
        <v>5825.4</v>
      </c>
      <c r="H98" s="238">
        <v>1</v>
      </c>
      <c r="I98" s="238">
        <v>5825.4</v>
      </c>
      <c r="J98" s="238"/>
      <c r="K98" s="238"/>
      <c r="L98" s="238"/>
      <c r="M98" s="238"/>
      <c r="N98" s="238">
        <v>1</v>
      </c>
      <c r="O98" s="238">
        <v>5825.4</v>
      </c>
      <c r="P98" s="681">
        <v>1</v>
      </c>
      <c r="Q98" s="712">
        <v>5825.4</v>
      </c>
    </row>
    <row r="99" spans="1:17" ht="14.4" customHeight="1" x14ac:dyDescent="0.3">
      <c r="A99" s="679" t="s">
        <v>507</v>
      </c>
      <c r="B99" s="670" t="s">
        <v>2310</v>
      </c>
      <c r="C99" s="670" t="s">
        <v>2341</v>
      </c>
      <c r="D99" s="670" t="s">
        <v>2435</v>
      </c>
      <c r="E99" s="670" t="s">
        <v>2433</v>
      </c>
      <c r="F99" s="238">
        <v>1</v>
      </c>
      <c r="G99" s="238">
        <v>8630.84</v>
      </c>
      <c r="H99" s="238">
        <v>1</v>
      </c>
      <c r="I99" s="238">
        <v>8630.84</v>
      </c>
      <c r="J99" s="238"/>
      <c r="K99" s="238"/>
      <c r="L99" s="238"/>
      <c r="M99" s="238"/>
      <c r="N99" s="238"/>
      <c r="O99" s="238"/>
      <c r="P99" s="681"/>
      <c r="Q99" s="712"/>
    </row>
    <row r="100" spans="1:17" ht="14.4" customHeight="1" x14ac:dyDescent="0.3">
      <c r="A100" s="679" t="s">
        <v>507</v>
      </c>
      <c r="B100" s="670" t="s">
        <v>2310</v>
      </c>
      <c r="C100" s="670" t="s">
        <v>2341</v>
      </c>
      <c r="D100" s="670" t="s">
        <v>2436</v>
      </c>
      <c r="E100" s="670" t="s">
        <v>2437</v>
      </c>
      <c r="F100" s="238"/>
      <c r="G100" s="238"/>
      <c r="H100" s="238"/>
      <c r="I100" s="238"/>
      <c r="J100" s="238">
        <v>4</v>
      </c>
      <c r="K100" s="238">
        <v>6006.76</v>
      </c>
      <c r="L100" s="238"/>
      <c r="M100" s="238">
        <v>1501.69</v>
      </c>
      <c r="N100" s="238"/>
      <c r="O100" s="238"/>
      <c r="P100" s="681"/>
      <c r="Q100" s="712"/>
    </row>
    <row r="101" spans="1:17" ht="14.4" customHeight="1" x14ac:dyDescent="0.3">
      <c r="A101" s="679" t="s">
        <v>507</v>
      </c>
      <c r="B101" s="670" t="s">
        <v>2310</v>
      </c>
      <c r="C101" s="670" t="s">
        <v>2341</v>
      </c>
      <c r="D101" s="670" t="s">
        <v>2438</v>
      </c>
      <c r="E101" s="670" t="s">
        <v>2439</v>
      </c>
      <c r="F101" s="238"/>
      <c r="G101" s="238"/>
      <c r="H101" s="238"/>
      <c r="I101" s="238"/>
      <c r="J101" s="238">
        <v>4</v>
      </c>
      <c r="K101" s="238">
        <v>43858.92</v>
      </c>
      <c r="L101" s="238"/>
      <c r="M101" s="238">
        <v>10964.73</v>
      </c>
      <c r="N101" s="238"/>
      <c r="O101" s="238"/>
      <c r="P101" s="681"/>
      <c r="Q101" s="712"/>
    </row>
    <row r="102" spans="1:17" ht="14.4" customHeight="1" x14ac:dyDescent="0.3">
      <c r="A102" s="679" t="s">
        <v>507</v>
      </c>
      <c r="B102" s="670" t="s">
        <v>2310</v>
      </c>
      <c r="C102" s="670" t="s">
        <v>2341</v>
      </c>
      <c r="D102" s="670" t="s">
        <v>2440</v>
      </c>
      <c r="E102" s="670" t="s">
        <v>2439</v>
      </c>
      <c r="F102" s="238"/>
      <c r="G102" s="238"/>
      <c r="H102" s="238"/>
      <c r="I102" s="238"/>
      <c r="J102" s="238">
        <v>4</v>
      </c>
      <c r="K102" s="238">
        <v>4767.28</v>
      </c>
      <c r="L102" s="238"/>
      <c r="M102" s="238">
        <v>1191.82</v>
      </c>
      <c r="N102" s="238"/>
      <c r="O102" s="238"/>
      <c r="P102" s="681"/>
      <c r="Q102" s="712"/>
    </row>
    <row r="103" spans="1:17" ht="14.4" customHeight="1" x14ac:dyDescent="0.3">
      <c r="A103" s="679" t="s">
        <v>507</v>
      </c>
      <c r="B103" s="670" t="s">
        <v>2310</v>
      </c>
      <c r="C103" s="670" t="s">
        <v>2341</v>
      </c>
      <c r="D103" s="670" t="s">
        <v>2441</v>
      </c>
      <c r="E103" s="670" t="s">
        <v>2439</v>
      </c>
      <c r="F103" s="238"/>
      <c r="G103" s="238"/>
      <c r="H103" s="238"/>
      <c r="I103" s="238"/>
      <c r="J103" s="238">
        <v>2</v>
      </c>
      <c r="K103" s="238">
        <v>11439.38</v>
      </c>
      <c r="L103" s="238"/>
      <c r="M103" s="238">
        <v>5719.69</v>
      </c>
      <c r="N103" s="238"/>
      <c r="O103" s="238"/>
      <c r="P103" s="681"/>
      <c r="Q103" s="712"/>
    </row>
    <row r="104" spans="1:17" ht="14.4" customHeight="1" x14ac:dyDescent="0.3">
      <c r="A104" s="679" t="s">
        <v>507</v>
      </c>
      <c r="B104" s="670" t="s">
        <v>2310</v>
      </c>
      <c r="C104" s="670" t="s">
        <v>2341</v>
      </c>
      <c r="D104" s="670" t="s">
        <v>2442</v>
      </c>
      <c r="E104" s="670" t="s">
        <v>2439</v>
      </c>
      <c r="F104" s="238"/>
      <c r="G104" s="238"/>
      <c r="H104" s="238"/>
      <c r="I104" s="238"/>
      <c r="J104" s="238">
        <v>4</v>
      </c>
      <c r="K104" s="238">
        <v>19019.36</v>
      </c>
      <c r="L104" s="238"/>
      <c r="M104" s="238">
        <v>4754.84</v>
      </c>
      <c r="N104" s="238"/>
      <c r="O104" s="238"/>
      <c r="P104" s="681"/>
      <c r="Q104" s="712"/>
    </row>
    <row r="105" spans="1:17" ht="14.4" customHeight="1" x14ac:dyDescent="0.3">
      <c r="A105" s="679" t="s">
        <v>507</v>
      </c>
      <c r="B105" s="670" t="s">
        <v>2310</v>
      </c>
      <c r="C105" s="670" t="s">
        <v>2341</v>
      </c>
      <c r="D105" s="670" t="s">
        <v>2443</v>
      </c>
      <c r="E105" s="670" t="s">
        <v>2444</v>
      </c>
      <c r="F105" s="238">
        <v>2</v>
      </c>
      <c r="G105" s="238">
        <v>11047.64</v>
      </c>
      <c r="H105" s="238">
        <v>1</v>
      </c>
      <c r="I105" s="238">
        <v>5523.82</v>
      </c>
      <c r="J105" s="238">
        <v>2</v>
      </c>
      <c r="K105" s="238">
        <v>11047.64</v>
      </c>
      <c r="L105" s="238">
        <v>1</v>
      </c>
      <c r="M105" s="238">
        <v>5523.82</v>
      </c>
      <c r="N105" s="238">
        <v>3</v>
      </c>
      <c r="O105" s="238">
        <v>16571.46</v>
      </c>
      <c r="P105" s="681">
        <v>1.5</v>
      </c>
      <c r="Q105" s="712">
        <v>5523.82</v>
      </c>
    </row>
    <row r="106" spans="1:17" ht="14.4" customHeight="1" x14ac:dyDescent="0.3">
      <c r="A106" s="679" t="s">
        <v>507</v>
      </c>
      <c r="B106" s="670" t="s">
        <v>2310</v>
      </c>
      <c r="C106" s="670" t="s">
        <v>2341</v>
      </c>
      <c r="D106" s="670" t="s">
        <v>2445</v>
      </c>
      <c r="E106" s="670" t="s">
        <v>2444</v>
      </c>
      <c r="F106" s="238"/>
      <c r="G106" s="238"/>
      <c r="H106" s="238"/>
      <c r="I106" s="238"/>
      <c r="J106" s="238"/>
      <c r="K106" s="238"/>
      <c r="L106" s="238"/>
      <c r="M106" s="238"/>
      <c r="N106" s="238">
        <v>4</v>
      </c>
      <c r="O106" s="238">
        <v>25138.04</v>
      </c>
      <c r="P106" s="681"/>
      <c r="Q106" s="712">
        <v>6284.51</v>
      </c>
    </row>
    <row r="107" spans="1:17" ht="14.4" customHeight="1" x14ac:dyDescent="0.3">
      <c r="A107" s="679" t="s">
        <v>507</v>
      </c>
      <c r="B107" s="670" t="s">
        <v>2310</v>
      </c>
      <c r="C107" s="670" t="s">
        <v>2341</v>
      </c>
      <c r="D107" s="670" t="s">
        <v>2446</v>
      </c>
      <c r="E107" s="670" t="s">
        <v>2447</v>
      </c>
      <c r="F107" s="238"/>
      <c r="G107" s="238"/>
      <c r="H107" s="238"/>
      <c r="I107" s="238"/>
      <c r="J107" s="238"/>
      <c r="K107" s="238"/>
      <c r="L107" s="238"/>
      <c r="M107" s="238"/>
      <c r="N107" s="238">
        <v>1</v>
      </c>
      <c r="O107" s="238">
        <v>8747</v>
      </c>
      <c r="P107" s="681"/>
      <c r="Q107" s="712">
        <v>8747</v>
      </c>
    </row>
    <row r="108" spans="1:17" ht="14.4" customHeight="1" x14ac:dyDescent="0.3">
      <c r="A108" s="679" t="s">
        <v>507</v>
      </c>
      <c r="B108" s="670" t="s">
        <v>2310</v>
      </c>
      <c r="C108" s="670" t="s">
        <v>2341</v>
      </c>
      <c r="D108" s="670" t="s">
        <v>2448</v>
      </c>
      <c r="E108" s="670" t="s">
        <v>2449</v>
      </c>
      <c r="F108" s="238">
        <v>17</v>
      </c>
      <c r="G108" s="238">
        <v>51638.86</v>
      </c>
      <c r="H108" s="238">
        <v>1</v>
      </c>
      <c r="I108" s="238">
        <v>3037.58</v>
      </c>
      <c r="J108" s="238"/>
      <c r="K108" s="238"/>
      <c r="L108" s="238"/>
      <c r="M108" s="238"/>
      <c r="N108" s="238"/>
      <c r="O108" s="238"/>
      <c r="P108" s="681"/>
      <c r="Q108" s="712"/>
    </row>
    <row r="109" spans="1:17" ht="14.4" customHeight="1" x14ac:dyDescent="0.3">
      <c r="A109" s="679" t="s">
        <v>507</v>
      </c>
      <c r="B109" s="670" t="s">
        <v>2310</v>
      </c>
      <c r="C109" s="670" t="s">
        <v>2341</v>
      </c>
      <c r="D109" s="670" t="s">
        <v>2450</v>
      </c>
      <c r="E109" s="670" t="s">
        <v>2451</v>
      </c>
      <c r="F109" s="238">
        <v>4</v>
      </c>
      <c r="G109" s="238">
        <v>63446.2</v>
      </c>
      <c r="H109" s="238">
        <v>1</v>
      </c>
      <c r="I109" s="238">
        <v>15861.55</v>
      </c>
      <c r="J109" s="238"/>
      <c r="K109" s="238"/>
      <c r="L109" s="238"/>
      <c r="M109" s="238"/>
      <c r="N109" s="238"/>
      <c r="O109" s="238"/>
      <c r="P109" s="681"/>
      <c r="Q109" s="712"/>
    </row>
    <row r="110" spans="1:17" ht="14.4" customHeight="1" x14ac:dyDescent="0.3">
      <c r="A110" s="679" t="s">
        <v>507</v>
      </c>
      <c r="B110" s="670" t="s">
        <v>2310</v>
      </c>
      <c r="C110" s="670" t="s">
        <v>2341</v>
      </c>
      <c r="D110" s="670" t="s">
        <v>2452</v>
      </c>
      <c r="E110" s="670" t="s">
        <v>2453</v>
      </c>
      <c r="F110" s="238">
        <v>1</v>
      </c>
      <c r="G110" s="238">
        <v>14651.07</v>
      </c>
      <c r="H110" s="238">
        <v>1</v>
      </c>
      <c r="I110" s="238">
        <v>14651.07</v>
      </c>
      <c r="J110" s="238"/>
      <c r="K110" s="238"/>
      <c r="L110" s="238"/>
      <c r="M110" s="238"/>
      <c r="N110" s="238"/>
      <c r="O110" s="238"/>
      <c r="P110" s="681"/>
      <c r="Q110" s="712"/>
    </row>
    <row r="111" spans="1:17" ht="14.4" customHeight="1" x14ac:dyDescent="0.3">
      <c r="A111" s="679" t="s">
        <v>507</v>
      </c>
      <c r="B111" s="670" t="s">
        <v>2310</v>
      </c>
      <c r="C111" s="670" t="s">
        <v>2341</v>
      </c>
      <c r="D111" s="670" t="s">
        <v>2454</v>
      </c>
      <c r="E111" s="670" t="s">
        <v>2455</v>
      </c>
      <c r="F111" s="238">
        <v>2</v>
      </c>
      <c r="G111" s="238">
        <v>83602</v>
      </c>
      <c r="H111" s="238">
        <v>1</v>
      </c>
      <c r="I111" s="238">
        <v>41801</v>
      </c>
      <c r="J111" s="238"/>
      <c r="K111" s="238"/>
      <c r="L111" s="238"/>
      <c r="M111" s="238"/>
      <c r="N111" s="238"/>
      <c r="O111" s="238"/>
      <c r="P111" s="681"/>
      <c r="Q111" s="712"/>
    </row>
    <row r="112" spans="1:17" ht="14.4" customHeight="1" x14ac:dyDescent="0.3">
      <c r="A112" s="679" t="s">
        <v>507</v>
      </c>
      <c r="B112" s="670" t="s">
        <v>2310</v>
      </c>
      <c r="C112" s="670" t="s">
        <v>2341</v>
      </c>
      <c r="D112" s="670" t="s">
        <v>2456</v>
      </c>
      <c r="E112" s="670" t="s">
        <v>2449</v>
      </c>
      <c r="F112" s="238">
        <v>21</v>
      </c>
      <c r="G112" s="238">
        <v>281120.91000000003</v>
      </c>
      <c r="H112" s="238">
        <v>1</v>
      </c>
      <c r="I112" s="238">
        <v>13386.710000000001</v>
      </c>
      <c r="J112" s="238"/>
      <c r="K112" s="238"/>
      <c r="L112" s="238"/>
      <c r="M112" s="238"/>
      <c r="N112" s="238"/>
      <c r="O112" s="238"/>
      <c r="P112" s="681"/>
      <c r="Q112" s="712"/>
    </row>
    <row r="113" spans="1:17" ht="14.4" customHeight="1" x14ac:dyDescent="0.3">
      <c r="A113" s="679" t="s">
        <v>507</v>
      </c>
      <c r="B113" s="670" t="s">
        <v>2310</v>
      </c>
      <c r="C113" s="670" t="s">
        <v>2341</v>
      </c>
      <c r="D113" s="670" t="s">
        <v>2457</v>
      </c>
      <c r="E113" s="670" t="s">
        <v>2458</v>
      </c>
      <c r="F113" s="238">
        <v>1</v>
      </c>
      <c r="G113" s="238">
        <v>713.02</v>
      </c>
      <c r="H113" s="238">
        <v>1</v>
      </c>
      <c r="I113" s="238">
        <v>713.02</v>
      </c>
      <c r="J113" s="238"/>
      <c r="K113" s="238"/>
      <c r="L113" s="238"/>
      <c r="M113" s="238"/>
      <c r="N113" s="238"/>
      <c r="O113" s="238"/>
      <c r="P113" s="681"/>
      <c r="Q113" s="712"/>
    </row>
    <row r="114" spans="1:17" ht="14.4" customHeight="1" x14ac:dyDescent="0.3">
      <c r="A114" s="679" t="s">
        <v>507</v>
      </c>
      <c r="B114" s="670" t="s">
        <v>2310</v>
      </c>
      <c r="C114" s="670" t="s">
        <v>2341</v>
      </c>
      <c r="D114" s="670" t="s">
        <v>2459</v>
      </c>
      <c r="E114" s="670" t="s">
        <v>2460</v>
      </c>
      <c r="F114" s="238">
        <v>8</v>
      </c>
      <c r="G114" s="238">
        <v>52136</v>
      </c>
      <c r="H114" s="238">
        <v>1</v>
      </c>
      <c r="I114" s="238">
        <v>6517</v>
      </c>
      <c r="J114" s="238">
        <v>2</v>
      </c>
      <c r="K114" s="238">
        <v>13034</v>
      </c>
      <c r="L114" s="238">
        <v>0.25</v>
      </c>
      <c r="M114" s="238">
        <v>6517</v>
      </c>
      <c r="N114" s="238">
        <v>1</v>
      </c>
      <c r="O114" s="238">
        <v>6517</v>
      </c>
      <c r="P114" s="681">
        <v>0.125</v>
      </c>
      <c r="Q114" s="712">
        <v>6517</v>
      </c>
    </row>
    <row r="115" spans="1:17" ht="14.4" customHeight="1" x14ac:dyDescent="0.3">
      <c r="A115" s="679" t="s">
        <v>507</v>
      </c>
      <c r="B115" s="670" t="s">
        <v>2310</v>
      </c>
      <c r="C115" s="670" t="s">
        <v>2341</v>
      </c>
      <c r="D115" s="670" t="s">
        <v>2461</v>
      </c>
      <c r="E115" s="670" t="s">
        <v>2460</v>
      </c>
      <c r="F115" s="238">
        <v>3</v>
      </c>
      <c r="G115" s="238">
        <v>38781</v>
      </c>
      <c r="H115" s="238">
        <v>1</v>
      </c>
      <c r="I115" s="238">
        <v>12927</v>
      </c>
      <c r="J115" s="238"/>
      <c r="K115" s="238"/>
      <c r="L115" s="238"/>
      <c r="M115" s="238"/>
      <c r="N115" s="238"/>
      <c r="O115" s="238"/>
      <c r="P115" s="681"/>
      <c r="Q115" s="712"/>
    </row>
    <row r="116" spans="1:17" ht="14.4" customHeight="1" x14ac:dyDescent="0.3">
      <c r="A116" s="679" t="s">
        <v>507</v>
      </c>
      <c r="B116" s="670" t="s">
        <v>2310</v>
      </c>
      <c r="C116" s="670" t="s">
        <v>2341</v>
      </c>
      <c r="D116" s="670" t="s">
        <v>2462</v>
      </c>
      <c r="E116" s="670" t="s">
        <v>2463</v>
      </c>
      <c r="F116" s="238">
        <v>1</v>
      </c>
      <c r="G116" s="238">
        <v>353764</v>
      </c>
      <c r="H116" s="238">
        <v>1</v>
      </c>
      <c r="I116" s="238">
        <v>353764</v>
      </c>
      <c r="J116" s="238"/>
      <c r="K116" s="238"/>
      <c r="L116" s="238"/>
      <c r="M116" s="238"/>
      <c r="N116" s="238"/>
      <c r="O116" s="238"/>
      <c r="P116" s="681"/>
      <c r="Q116" s="712"/>
    </row>
    <row r="117" spans="1:17" ht="14.4" customHeight="1" x14ac:dyDescent="0.3">
      <c r="A117" s="679" t="s">
        <v>507</v>
      </c>
      <c r="B117" s="670" t="s">
        <v>2310</v>
      </c>
      <c r="C117" s="670" t="s">
        <v>2341</v>
      </c>
      <c r="D117" s="670" t="s">
        <v>2464</v>
      </c>
      <c r="E117" s="670" t="s">
        <v>2465</v>
      </c>
      <c r="F117" s="238">
        <v>10</v>
      </c>
      <c r="G117" s="238">
        <v>38739.300000000003</v>
      </c>
      <c r="H117" s="238">
        <v>1</v>
      </c>
      <c r="I117" s="238">
        <v>3873.9300000000003</v>
      </c>
      <c r="J117" s="238"/>
      <c r="K117" s="238"/>
      <c r="L117" s="238"/>
      <c r="M117" s="238"/>
      <c r="N117" s="238"/>
      <c r="O117" s="238"/>
      <c r="P117" s="681"/>
      <c r="Q117" s="712"/>
    </row>
    <row r="118" spans="1:17" ht="14.4" customHeight="1" x14ac:dyDescent="0.3">
      <c r="A118" s="679" t="s">
        <v>507</v>
      </c>
      <c r="B118" s="670" t="s">
        <v>2310</v>
      </c>
      <c r="C118" s="670" t="s">
        <v>2341</v>
      </c>
      <c r="D118" s="670" t="s">
        <v>2466</v>
      </c>
      <c r="E118" s="670" t="s">
        <v>2467</v>
      </c>
      <c r="F118" s="238"/>
      <c r="G118" s="238"/>
      <c r="H118" s="238"/>
      <c r="I118" s="238"/>
      <c r="J118" s="238">
        <v>1</v>
      </c>
      <c r="K118" s="238">
        <v>16913</v>
      </c>
      <c r="L118" s="238"/>
      <c r="M118" s="238">
        <v>16913</v>
      </c>
      <c r="N118" s="238">
        <v>9</v>
      </c>
      <c r="O118" s="238">
        <v>152217</v>
      </c>
      <c r="P118" s="681"/>
      <c r="Q118" s="712">
        <v>16913</v>
      </c>
    </row>
    <row r="119" spans="1:17" ht="14.4" customHeight="1" x14ac:dyDescent="0.3">
      <c r="A119" s="679" t="s">
        <v>507</v>
      </c>
      <c r="B119" s="670" t="s">
        <v>2310</v>
      </c>
      <c r="C119" s="670" t="s">
        <v>2341</v>
      </c>
      <c r="D119" s="670" t="s">
        <v>2468</v>
      </c>
      <c r="E119" s="670" t="s">
        <v>2421</v>
      </c>
      <c r="F119" s="238">
        <v>4</v>
      </c>
      <c r="G119" s="238">
        <v>10880</v>
      </c>
      <c r="H119" s="238">
        <v>1</v>
      </c>
      <c r="I119" s="238">
        <v>2720</v>
      </c>
      <c r="J119" s="238"/>
      <c r="K119" s="238"/>
      <c r="L119" s="238"/>
      <c r="M119" s="238"/>
      <c r="N119" s="238"/>
      <c r="O119" s="238"/>
      <c r="P119" s="681"/>
      <c r="Q119" s="712"/>
    </row>
    <row r="120" spans="1:17" ht="14.4" customHeight="1" x14ac:dyDescent="0.3">
      <c r="A120" s="679" t="s">
        <v>507</v>
      </c>
      <c r="B120" s="670" t="s">
        <v>2310</v>
      </c>
      <c r="C120" s="670" t="s">
        <v>2341</v>
      </c>
      <c r="D120" s="670" t="s">
        <v>2469</v>
      </c>
      <c r="E120" s="670" t="s">
        <v>2470</v>
      </c>
      <c r="F120" s="238">
        <v>2</v>
      </c>
      <c r="G120" s="238">
        <v>67334.62</v>
      </c>
      <c r="H120" s="238">
        <v>1</v>
      </c>
      <c r="I120" s="238">
        <v>33667.31</v>
      </c>
      <c r="J120" s="238">
        <v>1</v>
      </c>
      <c r="K120" s="238">
        <v>33667.31</v>
      </c>
      <c r="L120" s="238">
        <v>0.5</v>
      </c>
      <c r="M120" s="238">
        <v>33667.31</v>
      </c>
      <c r="N120" s="238">
        <v>2</v>
      </c>
      <c r="O120" s="238">
        <v>67334.62</v>
      </c>
      <c r="P120" s="681">
        <v>1</v>
      </c>
      <c r="Q120" s="712">
        <v>33667.31</v>
      </c>
    </row>
    <row r="121" spans="1:17" ht="14.4" customHeight="1" x14ac:dyDescent="0.3">
      <c r="A121" s="679" t="s">
        <v>507</v>
      </c>
      <c r="B121" s="670" t="s">
        <v>2310</v>
      </c>
      <c r="C121" s="670" t="s">
        <v>2341</v>
      </c>
      <c r="D121" s="670" t="s">
        <v>2471</v>
      </c>
      <c r="E121" s="670" t="s">
        <v>2472</v>
      </c>
      <c r="F121" s="238">
        <v>8</v>
      </c>
      <c r="G121" s="238">
        <v>120680</v>
      </c>
      <c r="H121" s="238">
        <v>1</v>
      </c>
      <c r="I121" s="238">
        <v>15085</v>
      </c>
      <c r="J121" s="238"/>
      <c r="K121" s="238"/>
      <c r="L121" s="238"/>
      <c r="M121" s="238"/>
      <c r="N121" s="238"/>
      <c r="O121" s="238"/>
      <c r="P121" s="681"/>
      <c r="Q121" s="712"/>
    </row>
    <row r="122" spans="1:17" ht="14.4" customHeight="1" x14ac:dyDescent="0.3">
      <c r="A122" s="679" t="s">
        <v>507</v>
      </c>
      <c r="B122" s="670" t="s">
        <v>2310</v>
      </c>
      <c r="C122" s="670" t="s">
        <v>2341</v>
      </c>
      <c r="D122" s="670" t="s">
        <v>2473</v>
      </c>
      <c r="E122" s="670" t="s">
        <v>2474</v>
      </c>
      <c r="F122" s="238"/>
      <c r="G122" s="238"/>
      <c r="H122" s="238"/>
      <c r="I122" s="238"/>
      <c r="J122" s="238">
        <v>4</v>
      </c>
      <c r="K122" s="238">
        <v>56660.08</v>
      </c>
      <c r="L122" s="238"/>
      <c r="M122" s="238">
        <v>14165.02</v>
      </c>
      <c r="N122" s="238">
        <v>4</v>
      </c>
      <c r="O122" s="238">
        <v>56660.08</v>
      </c>
      <c r="P122" s="681"/>
      <c r="Q122" s="712">
        <v>14165.02</v>
      </c>
    </row>
    <row r="123" spans="1:17" ht="14.4" customHeight="1" x14ac:dyDescent="0.3">
      <c r="A123" s="679" t="s">
        <v>507</v>
      </c>
      <c r="B123" s="670" t="s">
        <v>2310</v>
      </c>
      <c r="C123" s="670" t="s">
        <v>2341</v>
      </c>
      <c r="D123" s="670" t="s">
        <v>2475</v>
      </c>
      <c r="E123" s="670" t="s">
        <v>2474</v>
      </c>
      <c r="F123" s="238"/>
      <c r="G123" s="238"/>
      <c r="H123" s="238"/>
      <c r="I123" s="238"/>
      <c r="J123" s="238"/>
      <c r="K123" s="238"/>
      <c r="L123" s="238"/>
      <c r="M123" s="238"/>
      <c r="N123" s="238">
        <v>4</v>
      </c>
      <c r="O123" s="238">
        <v>54672</v>
      </c>
      <c r="P123" s="681"/>
      <c r="Q123" s="712">
        <v>13668</v>
      </c>
    </row>
    <row r="124" spans="1:17" ht="14.4" customHeight="1" x14ac:dyDescent="0.3">
      <c r="A124" s="679" t="s">
        <v>507</v>
      </c>
      <c r="B124" s="670" t="s">
        <v>2310</v>
      </c>
      <c r="C124" s="670" t="s">
        <v>2341</v>
      </c>
      <c r="D124" s="670" t="s">
        <v>2476</v>
      </c>
      <c r="E124" s="670" t="s">
        <v>2474</v>
      </c>
      <c r="F124" s="238"/>
      <c r="G124" s="238"/>
      <c r="H124" s="238"/>
      <c r="I124" s="238"/>
      <c r="J124" s="238"/>
      <c r="K124" s="238"/>
      <c r="L124" s="238"/>
      <c r="M124" s="238"/>
      <c r="N124" s="238">
        <v>8</v>
      </c>
      <c r="O124" s="238">
        <v>26821.119999999999</v>
      </c>
      <c r="P124" s="681"/>
      <c r="Q124" s="712">
        <v>3352.64</v>
      </c>
    </row>
    <row r="125" spans="1:17" ht="14.4" customHeight="1" x14ac:dyDescent="0.3">
      <c r="A125" s="679" t="s">
        <v>507</v>
      </c>
      <c r="B125" s="670" t="s">
        <v>2310</v>
      </c>
      <c r="C125" s="670" t="s">
        <v>2341</v>
      </c>
      <c r="D125" s="670" t="s">
        <v>2477</v>
      </c>
      <c r="E125" s="670" t="s">
        <v>2474</v>
      </c>
      <c r="F125" s="238"/>
      <c r="G125" s="238"/>
      <c r="H125" s="238"/>
      <c r="I125" s="238"/>
      <c r="J125" s="238">
        <v>4</v>
      </c>
      <c r="K125" s="238">
        <v>12855.04</v>
      </c>
      <c r="L125" s="238"/>
      <c r="M125" s="238">
        <v>3213.76</v>
      </c>
      <c r="N125" s="238">
        <v>12</v>
      </c>
      <c r="O125" s="238">
        <v>38565.120000000003</v>
      </c>
      <c r="P125" s="681"/>
      <c r="Q125" s="712">
        <v>3213.76</v>
      </c>
    </row>
    <row r="126" spans="1:17" ht="14.4" customHeight="1" x14ac:dyDescent="0.3">
      <c r="A126" s="679" t="s">
        <v>507</v>
      </c>
      <c r="B126" s="670" t="s">
        <v>2310</v>
      </c>
      <c r="C126" s="670" t="s">
        <v>2341</v>
      </c>
      <c r="D126" s="670" t="s">
        <v>2478</v>
      </c>
      <c r="E126" s="670" t="s">
        <v>2474</v>
      </c>
      <c r="F126" s="238"/>
      <c r="G126" s="238"/>
      <c r="H126" s="238"/>
      <c r="I126" s="238"/>
      <c r="J126" s="238">
        <v>2</v>
      </c>
      <c r="K126" s="238">
        <v>8570.7199999999993</v>
      </c>
      <c r="L126" s="238"/>
      <c r="M126" s="238">
        <v>4285.3599999999997</v>
      </c>
      <c r="N126" s="238">
        <v>6</v>
      </c>
      <c r="O126" s="238">
        <v>25712.159999999996</v>
      </c>
      <c r="P126" s="681"/>
      <c r="Q126" s="712">
        <v>4285.3599999999997</v>
      </c>
    </row>
    <row r="127" spans="1:17" ht="14.4" customHeight="1" x14ac:dyDescent="0.3">
      <c r="A127" s="679" t="s">
        <v>507</v>
      </c>
      <c r="B127" s="670" t="s">
        <v>2310</v>
      </c>
      <c r="C127" s="670" t="s">
        <v>2341</v>
      </c>
      <c r="D127" s="670" t="s">
        <v>2479</v>
      </c>
      <c r="E127" s="670" t="s">
        <v>2480</v>
      </c>
      <c r="F127" s="238"/>
      <c r="G127" s="238"/>
      <c r="H127" s="238"/>
      <c r="I127" s="238"/>
      <c r="J127" s="238"/>
      <c r="K127" s="238"/>
      <c r="L127" s="238"/>
      <c r="M127" s="238"/>
      <c r="N127" s="238">
        <v>53</v>
      </c>
      <c r="O127" s="238">
        <v>173310</v>
      </c>
      <c r="P127" s="681"/>
      <c r="Q127" s="712">
        <v>3270</v>
      </c>
    </row>
    <row r="128" spans="1:17" ht="14.4" customHeight="1" x14ac:dyDescent="0.3">
      <c r="A128" s="679" t="s">
        <v>507</v>
      </c>
      <c r="B128" s="670" t="s">
        <v>2310</v>
      </c>
      <c r="C128" s="670" t="s">
        <v>2341</v>
      </c>
      <c r="D128" s="670" t="s">
        <v>2481</v>
      </c>
      <c r="E128" s="670" t="s">
        <v>2480</v>
      </c>
      <c r="F128" s="238"/>
      <c r="G128" s="238"/>
      <c r="H128" s="238"/>
      <c r="I128" s="238"/>
      <c r="J128" s="238"/>
      <c r="K128" s="238"/>
      <c r="L128" s="238"/>
      <c r="M128" s="238"/>
      <c r="N128" s="238">
        <v>26</v>
      </c>
      <c r="O128" s="238">
        <v>164086</v>
      </c>
      <c r="P128" s="681"/>
      <c r="Q128" s="712">
        <v>6311</v>
      </c>
    </row>
    <row r="129" spans="1:17" ht="14.4" customHeight="1" x14ac:dyDescent="0.3">
      <c r="A129" s="679" t="s">
        <v>507</v>
      </c>
      <c r="B129" s="670" t="s">
        <v>2310</v>
      </c>
      <c r="C129" s="670" t="s">
        <v>2341</v>
      </c>
      <c r="D129" s="670" t="s">
        <v>2482</v>
      </c>
      <c r="E129" s="670" t="s">
        <v>2480</v>
      </c>
      <c r="F129" s="238"/>
      <c r="G129" s="238"/>
      <c r="H129" s="238"/>
      <c r="I129" s="238"/>
      <c r="J129" s="238"/>
      <c r="K129" s="238"/>
      <c r="L129" s="238"/>
      <c r="M129" s="238"/>
      <c r="N129" s="238">
        <v>52</v>
      </c>
      <c r="O129" s="238">
        <v>526240</v>
      </c>
      <c r="P129" s="681"/>
      <c r="Q129" s="712">
        <v>10120</v>
      </c>
    </row>
    <row r="130" spans="1:17" ht="14.4" customHeight="1" x14ac:dyDescent="0.3">
      <c r="A130" s="679" t="s">
        <v>507</v>
      </c>
      <c r="B130" s="670" t="s">
        <v>2310</v>
      </c>
      <c r="C130" s="670" t="s">
        <v>2341</v>
      </c>
      <c r="D130" s="670" t="s">
        <v>2483</v>
      </c>
      <c r="E130" s="670" t="s">
        <v>2484</v>
      </c>
      <c r="F130" s="238"/>
      <c r="G130" s="238"/>
      <c r="H130" s="238"/>
      <c r="I130" s="238"/>
      <c r="J130" s="238">
        <v>1</v>
      </c>
      <c r="K130" s="238">
        <v>7795</v>
      </c>
      <c r="L130" s="238"/>
      <c r="M130" s="238">
        <v>7795</v>
      </c>
      <c r="N130" s="238"/>
      <c r="O130" s="238"/>
      <c r="P130" s="681"/>
      <c r="Q130" s="712"/>
    </row>
    <row r="131" spans="1:17" ht="14.4" customHeight="1" x14ac:dyDescent="0.3">
      <c r="A131" s="679" t="s">
        <v>507</v>
      </c>
      <c r="B131" s="670" t="s">
        <v>2310</v>
      </c>
      <c r="C131" s="670" t="s">
        <v>2341</v>
      </c>
      <c r="D131" s="670" t="s">
        <v>2485</v>
      </c>
      <c r="E131" s="670" t="s">
        <v>2484</v>
      </c>
      <c r="F131" s="238"/>
      <c r="G131" s="238"/>
      <c r="H131" s="238"/>
      <c r="I131" s="238"/>
      <c r="J131" s="238">
        <v>1</v>
      </c>
      <c r="K131" s="238">
        <v>2580</v>
      </c>
      <c r="L131" s="238"/>
      <c r="M131" s="238">
        <v>2580</v>
      </c>
      <c r="N131" s="238"/>
      <c r="O131" s="238"/>
      <c r="P131" s="681"/>
      <c r="Q131" s="712"/>
    </row>
    <row r="132" spans="1:17" ht="14.4" customHeight="1" x14ac:dyDescent="0.3">
      <c r="A132" s="679" t="s">
        <v>507</v>
      </c>
      <c r="B132" s="670" t="s">
        <v>2310</v>
      </c>
      <c r="C132" s="670" t="s">
        <v>2341</v>
      </c>
      <c r="D132" s="670" t="s">
        <v>2486</v>
      </c>
      <c r="E132" s="670" t="s">
        <v>2487</v>
      </c>
      <c r="F132" s="238"/>
      <c r="G132" s="238"/>
      <c r="H132" s="238"/>
      <c r="I132" s="238"/>
      <c r="J132" s="238"/>
      <c r="K132" s="238"/>
      <c r="L132" s="238"/>
      <c r="M132" s="238"/>
      <c r="N132" s="238">
        <v>9</v>
      </c>
      <c r="O132" s="238">
        <v>256149</v>
      </c>
      <c r="P132" s="681"/>
      <c r="Q132" s="712">
        <v>28461</v>
      </c>
    </row>
    <row r="133" spans="1:17" ht="14.4" customHeight="1" x14ac:dyDescent="0.3">
      <c r="A133" s="679" t="s">
        <v>507</v>
      </c>
      <c r="B133" s="670" t="s">
        <v>2310</v>
      </c>
      <c r="C133" s="670" t="s">
        <v>2341</v>
      </c>
      <c r="D133" s="670" t="s">
        <v>2488</v>
      </c>
      <c r="E133" s="670" t="s">
        <v>2489</v>
      </c>
      <c r="F133" s="238"/>
      <c r="G133" s="238"/>
      <c r="H133" s="238"/>
      <c r="I133" s="238"/>
      <c r="J133" s="238"/>
      <c r="K133" s="238"/>
      <c r="L133" s="238"/>
      <c r="M133" s="238"/>
      <c r="N133" s="238">
        <v>2</v>
      </c>
      <c r="O133" s="238">
        <v>3235.52</v>
      </c>
      <c r="P133" s="681"/>
      <c r="Q133" s="712">
        <v>1617.76</v>
      </c>
    </row>
    <row r="134" spans="1:17" ht="14.4" customHeight="1" x14ac:dyDescent="0.3">
      <c r="A134" s="679" t="s">
        <v>507</v>
      </c>
      <c r="B134" s="670" t="s">
        <v>2310</v>
      </c>
      <c r="C134" s="670" t="s">
        <v>2341</v>
      </c>
      <c r="D134" s="670" t="s">
        <v>2490</v>
      </c>
      <c r="E134" s="670" t="s">
        <v>2491</v>
      </c>
      <c r="F134" s="238"/>
      <c r="G134" s="238"/>
      <c r="H134" s="238"/>
      <c r="I134" s="238"/>
      <c r="J134" s="238"/>
      <c r="K134" s="238"/>
      <c r="L134" s="238"/>
      <c r="M134" s="238"/>
      <c r="N134" s="238">
        <v>1</v>
      </c>
      <c r="O134" s="238">
        <v>10353.27</v>
      </c>
      <c r="P134" s="681"/>
      <c r="Q134" s="712">
        <v>10353.27</v>
      </c>
    </row>
    <row r="135" spans="1:17" ht="14.4" customHeight="1" x14ac:dyDescent="0.3">
      <c r="A135" s="679" t="s">
        <v>507</v>
      </c>
      <c r="B135" s="670" t="s">
        <v>2310</v>
      </c>
      <c r="C135" s="670" t="s">
        <v>2341</v>
      </c>
      <c r="D135" s="670" t="s">
        <v>2492</v>
      </c>
      <c r="E135" s="670" t="s">
        <v>2493</v>
      </c>
      <c r="F135" s="238"/>
      <c r="G135" s="238"/>
      <c r="H135" s="238"/>
      <c r="I135" s="238"/>
      <c r="J135" s="238"/>
      <c r="K135" s="238"/>
      <c r="L135" s="238"/>
      <c r="M135" s="238"/>
      <c r="N135" s="238">
        <v>1</v>
      </c>
      <c r="O135" s="238">
        <v>34212</v>
      </c>
      <c r="P135" s="681"/>
      <c r="Q135" s="712">
        <v>34212</v>
      </c>
    </row>
    <row r="136" spans="1:17" ht="14.4" customHeight="1" x14ac:dyDescent="0.3">
      <c r="A136" s="679" t="s">
        <v>507</v>
      </c>
      <c r="B136" s="670" t="s">
        <v>2310</v>
      </c>
      <c r="C136" s="670" t="s">
        <v>2341</v>
      </c>
      <c r="D136" s="670" t="s">
        <v>2494</v>
      </c>
      <c r="E136" s="670" t="s">
        <v>2495</v>
      </c>
      <c r="F136" s="238"/>
      <c r="G136" s="238"/>
      <c r="H136" s="238"/>
      <c r="I136" s="238"/>
      <c r="J136" s="238"/>
      <c r="K136" s="238"/>
      <c r="L136" s="238"/>
      <c r="M136" s="238"/>
      <c r="N136" s="238">
        <v>1</v>
      </c>
      <c r="O136" s="238">
        <v>69250</v>
      </c>
      <c r="P136" s="681"/>
      <c r="Q136" s="712">
        <v>69250</v>
      </c>
    </row>
    <row r="137" spans="1:17" ht="14.4" customHeight="1" x14ac:dyDescent="0.3">
      <c r="A137" s="679" t="s">
        <v>507</v>
      </c>
      <c r="B137" s="670" t="s">
        <v>2310</v>
      </c>
      <c r="C137" s="670" t="s">
        <v>2341</v>
      </c>
      <c r="D137" s="670" t="s">
        <v>2496</v>
      </c>
      <c r="E137" s="670" t="s">
        <v>2497</v>
      </c>
      <c r="F137" s="238"/>
      <c r="G137" s="238"/>
      <c r="H137" s="238"/>
      <c r="I137" s="238"/>
      <c r="J137" s="238"/>
      <c r="K137" s="238"/>
      <c r="L137" s="238"/>
      <c r="M137" s="238"/>
      <c r="N137" s="238">
        <v>1</v>
      </c>
      <c r="O137" s="238">
        <v>79984</v>
      </c>
      <c r="P137" s="681"/>
      <c r="Q137" s="712">
        <v>79984</v>
      </c>
    </row>
    <row r="138" spans="1:17" ht="14.4" customHeight="1" x14ac:dyDescent="0.3">
      <c r="A138" s="679" t="s">
        <v>507</v>
      </c>
      <c r="B138" s="670" t="s">
        <v>2310</v>
      </c>
      <c r="C138" s="670" t="s">
        <v>2341</v>
      </c>
      <c r="D138" s="670" t="s">
        <v>2498</v>
      </c>
      <c r="E138" s="670" t="s">
        <v>2499</v>
      </c>
      <c r="F138" s="238"/>
      <c r="G138" s="238"/>
      <c r="H138" s="238"/>
      <c r="I138" s="238"/>
      <c r="J138" s="238"/>
      <c r="K138" s="238"/>
      <c r="L138" s="238"/>
      <c r="M138" s="238"/>
      <c r="N138" s="238">
        <v>1</v>
      </c>
      <c r="O138" s="238">
        <v>1958.46</v>
      </c>
      <c r="P138" s="681"/>
      <c r="Q138" s="712">
        <v>1958.46</v>
      </c>
    </row>
    <row r="139" spans="1:17" ht="14.4" customHeight="1" x14ac:dyDescent="0.3">
      <c r="A139" s="679" t="s">
        <v>507</v>
      </c>
      <c r="B139" s="670" t="s">
        <v>2310</v>
      </c>
      <c r="C139" s="670" t="s">
        <v>2341</v>
      </c>
      <c r="D139" s="670" t="s">
        <v>2500</v>
      </c>
      <c r="E139" s="670" t="s">
        <v>2501</v>
      </c>
      <c r="F139" s="238"/>
      <c r="G139" s="238"/>
      <c r="H139" s="238"/>
      <c r="I139" s="238"/>
      <c r="J139" s="238"/>
      <c r="K139" s="238"/>
      <c r="L139" s="238"/>
      <c r="M139" s="238"/>
      <c r="N139" s="238">
        <v>1</v>
      </c>
      <c r="O139" s="238">
        <v>27977.88</v>
      </c>
      <c r="P139" s="681"/>
      <c r="Q139" s="712">
        <v>27977.88</v>
      </c>
    </row>
    <row r="140" spans="1:17" ht="14.4" customHeight="1" x14ac:dyDescent="0.3">
      <c r="A140" s="679" t="s">
        <v>507</v>
      </c>
      <c r="B140" s="670" t="s">
        <v>2310</v>
      </c>
      <c r="C140" s="670" t="s">
        <v>2341</v>
      </c>
      <c r="D140" s="670" t="s">
        <v>2502</v>
      </c>
      <c r="E140" s="670" t="s">
        <v>2503</v>
      </c>
      <c r="F140" s="238"/>
      <c r="G140" s="238"/>
      <c r="H140" s="238"/>
      <c r="I140" s="238"/>
      <c r="J140" s="238"/>
      <c r="K140" s="238"/>
      <c r="L140" s="238"/>
      <c r="M140" s="238"/>
      <c r="N140" s="238">
        <v>4</v>
      </c>
      <c r="O140" s="238">
        <v>12867.48</v>
      </c>
      <c r="P140" s="681"/>
      <c r="Q140" s="712">
        <v>3216.87</v>
      </c>
    </row>
    <row r="141" spans="1:17" ht="14.4" customHeight="1" x14ac:dyDescent="0.3">
      <c r="A141" s="679" t="s">
        <v>507</v>
      </c>
      <c r="B141" s="670" t="s">
        <v>2310</v>
      </c>
      <c r="C141" s="670" t="s">
        <v>2341</v>
      </c>
      <c r="D141" s="670" t="s">
        <v>2504</v>
      </c>
      <c r="E141" s="670" t="s">
        <v>2453</v>
      </c>
      <c r="F141" s="238">
        <v>6</v>
      </c>
      <c r="G141" s="238">
        <v>24872.7</v>
      </c>
      <c r="H141" s="238">
        <v>1</v>
      </c>
      <c r="I141" s="238">
        <v>4145.45</v>
      </c>
      <c r="J141" s="238"/>
      <c r="K141" s="238"/>
      <c r="L141" s="238"/>
      <c r="M141" s="238"/>
      <c r="N141" s="238"/>
      <c r="O141" s="238"/>
      <c r="P141" s="681"/>
      <c r="Q141" s="712"/>
    </row>
    <row r="142" spans="1:17" ht="14.4" customHeight="1" x14ac:dyDescent="0.3">
      <c r="A142" s="679" t="s">
        <v>507</v>
      </c>
      <c r="B142" s="670" t="s">
        <v>2310</v>
      </c>
      <c r="C142" s="670" t="s">
        <v>2341</v>
      </c>
      <c r="D142" s="670" t="s">
        <v>2505</v>
      </c>
      <c r="E142" s="670" t="s">
        <v>2506</v>
      </c>
      <c r="F142" s="238">
        <v>4</v>
      </c>
      <c r="G142" s="238">
        <v>8788</v>
      </c>
      <c r="H142" s="238">
        <v>1</v>
      </c>
      <c r="I142" s="238">
        <v>2197</v>
      </c>
      <c r="J142" s="238"/>
      <c r="K142" s="238"/>
      <c r="L142" s="238"/>
      <c r="M142" s="238"/>
      <c r="N142" s="238"/>
      <c r="O142" s="238"/>
      <c r="P142" s="681"/>
      <c r="Q142" s="712"/>
    </row>
    <row r="143" spans="1:17" ht="14.4" customHeight="1" x14ac:dyDescent="0.3">
      <c r="A143" s="679" t="s">
        <v>507</v>
      </c>
      <c r="B143" s="670" t="s">
        <v>2310</v>
      </c>
      <c r="C143" s="670" t="s">
        <v>2341</v>
      </c>
      <c r="D143" s="670" t="s">
        <v>2507</v>
      </c>
      <c r="E143" s="670" t="s">
        <v>2506</v>
      </c>
      <c r="F143" s="238">
        <v>1</v>
      </c>
      <c r="G143" s="238">
        <v>21561.55</v>
      </c>
      <c r="H143" s="238">
        <v>1</v>
      </c>
      <c r="I143" s="238">
        <v>21561.55</v>
      </c>
      <c r="J143" s="238"/>
      <c r="K143" s="238"/>
      <c r="L143" s="238"/>
      <c r="M143" s="238"/>
      <c r="N143" s="238"/>
      <c r="O143" s="238"/>
      <c r="P143" s="681"/>
      <c r="Q143" s="712"/>
    </row>
    <row r="144" spans="1:17" ht="14.4" customHeight="1" x14ac:dyDescent="0.3">
      <c r="A144" s="679" t="s">
        <v>507</v>
      </c>
      <c r="B144" s="670" t="s">
        <v>2310</v>
      </c>
      <c r="C144" s="670" t="s">
        <v>2341</v>
      </c>
      <c r="D144" s="670" t="s">
        <v>2508</v>
      </c>
      <c r="E144" s="670" t="s">
        <v>2509</v>
      </c>
      <c r="F144" s="238"/>
      <c r="G144" s="238"/>
      <c r="H144" s="238"/>
      <c r="I144" s="238"/>
      <c r="J144" s="238"/>
      <c r="K144" s="238"/>
      <c r="L144" s="238"/>
      <c r="M144" s="238"/>
      <c r="N144" s="238">
        <v>3</v>
      </c>
      <c r="O144" s="238">
        <v>161058</v>
      </c>
      <c r="P144" s="681"/>
      <c r="Q144" s="712">
        <v>53686</v>
      </c>
    </row>
    <row r="145" spans="1:17" ht="14.4" customHeight="1" x14ac:dyDescent="0.3">
      <c r="A145" s="679" t="s">
        <v>507</v>
      </c>
      <c r="B145" s="670" t="s">
        <v>2310</v>
      </c>
      <c r="C145" s="670" t="s">
        <v>2341</v>
      </c>
      <c r="D145" s="670" t="s">
        <v>2510</v>
      </c>
      <c r="E145" s="670" t="s">
        <v>2511</v>
      </c>
      <c r="F145" s="238"/>
      <c r="G145" s="238"/>
      <c r="H145" s="238"/>
      <c r="I145" s="238"/>
      <c r="J145" s="238"/>
      <c r="K145" s="238"/>
      <c r="L145" s="238"/>
      <c r="M145" s="238"/>
      <c r="N145" s="238">
        <v>2</v>
      </c>
      <c r="O145" s="238">
        <v>2958.56</v>
      </c>
      <c r="P145" s="681"/>
      <c r="Q145" s="712">
        <v>1479.28</v>
      </c>
    </row>
    <row r="146" spans="1:17" ht="14.4" customHeight="1" x14ac:dyDescent="0.3">
      <c r="A146" s="679" t="s">
        <v>507</v>
      </c>
      <c r="B146" s="670" t="s">
        <v>2310</v>
      </c>
      <c r="C146" s="670" t="s">
        <v>2341</v>
      </c>
      <c r="D146" s="670" t="s">
        <v>2512</v>
      </c>
      <c r="E146" s="670" t="s">
        <v>2513</v>
      </c>
      <c r="F146" s="238"/>
      <c r="G146" s="238"/>
      <c r="H146" s="238"/>
      <c r="I146" s="238"/>
      <c r="J146" s="238"/>
      <c r="K146" s="238"/>
      <c r="L146" s="238"/>
      <c r="M146" s="238"/>
      <c r="N146" s="238">
        <v>2</v>
      </c>
      <c r="O146" s="238">
        <v>36057.42</v>
      </c>
      <c r="P146" s="681"/>
      <c r="Q146" s="712">
        <v>18028.71</v>
      </c>
    </row>
    <row r="147" spans="1:17" ht="14.4" customHeight="1" x14ac:dyDescent="0.3">
      <c r="A147" s="679" t="s">
        <v>507</v>
      </c>
      <c r="B147" s="670" t="s">
        <v>2310</v>
      </c>
      <c r="C147" s="670" t="s">
        <v>2341</v>
      </c>
      <c r="D147" s="670" t="s">
        <v>2514</v>
      </c>
      <c r="E147" s="670" t="s">
        <v>2421</v>
      </c>
      <c r="F147" s="238"/>
      <c r="G147" s="238"/>
      <c r="H147" s="238"/>
      <c r="I147" s="238"/>
      <c r="J147" s="238"/>
      <c r="K147" s="238"/>
      <c r="L147" s="238"/>
      <c r="M147" s="238"/>
      <c r="N147" s="238">
        <v>2</v>
      </c>
      <c r="O147" s="238">
        <v>16626</v>
      </c>
      <c r="P147" s="681"/>
      <c r="Q147" s="712">
        <v>8313</v>
      </c>
    </row>
    <row r="148" spans="1:17" ht="14.4" customHeight="1" x14ac:dyDescent="0.3">
      <c r="A148" s="679" t="s">
        <v>507</v>
      </c>
      <c r="B148" s="670" t="s">
        <v>2310</v>
      </c>
      <c r="C148" s="670" t="s">
        <v>2234</v>
      </c>
      <c r="D148" s="670" t="s">
        <v>2515</v>
      </c>
      <c r="E148" s="670" t="s">
        <v>2516</v>
      </c>
      <c r="F148" s="238">
        <v>2</v>
      </c>
      <c r="G148" s="238">
        <v>556</v>
      </c>
      <c r="H148" s="238">
        <v>1</v>
      </c>
      <c r="I148" s="238">
        <v>278</v>
      </c>
      <c r="J148" s="238">
        <v>4</v>
      </c>
      <c r="K148" s="238">
        <v>1120</v>
      </c>
      <c r="L148" s="238">
        <v>2.014388489208633</v>
      </c>
      <c r="M148" s="238">
        <v>280</v>
      </c>
      <c r="N148" s="238">
        <v>4</v>
      </c>
      <c r="O148" s="238">
        <v>1120</v>
      </c>
      <c r="P148" s="681">
        <v>2.014388489208633</v>
      </c>
      <c r="Q148" s="712">
        <v>280</v>
      </c>
    </row>
    <row r="149" spans="1:17" ht="14.4" customHeight="1" x14ac:dyDescent="0.3">
      <c r="A149" s="679" t="s">
        <v>507</v>
      </c>
      <c r="B149" s="670" t="s">
        <v>2310</v>
      </c>
      <c r="C149" s="670" t="s">
        <v>2234</v>
      </c>
      <c r="D149" s="670" t="s">
        <v>2517</v>
      </c>
      <c r="E149" s="670" t="s">
        <v>2518</v>
      </c>
      <c r="F149" s="238">
        <v>1</v>
      </c>
      <c r="G149" s="238">
        <v>8343</v>
      </c>
      <c r="H149" s="238">
        <v>1</v>
      </c>
      <c r="I149" s="238">
        <v>8343</v>
      </c>
      <c r="J149" s="238">
        <v>1</v>
      </c>
      <c r="K149" s="238">
        <v>8377</v>
      </c>
      <c r="L149" s="238">
        <v>1.004075272683687</v>
      </c>
      <c r="M149" s="238">
        <v>8377</v>
      </c>
      <c r="N149" s="238"/>
      <c r="O149" s="238"/>
      <c r="P149" s="681"/>
      <c r="Q149" s="712"/>
    </row>
    <row r="150" spans="1:17" ht="14.4" customHeight="1" x14ac:dyDescent="0.3">
      <c r="A150" s="679" t="s">
        <v>507</v>
      </c>
      <c r="B150" s="670" t="s">
        <v>2310</v>
      </c>
      <c r="C150" s="670" t="s">
        <v>2234</v>
      </c>
      <c r="D150" s="670" t="s">
        <v>2519</v>
      </c>
      <c r="E150" s="670" t="s">
        <v>2520</v>
      </c>
      <c r="F150" s="238">
        <v>8</v>
      </c>
      <c r="G150" s="238">
        <v>42845</v>
      </c>
      <c r="H150" s="238">
        <v>1</v>
      </c>
      <c r="I150" s="238">
        <v>5355.625</v>
      </c>
      <c r="J150" s="238">
        <v>1</v>
      </c>
      <c r="K150" s="238">
        <v>5393</v>
      </c>
      <c r="L150" s="238">
        <v>0.12587233049363986</v>
      </c>
      <c r="M150" s="238">
        <v>5393</v>
      </c>
      <c r="N150" s="238">
        <v>16</v>
      </c>
      <c r="O150" s="238">
        <v>86288</v>
      </c>
      <c r="P150" s="681">
        <v>2.0139572878982377</v>
      </c>
      <c r="Q150" s="712">
        <v>5393</v>
      </c>
    </row>
    <row r="151" spans="1:17" ht="14.4" customHeight="1" x14ac:dyDescent="0.3">
      <c r="A151" s="679" t="s">
        <v>507</v>
      </c>
      <c r="B151" s="670" t="s">
        <v>2310</v>
      </c>
      <c r="C151" s="670" t="s">
        <v>2234</v>
      </c>
      <c r="D151" s="670" t="s">
        <v>2521</v>
      </c>
      <c r="E151" s="670" t="s">
        <v>2522</v>
      </c>
      <c r="F151" s="238"/>
      <c r="G151" s="238"/>
      <c r="H151" s="238"/>
      <c r="I151" s="238"/>
      <c r="J151" s="238">
        <v>3</v>
      </c>
      <c r="K151" s="238">
        <v>34077</v>
      </c>
      <c r="L151" s="238"/>
      <c r="M151" s="238">
        <v>11359</v>
      </c>
      <c r="N151" s="238">
        <v>1</v>
      </c>
      <c r="O151" s="238">
        <v>11359</v>
      </c>
      <c r="P151" s="681"/>
      <c r="Q151" s="712">
        <v>11359</v>
      </c>
    </row>
    <row r="152" spans="1:17" ht="14.4" customHeight="1" x14ac:dyDescent="0.3">
      <c r="A152" s="679" t="s">
        <v>507</v>
      </c>
      <c r="B152" s="670" t="s">
        <v>2310</v>
      </c>
      <c r="C152" s="670" t="s">
        <v>2234</v>
      </c>
      <c r="D152" s="670" t="s">
        <v>2523</v>
      </c>
      <c r="E152" s="670" t="s">
        <v>2524</v>
      </c>
      <c r="F152" s="238"/>
      <c r="G152" s="238"/>
      <c r="H152" s="238"/>
      <c r="I152" s="238"/>
      <c r="J152" s="238">
        <v>1</v>
      </c>
      <c r="K152" s="238">
        <v>10881</v>
      </c>
      <c r="L152" s="238"/>
      <c r="M152" s="238">
        <v>10881</v>
      </c>
      <c r="N152" s="238"/>
      <c r="O152" s="238"/>
      <c r="P152" s="681"/>
      <c r="Q152" s="712"/>
    </row>
    <row r="153" spans="1:17" ht="14.4" customHeight="1" x14ac:dyDescent="0.3">
      <c r="A153" s="679" t="s">
        <v>507</v>
      </c>
      <c r="B153" s="670" t="s">
        <v>2310</v>
      </c>
      <c r="C153" s="670" t="s">
        <v>2234</v>
      </c>
      <c r="D153" s="670" t="s">
        <v>2525</v>
      </c>
      <c r="E153" s="670" t="s">
        <v>2526</v>
      </c>
      <c r="F153" s="238">
        <v>16</v>
      </c>
      <c r="G153" s="238">
        <v>35109</v>
      </c>
      <c r="H153" s="238">
        <v>1</v>
      </c>
      <c r="I153" s="238">
        <v>2194.3125</v>
      </c>
      <c r="J153" s="238">
        <v>10</v>
      </c>
      <c r="K153" s="238">
        <v>22056</v>
      </c>
      <c r="L153" s="238">
        <v>0.62821498761001449</v>
      </c>
      <c r="M153" s="238">
        <v>2205.6</v>
      </c>
      <c r="N153" s="238">
        <v>9</v>
      </c>
      <c r="O153" s="238">
        <v>19872</v>
      </c>
      <c r="P153" s="681">
        <v>0.56600871571391953</v>
      </c>
      <c r="Q153" s="712">
        <v>2208</v>
      </c>
    </row>
    <row r="154" spans="1:17" ht="14.4" customHeight="1" x14ac:dyDescent="0.3">
      <c r="A154" s="679" t="s">
        <v>507</v>
      </c>
      <c r="B154" s="670" t="s">
        <v>2310</v>
      </c>
      <c r="C154" s="670" t="s">
        <v>2234</v>
      </c>
      <c r="D154" s="670" t="s">
        <v>2527</v>
      </c>
      <c r="E154" s="670" t="s">
        <v>2528</v>
      </c>
      <c r="F154" s="238">
        <v>5</v>
      </c>
      <c r="G154" s="238">
        <v>24915</v>
      </c>
      <c r="H154" s="238">
        <v>1</v>
      </c>
      <c r="I154" s="238">
        <v>4983</v>
      </c>
      <c r="J154" s="238">
        <v>4</v>
      </c>
      <c r="K154" s="238">
        <v>19965</v>
      </c>
      <c r="L154" s="238">
        <v>0.80132450331125826</v>
      </c>
      <c r="M154" s="238">
        <v>4991.25</v>
      </c>
      <c r="N154" s="238">
        <v>1</v>
      </c>
      <c r="O154" s="238">
        <v>4994</v>
      </c>
      <c r="P154" s="681">
        <v>0.20044150110375275</v>
      </c>
      <c r="Q154" s="712">
        <v>4994</v>
      </c>
    </row>
    <row r="155" spans="1:17" ht="14.4" customHeight="1" x14ac:dyDescent="0.3">
      <c r="A155" s="679" t="s">
        <v>507</v>
      </c>
      <c r="B155" s="670" t="s">
        <v>2310</v>
      </c>
      <c r="C155" s="670" t="s">
        <v>2234</v>
      </c>
      <c r="D155" s="670" t="s">
        <v>2529</v>
      </c>
      <c r="E155" s="670" t="s">
        <v>2530</v>
      </c>
      <c r="F155" s="238">
        <v>9</v>
      </c>
      <c r="G155" s="238">
        <v>167481</v>
      </c>
      <c r="H155" s="238">
        <v>1</v>
      </c>
      <c r="I155" s="238">
        <v>18609</v>
      </c>
      <c r="J155" s="238">
        <v>5</v>
      </c>
      <c r="K155" s="238">
        <v>93500</v>
      </c>
      <c r="L155" s="238">
        <v>0.55827228163194631</v>
      </c>
      <c r="M155" s="238">
        <v>18700</v>
      </c>
      <c r="N155" s="238">
        <v>5</v>
      </c>
      <c r="O155" s="238">
        <v>93500</v>
      </c>
      <c r="P155" s="681">
        <v>0.55827228163194631</v>
      </c>
      <c r="Q155" s="712">
        <v>18700</v>
      </c>
    </row>
    <row r="156" spans="1:17" ht="14.4" customHeight="1" x14ac:dyDescent="0.3">
      <c r="A156" s="679" t="s">
        <v>507</v>
      </c>
      <c r="B156" s="670" t="s">
        <v>2310</v>
      </c>
      <c r="C156" s="670" t="s">
        <v>2234</v>
      </c>
      <c r="D156" s="670" t="s">
        <v>2531</v>
      </c>
      <c r="E156" s="670" t="s">
        <v>2532</v>
      </c>
      <c r="F156" s="238">
        <v>1</v>
      </c>
      <c r="G156" s="238">
        <v>12455</v>
      </c>
      <c r="H156" s="238">
        <v>1</v>
      </c>
      <c r="I156" s="238">
        <v>12455</v>
      </c>
      <c r="J156" s="238">
        <v>1</v>
      </c>
      <c r="K156" s="238">
        <v>12512</v>
      </c>
      <c r="L156" s="238">
        <v>1.0045764753111199</v>
      </c>
      <c r="M156" s="238">
        <v>12512</v>
      </c>
      <c r="N156" s="238"/>
      <c r="O156" s="238"/>
      <c r="P156" s="681"/>
      <c r="Q156" s="712"/>
    </row>
    <row r="157" spans="1:17" ht="14.4" customHeight="1" x14ac:dyDescent="0.3">
      <c r="A157" s="679" t="s">
        <v>507</v>
      </c>
      <c r="B157" s="670" t="s">
        <v>2310</v>
      </c>
      <c r="C157" s="670" t="s">
        <v>2234</v>
      </c>
      <c r="D157" s="670" t="s">
        <v>2533</v>
      </c>
      <c r="E157" s="670" t="s">
        <v>2534</v>
      </c>
      <c r="F157" s="238"/>
      <c r="G157" s="238"/>
      <c r="H157" s="238"/>
      <c r="I157" s="238"/>
      <c r="J157" s="238">
        <v>1</v>
      </c>
      <c r="K157" s="238">
        <v>2817</v>
      </c>
      <c r="L157" s="238"/>
      <c r="M157" s="238">
        <v>2817</v>
      </c>
      <c r="N157" s="238"/>
      <c r="O157" s="238"/>
      <c r="P157" s="681"/>
      <c r="Q157" s="712"/>
    </row>
    <row r="158" spans="1:17" ht="14.4" customHeight="1" x14ac:dyDescent="0.3">
      <c r="A158" s="679" t="s">
        <v>507</v>
      </c>
      <c r="B158" s="670" t="s">
        <v>2310</v>
      </c>
      <c r="C158" s="670" t="s">
        <v>2234</v>
      </c>
      <c r="D158" s="670" t="s">
        <v>2535</v>
      </c>
      <c r="E158" s="670" t="s">
        <v>2536</v>
      </c>
      <c r="F158" s="238">
        <v>2</v>
      </c>
      <c r="G158" s="238">
        <v>7748</v>
      </c>
      <c r="H158" s="238">
        <v>1</v>
      </c>
      <c r="I158" s="238">
        <v>3874</v>
      </c>
      <c r="J158" s="238"/>
      <c r="K158" s="238"/>
      <c r="L158" s="238"/>
      <c r="M158" s="238"/>
      <c r="N158" s="238"/>
      <c r="O158" s="238"/>
      <c r="P158" s="681"/>
      <c r="Q158" s="712"/>
    </row>
    <row r="159" spans="1:17" ht="14.4" customHeight="1" x14ac:dyDescent="0.3">
      <c r="A159" s="679" t="s">
        <v>507</v>
      </c>
      <c r="B159" s="670" t="s">
        <v>2310</v>
      </c>
      <c r="C159" s="670" t="s">
        <v>2234</v>
      </c>
      <c r="D159" s="670" t="s">
        <v>2537</v>
      </c>
      <c r="E159" s="670" t="s">
        <v>2538</v>
      </c>
      <c r="F159" s="238"/>
      <c r="G159" s="238"/>
      <c r="H159" s="238"/>
      <c r="I159" s="238"/>
      <c r="J159" s="238"/>
      <c r="K159" s="238"/>
      <c r="L159" s="238"/>
      <c r="M159" s="238"/>
      <c r="N159" s="238">
        <v>1</v>
      </c>
      <c r="O159" s="238">
        <v>9517</v>
      </c>
      <c r="P159" s="681"/>
      <c r="Q159" s="712">
        <v>9517</v>
      </c>
    </row>
    <row r="160" spans="1:17" ht="14.4" customHeight="1" x14ac:dyDescent="0.3">
      <c r="A160" s="679" t="s">
        <v>507</v>
      </c>
      <c r="B160" s="670" t="s">
        <v>2310</v>
      </c>
      <c r="C160" s="670" t="s">
        <v>2234</v>
      </c>
      <c r="D160" s="670" t="s">
        <v>2539</v>
      </c>
      <c r="E160" s="670" t="s">
        <v>2540</v>
      </c>
      <c r="F160" s="238">
        <v>4</v>
      </c>
      <c r="G160" s="238">
        <v>56288</v>
      </c>
      <c r="H160" s="238">
        <v>1</v>
      </c>
      <c r="I160" s="238">
        <v>14072</v>
      </c>
      <c r="J160" s="238">
        <v>1</v>
      </c>
      <c r="K160" s="238">
        <v>14154</v>
      </c>
      <c r="L160" s="238">
        <v>0.25145679363274587</v>
      </c>
      <c r="M160" s="238">
        <v>14154</v>
      </c>
      <c r="N160" s="238">
        <v>1</v>
      </c>
      <c r="O160" s="238">
        <v>14154</v>
      </c>
      <c r="P160" s="681">
        <v>0.25145679363274587</v>
      </c>
      <c r="Q160" s="712">
        <v>14154</v>
      </c>
    </row>
    <row r="161" spans="1:17" ht="14.4" customHeight="1" x14ac:dyDescent="0.3">
      <c r="A161" s="679" t="s">
        <v>507</v>
      </c>
      <c r="B161" s="670" t="s">
        <v>2310</v>
      </c>
      <c r="C161" s="670" t="s">
        <v>2234</v>
      </c>
      <c r="D161" s="670" t="s">
        <v>2541</v>
      </c>
      <c r="E161" s="670" t="s">
        <v>2542</v>
      </c>
      <c r="F161" s="238">
        <v>4</v>
      </c>
      <c r="G161" s="238">
        <v>9560</v>
      </c>
      <c r="H161" s="238">
        <v>1</v>
      </c>
      <c r="I161" s="238">
        <v>2390</v>
      </c>
      <c r="J161" s="238">
        <v>10</v>
      </c>
      <c r="K161" s="238">
        <v>24130</v>
      </c>
      <c r="L161" s="238">
        <v>2.5240585774058579</v>
      </c>
      <c r="M161" s="238">
        <v>2413</v>
      </c>
      <c r="N161" s="238">
        <v>11</v>
      </c>
      <c r="O161" s="238">
        <v>26543</v>
      </c>
      <c r="P161" s="681">
        <v>2.7764644351464436</v>
      </c>
      <c r="Q161" s="712">
        <v>2413</v>
      </c>
    </row>
    <row r="162" spans="1:17" ht="14.4" customHeight="1" x14ac:dyDescent="0.3">
      <c r="A162" s="679" t="s">
        <v>507</v>
      </c>
      <c r="B162" s="670" t="s">
        <v>2310</v>
      </c>
      <c r="C162" s="670" t="s">
        <v>2234</v>
      </c>
      <c r="D162" s="670" t="s">
        <v>2543</v>
      </c>
      <c r="E162" s="670" t="s">
        <v>2544</v>
      </c>
      <c r="F162" s="238"/>
      <c r="G162" s="238"/>
      <c r="H162" s="238"/>
      <c r="I162" s="238"/>
      <c r="J162" s="238">
        <v>1</v>
      </c>
      <c r="K162" s="238">
        <v>5571</v>
      </c>
      <c r="L162" s="238"/>
      <c r="M162" s="238">
        <v>5571</v>
      </c>
      <c r="N162" s="238"/>
      <c r="O162" s="238"/>
      <c r="P162" s="681"/>
      <c r="Q162" s="712"/>
    </row>
    <row r="163" spans="1:17" ht="14.4" customHeight="1" x14ac:dyDescent="0.3">
      <c r="A163" s="679" t="s">
        <v>507</v>
      </c>
      <c r="B163" s="670" t="s">
        <v>2310</v>
      </c>
      <c r="C163" s="670" t="s">
        <v>2234</v>
      </c>
      <c r="D163" s="670" t="s">
        <v>2545</v>
      </c>
      <c r="E163" s="670" t="s">
        <v>2546</v>
      </c>
      <c r="F163" s="238">
        <v>649</v>
      </c>
      <c r="G163" s="238">
        <v>110971</v>
      </c>
      <c r="H163" s="238">
        <v>1</v>
      </c>
      <c r="I163" s="238">
        <v>170.98767334360554</v>
      </c>
      <c r="J163" s="238">
        <v>572</v>
      </c>
      <c r="K163" s="238">
        <v>98379</v>
      </c>
      <c r="L163" s="238">
        <v>0.88652891295924163</v>
      </c>
      <c r="M163" s="238">
        <v>171.99125874125875</v>
      </c>
      <c r="N163" s="238">
        <v>517</v>
      </c>
      <c r="O163" s="238">
        <v>88924</v>
      </c>
      <c r="P163" s="681">
        <v>0.80132647268205204</v>
      </c>
      <c r="Q163" s="712">
        <v>172</v>
      </c>
    </row>
    <row r="164" spans="1:17" ht="14.4" customHeight="1" x14ac:dyDescent="0.3">
      <c r="A164" s="679" t="s">
        <v>507</v>
      </c>
      <c r="B164" s="670" t="s">
        <v>2310</v>
      </c>
      <c r="C164" s="670" t="s">
        <v>2234</v>
      </c>
      <c r="D164" s="670" t="s">
        <v>2547</v>
      </c>
      <c r="E164" s="670" t="s">
        <v>2548</v>
      </c>
      <c r="F164" s="238">
        <v>1</v>
      </c>
      <c r="G164" s="238">
        <v>9433</v>
      </c>
      <c r="H164" s="238">
        <v>1</v>
      </c>
      <c r="I164" s="238">
        <v>9433</v>
      </c>
      <c r="J164" s="238"/>
      <c r="K164" s="238"/>
      <c r="L164" s="238"/>
      <c r="M164" s="238"/>
      <c r="N164" s="238"/>
      <c r="O164" s="238"/>
      <c r="P164" s="681"/>
      <c r="Q164" s="712"/>
    </row>
    <row r="165" spans="1:17" ht="14.4" customHeight="1" x14ac:dyDescent="0.3">
      <c r="A165" s="679" t="s">
        <v>507</v>
      </c>
      <c r="B165" s="670" t="s">
        <v>2310</v>
      </c>
      <c r="C165" s="670" t="s">
        <v>2234</v>
      </c>
      <c r="D165" s="670" t="s">
        <v>2549</v>
      </c>
      <c r="E165" s="670" t="s">
        <v>2550</v>
      </c>
      <c r="F165" s="238">
        <v>4</v>
      </c>
      <c r="G165" s="238">
        <v>5716</v>
      </c>
      <c r="H165" s="238">
        <v>1</v>
      </c>
      <c r="I165" s="238">
        <v>1429</v>
      </c>
      <c r="J165" s="238">
        <v>1</v>
      </c>
      <c r="K165" s="238">
        <v>1436</v>
      </c>
      <c r="L165" s="238">
        <v>0.25122463261021694</v>
      </c>
      <c r="M165" s="238">
        <v>1436</v>
      </c>
      <c r="N165" s="238"/>
      <c r="O165" s="238"/>
      <c r="P165" s="681"/>
      <c r="Q165" s="712"/>
    </row>
    <row r="166" spans="1:17" ht="14.4" customHeight="1" x14ac:dyDescent="0.3">
      <c r="A166" s="679" t="s">
        <v>507</v>
      </c>
      <c r="B166" s="670" t="s">
        <v>2310</v>
      </c>
      <c r="C166" s="670" t="s">
        <v>2234</v>
      </c>
      <c r="D166" s="670" t="s">
        <v>2551</v>
      </c>
      <c r="E166" s="670" t="s">
        <v>2552</v>
      </c>
      <c r="F166" s="238">
        <v>7</v>
      </c>
      <c r="G166" s="238">
        <v>36317</v>
      </c>
      <c r="H166" s="238">
        <v>1</v>
      </c>
      <c r="I166" s="238">
        <v>5188.1428571428569</v>
      </c>
      <c r="J166" s="238">
        <v>1</v>
      </c>
      <c r="K166" s="238">
        <v>5226</v>
      </c>
      <c r="L166" s="238">
        <v>0.14389955117438114</v>
      </c>
      <c r="M166" s="238">
        <v>5226</v>
      </c>
      <c r="N166" s="238">
        <v>16</v>
      </c>
      <c r="O166" s="238">
        <v>83616</v>
      </c>
      <c r="P166" s="681">
        <v>2.3023928187900982</v>
      </c>
      <c r="Q166" s="712">
        <v>5226</v>
      </c>
    </row>
    <row r="167" spans="1:17" ht="14.4" customHeight="1" x14ac:dyDescent="0.3">
      <c r="A167" s="679" t="s">
        <v>507</v>
      </c>
      <c r="B167" s="670" t="s">
        <v>2310</v>
      </c>
      <c r="C167" s="670" t="s">
        <v>2234</v>
      </c>
      <c r="D167" s="670" t="s">
        <v>2553</v>
      </c>
      <c r="E167" s="670" t="s">
        <v>2554</v>
      </c>
      <c r="F167" s="238">
        <v>171</v>
      </c>
      <c r="G167" s="238">
        <v>606528</v>
      </c>
      <c r="H167" s="238">
        <v>1</v>
      </c>
      <c r="I167" s="238">
        <v>3546.9473684210525</v>
      </c>
      <c r="J167" s="238">
        <v>232</v>
      </c>
      <c r="K167" s="238">
        <v>828426</v>
      </c>
      <c r="L167" s="238">
        <v>1.365849556821779</v>
      </c>
      <c r="M167" s="238">
        <v>3570.8017241379312</v>
      </c>
      <c r="N167" s="238">
        <v>183</v>
      </c>
      <c r="O167" s="238">
        <v>653493</v>
      </c>
      <c r="P167" s="681">
        <v>1.0774325340297564</v>
      </c>
      <c r="Q167" s="712">
        <v>3571</v>
      </c>
    </row>
    <row r="168" spans="1:17" ht="14.4" customHeight="1" x14ac:dyDescent="0.3">
      <c r="A168" s="679" t="s">
        <v>507</v>
      </c>
      <c r="B168" s="670" t="s">
        <v>2310</v>
      </c>
      <c r="C168" s="670" t="s">
        <v>2234</v>
      </c>
      <c r="D168" s="670" t="s">
        <v>2555</v>
      </c>
      <c r="E168" s="670" t="s">
        <v>2556</v>
      </c>
      <c r="F168" s="238">
        <v>103</v>
      </c>
      <c r="G168" s="238">
        <v>152213</v>
      </c>
      <c r="H168" s="238">
        <v>1</v>
      </c>
      <c r="I168" s="238">
        <v>1477.7961165048544</v>
      </c>
      <c r="J168" s="238">
        <v>94</v>
      </c>
      <c r="K168" s="238">
        <v>139862</v>
      </c>
      <c r="L168" s="238">
        <v>0.91885712784059181</v>
      </c>
      <c r="M168" s="238">
        <v>1487.8936170212767</v>
      </c>
      <c r="N168" s="238">
        <v>72</v>
      </c>
      <c r="O168" s="238">
        <v>107136</v>
      </c>
      <c r="P168" s="681">
        <v>0.70385578104366908</v>
      </c>
      <c r="Q168" s="712">
        <v>1488</v>
      </c>
    </row>
    <row r="169" spans="1:17" ht="14.4" customHeight="1" x14ac:dyDescent="0.3">
      <c r="A169" s="679" t="s">
        <v>507</v>
      </c>
      <c r="B169" s="670" t="s">
        <v>2310</v>
      </c>
      <c r="C169" s="670" t="s">
        <v>2234</v>
      </c>
      <c r="D169" s="670" t="s">
        <v>2557</v>
      </c>
      <c r="E169" s="670" t="s">
        <v>2558</v>
      </c>
      <c r="F169" s="238">
        <v>54</v>
      </c>
      <c r="G169" s="238">
        <v>143666</v>
      </c>
      <c r="H169" s="238">
        <v>1</v>
      </c>
      <c r="I169" s="238">
        <v>2660.4814814814813</v>
      </c>
      <c r="J169" s="238">
        <v>49</v>
      </c>
      <c r="K169" s="238">
        <v>131222</v>
      </c>
      <c r="L169" s="238">
        <v>0.91338242868876418</v>
      </c>
      <c r="M169" s="238">
        <v>2678</v>
      </c>
      <c r="N169" s="238">
        <v>37</v>
      </c>
      <c r="O169" s="238">
        <v>99086</v>
      </c>
      <c r="P169" s="681">
        <v>0.68969693594865866</v>
      </c>
      <c r="Q169" s="712">
        <v>2678</v>
      </c>
    </row>
    <row r="170" spans="1:17" ht="14.4" customHeight="1" x14ac:dyDescent="0.3">
      <c r="A170" s="679" t="s">
        <v>507</v>
      </c>
      <c r="B170" s="670" t="s">
        <v>2310</v>
      </c>
      <c r="C170" s="670" t="s">
        <v>2234</v>
      </c>
      <c r="D170" s="670" t="s">
        <v>2559</v>
      </c>
      <c r="E170" s="670" t="s">
        <v>2560</v>
      </c>
      <c r="F170" s="238">
        <v>44</v>
      </c>
      <c r="G170" s="238">
        <v>48122</v>
      </c>
      <c r="H170" s="238">
        <v>1</v>
      </c>
      <c r="I170" s="238">
        <v>1093.6818181818182</v>
      </c>
      <c r="J170" s="238">
        <v>43</v>
      </c>
      <c r="K170" s="238">
        <v>47472</v>
      </c>
      <c r="L170" s="238">
        <v>0.98649266447778561</v>
      </c>
      <c r="M170" s="238">
        <v>1104</v>
      </c>
      <c r="N170" s="238">
        <v>40</v>
      </c>
      <c r="O170" s="238">
        <v>44160</v>
      </c>
      <c r="P170" s="681">
        <v>0.91766759486305638</v>
      </c>
      <c r="Q170" s="712">
        <v>1104</v>
      </c>
    </row>
    <row r="171" spans="1:17" ht="14.4" customHeight="1" x14ac:dyDescent="0.3">
      <c r="A171" s="679" t="s">
        <v>507</v>
      </c>
      <c r="B171" s="670" t="s">
        <v>2310</v>
      </c>
      <c r="C171" s="670" t="s">
        <v>2234</v>
      </c>
      <c r="D171" s="670" t="s">
        <v>2561</v>
      </c>
      <c r="E171" s="670" t="s">
        <v>2562</v>
      </c>
      <c r="F171" s="238">
        <v>17</v>
      </c>
      <c r="G171" s="238">
        <v>103292</v>
      </c>
      <c r="H171" s="238">
        <v>1</v>
      </c>
      <c r="I171" s="238">
        <v>6076</v>
      </c>
      <c r="J171" s="238">
        <v>15</v>
      </c>
      <c r="K171" s="238">
        <v>91575</v>
      </c>
      <c r="L171" s="238">
        <v>0.88656430314061108</v>
      </c>
      <c r="M171" s="238">
        <v>6105</v>
      </c>
      <c r="N171" s="238">
        <v>6</v>
      </c>
      <c r="O171" s="238">
        <v>36630</v>
      </c>
      <c r="P171" s="681">
        <v>0.35462572125624442</v>
      </c>
      <c r="Q171" s="712">
        <v>6105</v>
      </c>
    </row>
    <row r="172" spans="1:17" ht="14.4" customHeight="1" x14ac:dyDescent="0.3">
      <c r="A172" s="679" t="s">
        <v>507</v>
      </c>
      <c r="B172" s="670" t="s">
        <v>2310</v>
      </c>
      <c r="C172" s="670" t="s">
        <v>2234</v>
      </c>
      <c r="D172" s="670" t="s">
        <v>2563</v>
      </c>
      <c r="E172" s="670" t="s">
        <v>2564</v>
      </c>
      <c r="F172" s="238">
        <v>81</v>
      </c>
      <c r="G172" s="238">
        <v>306930</v>
      </c>
      <c r="H172" s="238">
        <v>1</v>
      </c>
      <c r="I172" s="238">
        <v>3789.2592592592591</v>
      </c>
      <c r="J172" s="238">
        <v>98</v>
      </c>
      <c r="K172" s="238">
        <v>373244</v>
      </c>
      <c r="L172" s="238">
        <v>1.2160557781904668</v>
      </c>
      <c r="M172" s="238">
        <v>3808.612244897959</v>
      </c>
      <c r="N172" s="238">
        <v>84</v>
      </c>
      <c r="O172" s="238">
        <v>319956</v>
      </c>
      <c r="P172" s="681">
        <v>1.0424396442185515</v>
      </c>
      <c r="Q172" s="712">
        <v>3809</v>
      </c>
    </row>
    <row r="173" spans="1:17" ht="14.4" customHeight="1" x14ac:dyDescent="0.3">
      <c r="A173" s="679" t="s">
        <v>507</v>
      </c>
      <c r="B173" s="670" t="s">
        <v>2310</v>
      </c>
      <c r="C173" s="670" t="s">
        <v>2234</v>
      </c>
      <c r="D173" s="670" t="s">
        <v>2565</v>
      </c>
      <c r="E173" s="670" t="s">
        <v>2566</v>
      </c>
      <c r="F173" s="238">
        <v>4</v>
      </c>
      <c r="G173" s="238">
        <v>16672</v>
      </c>
      <c r="H173" s="238">
        <v>1</v>
      </c>
      <c r="I173" s="238">
        <v>4168</v>
      </c>
      <c r="J173" s="238"/>
      <c r="K173" s="238"/>
      <c r="L173" s="238"/>
      <c r="M173" s="238"/>
      <c r="N173" s="238">
        <v>1</v>
      </c>
      <c r="O173" s="238">
        <v>4191</v>
      </c>
      <c r="P173" s="681">
        <v>0.25137955854126681</v>
      </c>
      <c r="Q173" s="712">
        <v>4191</v>
      </c>
    </row>
    <row r="174" spans="1:17" ht="14.4" customHeight="1" x14ac:dyDescent="0.3">
      <c r="A174" s="679" t="s">
        <v>507</v>
      </c>
      <c r="B174" s="670" t="s">
        <v>2310</v>
      </c>
      <c r="C174" s="670" t="s">
        <v>2234</v>
      </c>
      <c r="D174" s="670" t="s">
        <v>2567</v>
      </c>
      <c r="E174" s="670" t="s">
        <v>2568</v>
      </c>
      <c r="F174" s="238">
        <v>4</v>
      </c>
      <c r="G174" s="238">
        <v>1128</v>
      </c>
      <c r="H174" s="238">
        <v>1</v>
      </c>
      <c r="I174" s="238">
        <v>282</v>
      </c>
      <c r="J174" s="238">
        <v>2</v>
      </c>
      <c r="K174" s="238">
        <v>566</v>
      </c>
      <c r="L174" s="238">
        <v>0.50177304964539005</v>
      </c>
      <c r="M174" s="238">
        <v>283</v>
      </c>
      <c r="N174" s="238"/>
      <c r="O174" s="238"/>
      <c r="P174" s="681"/>
      <c r="Q174" s="712"/>
    </row>
    <row r="175" spans="1:17" ht="14.4" customHeight="1" x14ac:dyDescent="0.3">
      <c r="A175" s="679" t="s">
        <v>507</v>
      </c>
      <c r="B175" s="670" t="s">
        <v>2310</v>
      </c>
      <c r="C175" s="670" t="s">
        <v>2234</v>
      </c>
      <c r="D175" s="670" t="s">
        <v>2569</v>
      </c>
      <c r="E175" s="670" t="s">
        <v>2570</v>
      </c>
      <c r="F175" s="238">
        <v>0</v>
      </c>
      <c r="G175" s="238">
        <v>0</v>
      </c>
      <c r="H175" s="238"/>
      <c r="I175" s="238"/>
      <c r="J175" s="238">
        <v>0</v>
      </c>
      <c r="K175" s="238">
        <v>0</v>
      </c>
      <c r="L175" s="238"/>
      <c r="M175" s="238"/>
      <c r="N175" s="238">
        <v>0</v>
      </c>
      <c r="O175" s="238">
        <v>0</v>
      </c>
      <c r="P175" s="681"/>
      <c r="Q175" s="712"/>
    </row>
    <row r="176" spans="1:17" ht="14.4" customHeight="1" x14ac:dyDescent="0.3">
      <c r="A176" s="679" t="s">
        <v>507</v>
      </c>
      <c r="B176" s="670" t="s">
        <v>2310</v>
      </c>
      <c r="C176" s="670" t="s">
        <v>2234</v>
      </c>
      <c r="D176" s="670" t="s">
        <v>2571</v>
      </c>
      <c r="E176" s="670" t="s">
        <v>2572</v>
      </c>
      <c r="F176" s="238">
        <v>305</v>
      </c>
      <c r="G176" s="238">
        <v>0</v>
      </c>
      <c r="H176" s="238"/>
      <c r="I176" s="238">
        <v>0</v>
      </c>
      <c r="J176" s="238">
        <v>265</v>
      </c>
      <c r="K176" s="238">
        <v>0</v>
      </c>
      <c r="L176" s="238"/>
      <c r="M176" s="238">
        <v>0</v>
      </c>
      <c r="N176" s="238">
        <v>189</v>
      </c>
      <c r="O176" s="238">
        <v>0</v>
      </c>
      <c r="P176" s="681"/>
      <c r="Q176" s="712">
        <v>0</v>
      </c>
    </row>
    <row r="177" spans="1:17" ht="14.4" customHeight="1" x14ac:dyDescent="0.3">
      <c r="A177" s="679" t="s">
        <v>507</v>
      </c>
      <c r="B177" s="670" t="s">
        <v>2310</v>
      </c>
      <c r="C177" s="670" t="s">
        <v>2234</v>
      </c>
      <c r="D177" s="670" t="s">
        <v>2249</v>
      </c>
      <c r="E177" s="670" t="s">
        <v>2250</v>
      </c>
      <c r="F177" s="238">
        <v>3</v>
      </c>
      <c r="G177" s="238">
        <v>0</v>
      </c>
      <c r="H177" s="238"/>
      <c r="I177" s="238">
        <v>0</v>
      </c>
      <c r="J177" s="238">
        <v>61</v>
      </c>
      <c r="K177" s="238">
        <v>0</v>
      </c>
      <c r="L177" s="238"/>
      <c r="M177" s="238">
        <v>0</v>
      </c>
      <c r="N177" s="238"/>
      <c r="O177" s="238"/>
      <c r="P177" s="681"/>
      <c r="Q177" s="712"/>
    </row>
    <row r="178" spans="1:17" ht="14.4" customHeight="1" x14ac:dyDescent="0.3">
      <c r="A178" s="679" t="s">
        <v>507</v>
      </c>
      <c r="B178" s="670" t="s">
        <v>2310</v>
      </c>
      <c r="C178" s="670" t="s">
        <v>2234</v>
      </c>
      <c r="D178" s="670" t="s">
        <v>2573</v>
      </c>
      <c r="E178" s="670" t="s">
        <v>2574</v>
      </c>
      <c r="F178" s="238">
        <v>10</v>
      </c>
      <c r="G178" s="238">
        <v>0</v>
      </c>
      <c r="H178" s="238"/>
      <c r="I178" s="238">
        <v>0</v>
      </c>
      <c r="J178" s="238">
        <v>10</v>
      </c>
      <c r="K178" s="238">
        <v>0</v>
      </c>
      <c r="L178" s="238"/>
      <c r="M178" s="238">
        <v>0</v>
      </c>
      <c r="N178" s="238">
        <v>17</v>
      </c>
      <c r="O178" s="238">
        <v>0</v>
      </c>
      <c r="P178" s="681"/>
      <c r="Q178" s="712">
        <v>0</v>
      </c>
    </row>
    <row r="179" spans="1:17" ht="14.4" customHeight="1" x14ac:dyDescent="0.3">
      <c r="A179" s="679" t="s">
        <v>507</v>
      </c>
      <c r="B179" s="670" t="s">
        <v>2310</v>
      </c>
      <c r="C179" s="670" t="s">
        <v>2234</v>
      </c>
      <c r="D179" s="670" t="s">
        <v>2575</v>
      </c>
      <c r="E179" s="670" t="s">
        <v>2576</v>
      </c>
      <c r="F179" s="238">
        <v>110</v>
      </c>
      <c r="G179" s="238">
        <v>81164</v>
      </c>
      <c r="H179" s="238">
        <v>1</v>
      </c>
      <c r="I179" s="238">
        <v>737.85454545454547</v>
      </c>
      <c r="J179" s="238">
        <v>73</v>
      </c>
      <c r="K179" s="238">
        <v>54162</v>
      </c>
      <c r="L179" s="238">
        <v>0.66731555862204917</v>
      </c>
      <c r="M179" s="238">
        <v>741.94520547945206</v>
      </c>
      <c r="N179" s="238"/>
      <c r="O179" s="238"/>
      <c r="P179" s="681"/>
      <c r="Q179" s="712"/>
    </row>
    <row r="180" spans="1:17" ht="14.4" customHeight="1" x14ac:dyDescent="0.3">
      <c r="A180" s="679" t="s">
        <v>507</v>
      </c>
      <c r="B180" s="670" t="s">
        <v>2310</v>
      </c>
      <c r="C180" s="670" t="s">
        <v>2234</v>
      </c>
      <c r="D180" s="670" t="s">
        <v>2577</v>
      </c>
      <c r="E180" s="670" t="s">
        <v>2578</v>
      </c>
      <c r="F180" s="238">
        <v>934</v>
      </c>
      <c r="G180" s="238">
        <v>0</v>
      </c>
      <c r="H180" s="238"/>
      <c r="I180" s="238">
        <v>0</v>
      </c>
      <c r="J180" s="238">
        <v>960</v>
      </c>
      <c r="K180" s="238">
        <v>0</v>
      </c>
      <c r="L180" s="238"/>
      <c r="M180" s="238">
        <v>0</v>
      </c>
      <c r="N180" s="238"/>
      <c r="O180" s="238"/>
      <c r="P180" s="681"/>
      <c r="Q180" s="712"/>
    </row>
    <row r="181" spans="1:17" ht="14.4" customHeight="1" x14ac:dyDescent="0.3">
      <c r="A181" s="679" t="s">
        <v>507</v>
      </c>
      <c r="B181" s="670" t="s">
        <v>2310</v>
      </c>
      <c r="C181" s="670" t="s">
        <v>2234</v>
      </c>
      <c r="D181" s="670" t="s">
        <v>2255</v>
      </c>
      <c r="E181" s="670" t="s">
        <v>2256</v>
      </c>
      <c r="F181" s="238">
        <v>214</v>
      </c>
      <c r="G181" s="238">
        <v>73188</v>
      </c>
      <c r="H181" s="238">
        <v>1</v>
      </c>
      <c r="I181" s="238">
        <v>342</v>
      </c>
      <c r="J181" s="238">
        <v>221</v>
      </c>
      <c r="K181" s="238">
        <v>51272</v>
      </c>
      <c r="L181" s="238">
        <v>0.70055200306061105</v>
      </c>
      <c r="M181" s="238">
        <v>232</v>
      </c>
      <c r="N181" s="238">
        <v>197</v>
      </c>
      <c r="O181" s="238">
        <v>45704</v>
      </c>
      <c r="P181" s="681">
        <v>0.62447395747936818</v>
      </c>
      <c r="Q181" s="712">
        <v>232</v>
      </c>
    </row>
    <row r="182" spans="1:17" ht="14.4" customHeight="1" x14ac:dyDescent="0.3">
      <c r="A182" s="679" t="s">
        <v>507</v>
      </c>
      <c r="B182" s="670" t="s">
        <v>2310</v>
      </c>
      <c r="C182" s="670" t="s">
        <v>2234</v>
      </c>
      <c r="D182" s="670" t="s">
        <v>2579</v>
      </c>
      <c r="E182" s="670" t="s">
        <v>2580</v>
      </c>
      <c r="F182" s="238">
        <v>23</v>
      </c>
      <c r="G182" s="238">
        <v>121307</v>
      </c>
      <c r="H182" s="238">
        <v>1</v>
      </c>
      <c r="I182" s="238">
        <v>5274.217391304348</v>
      </c>
      <c r="J182" s="238">
        <v>20</v>
      </c>
      <c r="K182" s="238">
        <v>105960</v>
      </c>
      <c r="L182" s="238">
        <v>0.87348627861541384</v>
      </c>
      <c r="M182" s="238">
        <v>5298</v>
      </c>
      <c r="N182" s="238">
        <v>22</v>
      </c>
      <c r="O182" s="238">
        <v>116556</v>
      </c>
      <c r="P182" s="681">
        <v>0.96083490647695513</v>
      </c>
      <c r="Q182" s="712">
        <v>5298</v>
      </c>
    </row>
    <row r="183" spans="1:17" ht="14.4" customHeight="1" x14ac:dyDescent="0.3">
      <c r="A183" s="679" t="s">
        <v>507</v>
      </c>
      <c r="B183" s="670" t="s">
        <v>2310</v>
      </c>
      <c r="C183" s="670" t="s">
        <v>2234</v>
      </c>
      <c r="D183" s="670" t="s">
        <v>2581</v>
      </c>
      <c r="E183" s="670" t="s">
        <v>2582</v>
      </c>
      <c r="F183" s="238">
        <v>1107</v>
      </c>
      <c r="G183" s="238">
        <v>1175492</v>
      </c>
      <c r="H183" s="238">
        <v>1</v>
      </c>
      <c r="I183" s="238">
        <v>1061.8717253839204</v>
      </c>
      <c r="J183" s="238">
        <v>1016</v>
      </c>
      <c r="K183" s="238">
        <v>1120435</v>
      </c>
      <c r="L183" s="238">
        <v>0.95316259064289677</v>
      </c>
      <c r="M183" s="238">
        <v>1102.7903543307086</v>
      </c>
      <c r="N183" s="238">
        <v>931</v>
      </c>
      <c r="O183" s="238">
        <v>1031994</v>
      </c>
      <c r="P183" s="681">
        <v>0.87792515814654626</v>
      </c>
      <c r="Q183" s="712">
        <v>1108.4790547798066</v>
      </c>
    </row>
    <row r="184" spans="1:17" ht="14.4" customHeight="1" x14ac:dyDescent="0.3">
      <c r="A184" s="679" t="s">
        <v>507</v>
      </c>
      <c r="B184" s="670" t="s">
        <v>2310</v>
      </c>
      <c r="C184" s="670" t="s">
        <v>2234</v>
      </c>
      <c r="D184" s="670" t="s">
        <v>2583</v>
      </c>
      <c r="E184" s="670" t="s">
        <v>2584</v>
      </c>
      <c r="F184" s="238">
        <v>164</v>
      </c>
      <c r="G184" s="238">
        <v>201994</v>
      </c>
      <c r="H184" s="238">
        <v>1</v>
      </c>
      <c r="I184" s="238">
        <v>1231.6707317073171</v>
      </c>
      <c r="J184" s="238">
        <v>147</v>
      </c>
      <c r="K184" s="238">
        <v>182133</v>
      </c>
      <c r="L184" s="238">
        <v>0.901675297286058</v>
      </c>
      <c r="M184" s="238">
        <v>1239</v>
      </c>
      <c r="N184" s="238">
        <v>153</v>
      </c>
      <c r="O184" s="238">
        <v>189567</v>
      </c>
      <c r="P184" s="681">
        <v>0.93847837064467265</v>
      </c>
      <c r="Q184" s="712">
        <v>1239</v>
      </c>
    </row>
    <row r="185" spans="1:17" ht="14.4" customHeight="1" x14ac:dyDescent="0.3">
      <c r="A185" s="679" t="s">
        <v>507</v>
      </c>
      <c r="B185" s="670" t="s">
        <v>2310</v>
      </c>
      <c r="C185" s="670" t="s">
        <v>2234</v>
      </c>
      <c r="D185" s="670" t="s">
        <v>2585</v>
      </c>
      <c r="E185" s="670" t="s">
        <v>2586</v>
      </c>
      <c r="F185" s="238"/>
      <c r="G185" s="238"/>
      <c r="H185" s="238"/>
      <c r="I185" s="238"/>
      <c r="J185" s="238">
        <v>1</v>
      </c>
      <c r="K185" s="238">
        <v>0</v>
      </c>
      <c r="L185" s="238"/>
      <c r="M185" s="238">
        <v>0</v>
      </c>
      <c r="N185" s="238"/>
      <c r="O185" s="238"/>
      <c r="P185" s="681"/>
      <c r="Q185" s="712"/>
    </row>
    <row r="186" spans="1:17" ht="14.4" customHeight="1" x14ac:dyDescent="0.3">
      <c r="A186" s="679" t="s">
        <v>507</v>
      </c>
      <c r="B186" s="670" t="s">
        <v>2310</v>
      </c>
      <c r="C186" s="670" t="s">
        <v>2234</v>
      </c>
      <c r="D186" s="670" t="s">
        <v>2587</v>
      </c>
      <c r="E186" s="670" t="s">
        <v>2588</v>
      </c>
      <c r="F186" s="238">
        <v>79</v>
      </c>
      <c r="G186" s="238">
        <v>34596</v>
      </c>
      <c r="H186" s="238">
        <v>1</v>
      </c>
      <c r="I186" s="238">
        <v>437.92405063291142</v>
      </c>
      <c r="J186" s="238">
        <v>75</v>
      </c>
      <c r="K186" s="238">
        <v>33150</v>
      </c>
      <c r="L186" s="238">
        <v>0.95820326049254245</v>
      </c>
      <c r="M186" s="238">
        <v>442</v>
      </c>
      <c r="N186" s="238">
        <v>65</v>
      </c>
      <c r="O186" s="238">
        <v>28730</v>
      </c>
      <c r="P186" s="681">
        <v>0.83044282576020345</v>
      </c>
      <c r="Q186" s="712">
        <v>442</v>
      </c>
    </row>
    <row r="187" spans="1:17" ht="14.4" customHeight="1" x14ac:dyDescent="0.3">
      <c r="A187" s="679" t="s">
        <v>507</v>
      </c>
      <c r="B187" s="670" t="s">
        <v>2310</v>
      </c>
      <c r="C187" s="670" t="s">
        <v>2234</v>
      </c>
      <c r="D187" s="670" t="s">
        <v>2589</v>
      </c>
      <c r="E187" s="670" t="s">
        <v>2590</v>
      </c>
      <c r="F187" s="238"/>
      <c r="G187" s="238"/>
      <c r="H187" s="238"/>
      <c r="I187" s="238"/>
      <c r="J187" s="238">
        <v>4</v>
      </c>
      <c r="K187" s="238">
        <v>17128</v>
      </c>
      <c r="L187" s="238"/>
      <c r="M187" s="238">
        <v>4282</v>
      </c>
      <c r="N187" s="238">
        <v>1</v>
      </c>
      <c r="O187" s="238">
        <v>4282</v>
      </c>
      <c r="P187" s="681"/>
      <c r="Q187" s="712">
        <v>4282</v>
      </c>
    </row>
    <row r="188" spans="1:17" ht="14.4" customHeight="1" x14ac:dyDescent="0.3">
      <c r="A188" s="679" t="s">
        <v>507</v>
      </c>
      <c r="B188" s="670" t="s">
        <v>2310</v>
      </c>
      <c r="C188" s="670" t="s">
        <v>2234</v>
      </c>
      <c r="D188" s="670" t="s">
        <v>2591</v>
      </c>
      <c r="E188" s="670" t="s">
        <v>2592</v>
      </c>
      <c r="F188" s="238">
        <v>20</v>
      </c>
      <c r="G188" s="238">
        <v>78216</v>
      </c>
      <c r="H188" s="238">
        <v>1</v>
      </c>
      <c r="I188" s="238">
        <v>3910.8</v>
      </c>
      <c r="J188" s="238">
        <v>17</v>
      </c>
      <c r="K188" s="238">
        <v>66744</v>
      </c>
      <c r="L188" s="238">
        <v>0.85332924209880334</v>
      </c>
      <c r="M188" s="238">
        <v>3926.1176470588234</v>
      </c>
      <c r="N188" s="238">
        <v>21</v>
      </c>
      <c r="O188" s="238">
        <v>82488</v>
      </c>
      <c r="P188" s="681">
        <v>1.0546179809757594</v>
      </c>
      <c r="Q188" s="712">
        <v>3928</v>
      </c>
    </row>
    <row r="189" spans="1:17" ht="14.4" customHeight="1" x14ac:dyDescent="0.3">
      <c r="A189" s="679" t="s">
        <v>507</v>
      </c>
      <c r="B189" s="670" t="s">
        <v>2310</v>
      </c>
      <c r="C189" s="670" t="s">
        <v>2234</v>
      </c>
      <c r="D189" s="670" t="s">
        <v>2593</v>
      </c>
      <c r="E189" s="670" t="s">
        <v>2594</v>
      </c>
      <c r="F189" s="238">
        <v>3</v>
      </c>
      <c r="G189" s="238">
        <v>29703</v>
      </c>
      <c r="H189" s="238">
        <v>1</v>
      </c>
      <c r="I189" s="238">
        <v>9901</v>
      </c>
      <c r="J189" s="238">
        <v>1</v>
      </c>
      <c r="K189" s="238">
        <v>9946</v>
      </c>
      <c r="L189" s="238">
        <v>0.33484833181833484</v>
      </c>
      <c r="M189" s="238">
        <v>9946</v>
      </c>
      <c r="N189" s="238">
        <v>4</v>
      </c>
      <c r="O189" s="238">
        <v>39784</v>
      </c>
      <c r="P189" s="681">
        <v>1.3393933272733394</v>
      </c>
      <c r="Q189" s="712">
        <v>9946</v>
      </c>
    </row>
    <row r="190" spans="1:17" ht="14.4" customHeight="1" x14ac:dyDescent="0.3">
      <c r="A190" s="679" t="s">
        <v>507</v>
      </c>
      <c r="B190" s="670" t="s">
        <v>2310</v>
      </c>
      <c r="C190" s="670" t="s">
        <v>2234</v>
      </c>
      <c r="D190" s="670" t="s">
        <v>2595</v>
      </c>
      <c r="E190" s="670" t="s">
        <v>2596</v>
      </c>
      <c r="F190" s="238">
        <v>128</v>
      </c>
      <c r="G190" s="238">
        <v>41964</v>
      </c>
      <c r="H190" s="238">
        <v>1</v>
      </c>
      <c r="I190" s="238">
        <v>327.84375</v>
      </c>
      <c r="J190" s="238">
        <v>162</v>
      </c>
      <c r="K190" s="238">
        <v>53613</v>
      </c>
      <c r="L190" s="238">
        <v>1.2775950814984272</v>
      </c>
      <c r="M190" s="238">
        <v>330.94444444444446</v>
      </c>
      <c r="N190" s="238">
        <v>127</v>
      </c>
      <c r="O190" s="238">
        <v>42037</v>
      </c>
      <c r="P190" s="681">
        <v>1.001739586312077</v>
      </c>
      <c r="Q190" s="712">
        <v>331</v>
      </c>
    </row>
    <row r="191" spans="1:17" ht="14.4" customHeight="1" x14ac:dyDescent="0.3">
      <c r="A191" s="679" t="s">
        <v>507</v>
      </c>
      <c r="B191" s="670" t="s">
        <v>2310</v>
      </c>
      <c r="C191" s="670" t="s">
        <v>2234</v>
      </c>
      <c r="D191" s="670" t="s">
        <v>2597</v>
      </c>
      <c r="E191" s="670" t="s">
        <v>2598</v>
      </c>
      <c r="F191" s="238">
        <v>1</v>
      </c>
      <c r="G191" s="238">
        <v>4751</v>
      </c>
      <c r="H191" s="238">
        <v>1</v>
      </c>
      <c r="I191" s="238">
        <v>4751</v>
      </c>
      <c r="J191" s="238">
        <v>1</v>
      </c>
      <c r="K191" s="238">
        <v>4774</v>
      </c>
      <c r="L191" s="238">
        <v>1.0048410860871395</v>
      </c>
      <c r="M191" s="238">
        <v>4774</v>
      </c>
      <c r="N191" s="238">
        <v>4</v>
      </c>
      <c r="O191" s="238">
        <v>19096</v>
      </c>
      <c r="P191" s="681">
        <v>4.019364344348558</v>
      </c>
      <c r="Q191" s="712">
        <v>4774</v>
      </c>
    </row>
    <row r="192" spans="1:17" ht="14.4" customHeight="1" x14ac:dyDescent="0.3">
      <c r="A192" s="679" t="s">
        <v>507</v>
      </c>
      <c r="B192" s="670" t="s">
        <v>2310</v>
      </c>
      <c r="C192" s="670" t="s">
        <v>2234</v>
      </c>
      <c r="D192" s="670" t="s">
        <v>2599</v>
      </c>
      <c r="E192" s="670" t="s">
        <v>2600</v>
      </c>
      <c r="F192" s="238">
        <v>178</v>
      </c>
      <c r="G192" s="238">
        <v>120313</v>
      </c>
      <c r="H192" s="238">
        <v>1</v>
      </c>
      <c r="I192" s="238">
        <v>675.91573033707868</v>
      </c>
      <c r="J192" s="238">
        <v>197</v>
      </c>
      <c r="K192" s="238">
        <v>68100</v>
      </c>
      <c r="L192" s="238">
        <v>0.56602362172001364</v>
      </c>
      <c r="M192" s="238">
        <v>345.68527918781729</v>
      </c>
      <c r="N192" s="238">
        <v>183</v>
      </c>
      <c r="O192" s="238">
        <v>62952</v>
      </c>
      <c r="P192" s="681">
        <v>0.52323522811333767</v>
      </c>
      <c r="Q192" s="712">
        <v>344</v>
      </c>
    </row>
    <row r="193" spans="1:17" ht="14.4" customHeight="1" x14ac:dyDescent="0.3">
      <c r="A193" s="679" t="s">
        <v>507</v>
      </c>
      <c r="B193" s="670" t="s">
        <v>2310</v>
      </c>
      <c r="C193" s="670" t="s">
        <v>2234</v>
      </c>
      <c r="D193" s="670" t="s">
        <v>2601</v>
      </c>
      <c r="E193" s="670" t="s">
        <v>2602</v>
      </c>
      <c r="F193" s="238">
        <v>7</v>
      </c>
      <c r="G193" s="238">
        <v>12328</v>
      </c>
      <c r="H193" s="238">
        <v>1</v>
      </c>
      <c r="I193" s="238">
        <v>1761.1428571428571</v>
      </c>
      <c r="J193" s="238"/>
      <c r="K193" s="238"/>
      <c r="L193" s="238"/>
      <c r="M193" s="238"/>
      <c r="N193" s="238"/>
      <c r="O193" s="238"/>
      <c r="P193" s="681"/>
      <c r="Q193" s="712"/>
    </row>
    <row r="194" spans="1:17" ht="14.4" customHeight="1" x14ac:dyDescent="0.3">
      <c r="A194" s="679" t="s">
        <v>507</v>
      </c>
      <c r="B194" s="670" t="s">
        <v>2310</v>
      </c>
      <c r="C194" s="670" t="s">
        <v>2234</v>
      </c>
      <c r="D194" s="670" t="s">
        <v>2603</v>
      </c>
      <c r="E194" s="670" t="s">
        <v>2604</v>
      </c>
      <c r="F194" s="238">
        <v>72</v>
      </c>
      <c r="G194" s="238">
        <v>21600</v>
      </c>
      <c r="H194" s="238">
        <v>1</v>
      </c>
      <c r="I194" s="238">
        <v>300</v>
      </c>
      <c r="J194" s="238">
        <v>81</v>
      </c>
      <c r="K194" s="238">
        <v>24381</v>
      </c>
      <c r="L194" s="238">
        <v>1.1287499999999999</v>
      </c>
      <c r="M194" s="238">
        <v>301</v>
      </c>
      <c r="N194" s="238">
        <v>40</v>
      </c>
      <c r="O194" s="238">
        <v>12040</v>
      </c>
      <c r="P194" s="681">
        <v>0.55740740740740746</v>
      </c>
      <c r="Q194" s="712">
        <v>301</v>
      </c>
    </row>
    <row r="195" spans="1:17" ht="14.4" customHeight="1" x14ac:dyDescent="0.3">
      <c r="A195" s="679" t="s">
        <v>507</v>
      </c>
      <c r="B195" s="670" t="s">
        <v>2310</v>
      </c>
      <c r="C195" s="670" t="s">
        <v>2234</v>
      </c>
      <c r="D195" s="670" t="s">
        <v>2605</v>
      </c>
      <c r="E195" s="670" t="s">
        <v>2606</v>
      </c>
      <c r="F195" s="238"/>
      <c r="G195" s="238"/>
      <c r="H195" s="238"/>
      <c r="I195" s="238"/>
      <c r="J195" s="238">
        <v>3</v>
      </c>
      <c r="K195" s="238">
        <v>33879</v>
      </c>
      <c r="L195" s="238"/>
      <c r="M195" s="238">
        <v>11293</v>
      </c>
      <c r="N195" s="238">
        <v>2</v>
      </c>
      <c r="O195" s="238">
        <v>22586</v>
      </c>
      <c r="P195" s="681"/>
      <c r="Q195" s="712">
        <v>11293</v>
      </c>
    </row>
    <row r="196" spans="1:17" ht="14.4" customHeight="1" x14ac:dyDescent="0.3">
      <c r="A196" s="679" t="s">
        <v>507</v>
      </c>
      <c r="B196" s="670" t="s">
        <v>2310</v>
      </c>
      <c r="C196" s="670" t="s">
        <v>2234</v>
      </c>
      <c r="D196" s="670" t="s">
        <v>2304</v>
      </c>
      <c r="E196" s="670" t="s">
        <v>2305</v>
      </c>
      <c r="F196" s="238">
        <v>1</v>
      </c>
      <c r="G196" s="238">
        <v>6771</v>
      </c>
      <c r="H196" s="238">
        <v>1</v>
      </c>
      <c r="I196" s="238">
        <v>6771</v>
      </c>
      <c r="J196" s="238"/>
      <c r="K196" s="238"/>
      <c r="L196" s="238"/>
      <c r="M196" s="238"/>
      <c r="N196" s="238"/>
      <c r="O196" s="238"/>
      <c r="P196" s="681"/>
      <c r="Q196" s="712"/>
    </row>
    <row r="197" spans="1:17" ht="14.4" customHeight="1" x14ac:dyDescent="0.3">
      <c r="A197" s="679" t="s">
        <v>507</v>
      </c>
      <c r="B197" s="670" t="s">
        <v>2310</v>
      </c>
      <c r="C197" s="670" t="s">
        <v>2234</v>
      </c>
      <c r="D197" s="670" t="s">
        <v>2607</v>
      </c>
      <c r="E197" s="670" t="s">
        <v>2608</v>
      </c>
      <c r="F197" s="238">
        <v>25</v>
      </c>
      <c r="G197" s="238">
        <v>104575</v>
      </c>
      <c r="H197" s="238">
        <v>1</v>
      </c>
      <c r="I197" s="238">
        <v>4183</v>
      </c>
      <c r="J197" s="238">
        <v>26</v>
      </c>
      <c r="K197" s="238">
        <v>109333</v>
      </c>
      <c r="L197" s="238">
        <v>1.0454984460913219</v>
      </c>
      <c r="M197" s="238">
        <v>4205.1153846153848</v>
      </c>
      <c r="N197" s="238">
        <v>28</v>
      </c>
      <c r="O197" s="238">
        <v>117768</v>
      </c>
      <c r="P197" s="681">
        <v>1.1261582596222806</v>
      </c>
      <c r="Q197" s="712">
        <v>4206</v>
      </c>
    </row>
    <row r="198" spans="1:17" ht="14.4" customHeight="1" x14ac:dyDescent="0.3">
      <c r="A198" s="679" t="s">
        <v>507</v>
      </c>
      <c r="B198" s="670" t="s">
        <v>2310</v>
      </c>
      <c r="C198" s="670" t="s">
        <v>2234</v>
      </c>
      <c r="D198" s="670" t="s">
        <v>2609</v>
      </c>
      <c r="E198" s="670" t="s">
        <v>2610</v>
      </c>
      <c r="F198" s="238">
        <v>16</v>
      </c>
      <c r="G198" s="238">
        <v>197376</v>
      </c>
      <c r="H198" s="238">
        <v>1</v>
      </c>
      <c r="I198" s="238">
        <v>12336</v>
      </c>
      <c r="J198" s="238">
        <v>18</v>
      </c>
      <c r="K198" s="238">
        <v>223074</v>
      </c>
      <c r="L198" s="238">
        <v>1.1301982003891051</v>
      </c>
      <c r="M198" s="238">
        <v>12393</v>
      </c>
      <c r="N198" s="238">
        <v>26</v>
      </c>
      <c r="O198" s="238">
        <v>322218</v>
      </c>
      <c r="P198" s="681">
        <v>1.6325085116731517</v>
      </c>
      <c r="Q198" s="712">
        <v>12393</v>
      </c>
    </row>
    <row r="199" spans="1:17" ht="14.4" customHeight="1" x14ac:dyDescent="0.3">
      <c r="A199" s="679" t="s">
        <v>507</v>
      </c>
      <c r="B199" s="670" t="s">
        <v>2310</v>
      </c>
      <c r="C199" s="670" t="s">
        <v>2234</v>
      </c>
      <c r="D199" s="670" t="s">
        <v>2611</v>
      </c>
      <c r="E199" s="670" t="s">
        <v>2612</v>
      </c>
      <c r="F199" s="238">
        <v>17</v>
      </c>
      <c r="G199" s="238">
        <v>39460</v>
      </c>
      <c r="H199" s="238">
        <v>1</v>
      </c>
      <c r="I199" s="238">
        <v>2321.1764705882351</v>
      </c>
      <c r="J199" s="238">
        <v>37</v>
      </c>
      <c r="K199" s="238">
        <v>86543</v>
      </c>
      <c r="L199" s="238">
        <v>2.1931829700962999</v>
      </c>
      <c r="M199" s="238">
        <v>2339</v>
      </c>
      <c r="N199" s="238">
        <v>33</v>
      </c>
      <c r="O199" s="238">
        <v>77187</v>
      </c>
      <c r="P199" s="681">
        <v>1.9560821084642677</v>
      </c>
      <c r="Q199" s="712">
        <v>2339</v>
      </c>
    </row>
    <row r="200" spans="1:17" ht="14.4" customHeight="1" x14ac:dyDescent="0.3">
      <c r="A200" s="679" t="s">
        <v>507</v>
      </c>
      <c r="B200" s="670" t="s">
        <v>2310</v>
      </c>
      <c r="C200" s="670" t="s">
        <v>2234</v>
      </c>
      <c r="D200" s="670" t="s">
        <v>2613</v>
      </c>
      <c r="E200" s="670" t="s">
        <v>2614</v>
      </c>
      <c r="F200" s="238">
        <v>2</v>
      </c>
      <c r="G200" s="238">
        <v>10816</v>
      </c>
      <c r="H200" s="238">
        <v>1</v>
      </c>
      <c r="I200" s="238">
        <v>5408</v>
      </c>
      <c r="J200" s="238">
        <v>2</v>
      </c>
      <c r="K200" s="238">
        <v>10894</v>
      </c>
      <c r="L200" s="238">
        <v>1.0072115384615385</v>
      </c>
      <c r="M200" s="238">
        <v>5447</v>
      </c>
      <c r="N200" s="238"/>
      <c r="O200" s="238"/>
      <c r="P200" s="681"/>
      <c r="Q200" s="712"/>
    </row>
    <row r="201" spans="1:17" ht="14.4" customHeight="1" x14ac:dyDescent="0.3">
      <c r="A201" s="679" t="s">
        <v>507</v>
      </c>
      <c r="B201" s="670" t="s">
        <v>2310</v>
      </c>
      <c r="C201" s="670" t="s">
        <v>2234</v>
      </c>
      <c r="D201" s="670" t="s">
        <v>2615</v>
      </c>
      <c r="E201" s="670" t="s">
        <v>2616</v>
      </c>
      <c r="F201" s="238">
        <v>19</v>
      </c>
      <c r="G201" s="238">
        <v>12460</v>
      </c>
      <c r="H201" s="238">
        <v>1</v>
      </c>
      <c r="I201" s="238">
        <v>655.78947368421052</v>
      </c>
      <c r="J201" s="238">
        <v>31</v>
      </c>
      <c r="K201" s="238">
        <v>20522</v>
      </c>
      <c r="L201" s="238">
        <v>1.6470304975922954</v>
      </c>
      <c r="M201" s="238">
        <v>662</v>
      </c>
      <c r="N201" s="238">
        <v>25</v>
      </c>
      <c r="O201" s="238">
        <v>16550</v>
      </c>
      <c r="P201" s="681">
        <v>1.3282504012841092</v>
      </c>
      <c r="Q201" s="712">
        <v>662</v>
      </c>
    </row>
    <row r="202" spans="1:17" ht="14.4" customHeight="1" x14ac:dyDescent="0.3">
      <c r="A202" s="679" t="s">
        <v>507</v>
      </c>
      <c r="B202" s="670" t="s">
        <v>2310</v>
      </c>
      <c r="C202" s="670" t="s">
        <v>2234</v>
      </c>
      <c r="D202" s="670" t="s">
        <v>2617</v>
      </c>
      <c r="E202" s="670" t="s">
        <v>2618</v>
      </c>
      <c r="F202" s="238">
        <v>3</v>
      </c>
      <c r="G202" s="238">
        <v>0</v>
      </c>
      <c r="H202" s="238"/>
      <c r="I202" s="238">
        <v>0</v>
      </c>
      <c r="J202" s="238"/>
      <c r="K202" s="238"/>
      <c r="L202" s="238"/>
      <c r="M202" s="238"/>
      <c r="N202" s="238"/>
      <c r="O202" s="238"/>
      <c r="P202" s="681"/>
      <c r="Q202" s="712"/>
    </row>
    <row r="203" spans="1:17" ht="14.4" customHeight="1" x14ac:dyDescent="0.3">
      <c r="A203" s="679" t="s">
        <v>507</v>
      </c>
      <c r="B203" s="670" t="s">
        <v>2310</v>
      </c>
      <c r="C203" s="670" t="s">
        <v>2234</v>
      </c>
      <c r="D203" s="670" t="s">
        <v>2619</v>
      </c>
      <c r="E203" s="670" t="s">
        <v>2620</v>
      </c>
      <c r="F203" s="238">
        <v>3</v>
      </c>
      <c r="G203" s="238">
        <v>0</v>
      </c>
      <c r="H203" s="238"/>
      <c r="I203" s="238">
        <v>0</v>
      </c>
      <c r="J203" s="238">
        <v>1</v>
      </c>
      <c r="K203" s="238">
        <v>0</v>
      </c>
      <c r="L203" s="238"/>
      <c r="M203" s="238">
        <v>0</v>
      </c>
      <c r="N203" s="238"/>
      <c r="O203" s="238"/>
      <c r="P203" s="681"/>
      <c r="Q203" s="712"/>
    </row>
    <row r="204" spans="1:17" ht="14.4" customHeight="1" x14ac:dyDescent="0.3">
      <c r="A204" s="679" t="s">
        <v>507</v>
      </c>
      <c r="B204" s="670" t="s">
        <v>2310</v>
      </c>
      <c r="C204" s="670" t="s">
        <v>2234</v>
      </c>
      <c r="D204" s="670" t="s">
        <v>2621</v>
      </c>
      <c r="E204" s="670" t="s">
        <v>2622</v>
      </c>
      <c r="F204" s="238">
        <v>83</v>
      </c>
      <c r="G204" s="238">
        <v>111694</v>
      </c>
      <c r="H204" s="238">
        <v>1</v>
      </c>
      <c r="I204" s="238">
        <v>1345.7108433734941</v>
      </c>
      <c r="J204" s="238">
        <v>109</v>
      </c>
      <c r="K204" s="238">
        <v>147463</v>
      </c>
      <c r="L204" s="238">
        <v>1.3202410156319946</v>
      </c>
      <c r="M204" s="238">
        <v>1352.8715596330276</v>
      </c>
      <c r="N204" s="238">
        <v>71</v>
      </c>
      <c r="O204" s="238">
        <v>96063</v>
      </c>
      <c r="P204" s="681">
        <v>0.8600551506795352</v>
      </c>
      <c r="Q204" s="712">
        <v>1353</v>
      </c>
    </row>
    <row r="205" spans="1:17" ht="14.4" customHeight="1" x14ac:dyDescent="0.3">
      <c r="A205" s="679" t="s">
        <v>507</v>
      </c>
      <c r="B205" s="670" t="s">
        <v>2310</v>
      </c>
      <c r="C205" s="670" t="s">
        <v>2234</v>
      </c>
      <c r="D205" s="670" t="s">
        <v>2623</v>
      </c>
      <c r="E205" s="670" t="s">
        <v>2624</v>
      </c>
      <c r="F205" s="238">
        <v>3</v>
      </c>
      <c r="G205" s="238">
        <v>15684</v>
      </c>
      <c r="H205" s="238">
        <v>1</v>
      </c>
      <c r="I205" s="238">
        <v>5228</v>
      </c>
      <c r="J205" s="238">
        <v>1</v>
      </c>
      <c r="K205" s="238">
        <v>5255</v>
      </c>
      <c r="L205" s="238">
        <v>0.33505483295077787</v>
      </c>
      <c r="M205" s="238">
        <v>5255</v>
      </c>
      <c r="N205" s="238">
        <v>2</v>
      </c>
      <c r="O205" s="238">
        <v>10510</v>
      </c>
      <c r="P205" s="681">
        <v>0.67010966590155574</v>
      </c>
      <c r="Q205" s="712">
        <v>5255</v>
      </c>
    </row>
    <row r="206" spans="1:17" ht="14.4" customHeight="1" x14ac:dyDescent="0.3">
      <c r="A206" s="679" t="s">
        <v>507</v>
      </c>
      <c r="B206" s="670" t="s">
        <v>2310</v>
      </c>
      <c r="C206" s="670" t="s">
        <v>2234</v>
      </c>
      <c r="D206" s="670" t="s">
        <v>2625</v>
      </c>
      <c r="E206" s="670" t="s">
        <v>2626</v>
      </c>
      <c r="F206" s="238">
        <v>3</v>
      </c>
      <c r="G206" s="238">
        <v>30840</v>
      </c>
      <c r="H206" s="238">
        <v>1</v>
      </c>
      <c r="I206" s="238">
        <v>10280</v>
      </c>
      <c r="J206" s="238">
        <v>1</v>
      </c>
      <c r="K206" s="238">
        <v>10325</v>
      </c>
      <c r="L206" s="238">
        <v>0.3347924773022049</v>
      </c>
      <c r="M206" s="238">
        <v>10325</v>
      </c>
      <c r="N206" s="238">
        <v>5</v>
      </c>
      <c r="O206" s="238">
        <v>51625</v>
      </c>
      <c r="P206" s="681">
        <v>1.6739623865110247</v>
      </c>
      <c r="Q206" s="712">
        <v>10325</v>
      </c>
    </row>
    <row r="207" spans="1:17" ht="14.4" customHeight="1" x14ac:dyDescent="0.3">
      <c r="A207" s="679" t="s">
        <v>507</v>
      </c>
      <c r="B207" s="670" t="s">
        <v>2310</v>
      </c>
      <c r="C207" s="670" t="s">
        <v>2234</v>
      </c>
      <c r="D207" s="670" t="s">
        <v>2627</v>
      </c>
      <c r="E207" s="670" t="s">
        <v>2628</v>
      </c>
      <c r="F207" s="238">
        <v>1</v>
      </c>
      <c r="G207" s="238">
        <v>3699</v>
      </c>
      <c r="H207" s="238">
        <v>1</v>
      </c>
      <c r="I207" s="238">
        <v>3699</v>
      </c>
      <c r="J207" s="238">
        <v>1</v>
      </c>
      <c r="K207" s="238">
        <v>3722</v>
      </c>
      <c r="L207" s="238">
        <v>1.0062178967288455</v>
      </c>
      <c r="M207" s="238">
        <v>3722</v>
      </c>
      <c r="N207" s="238"/>
      <c r="O207" s="238"/>
      <c r="P207" s="681"/>
      <c r="Q207" s="712"/>
    </row>
    <row r="208" spans="1:17" ht="14.4" customHeight="1" x14ac:dyDescent="0.3">
      <c r="A208" s="679" t="s">
        <v>507</v>
      </c>
      <c r="B208" s="670" t="s">
        <v>2310</v>
      </c>
      <c r="C208" s="670" t="s">
        <v>2234</v>
      </c>
      <c r="D208" s="670" t="s">
        <v>2629</v>
      </c>
      <c r="E208" s="670" t="s">
        <v>2630</v>
      </c>
      <c r="F208" s="238">
        <v>5</v>
      </c>
      <c r="G208" s="238">
        <v>15390</v>
      </c>
      <c r="H208" s="238">
        <v>1</v>
      </c>
      <c r="I208" s="238">
        <v>3078</v>
      </c>
      <c r="J208" s="238">
        <v>6</v>
      </c>
      <c r="K208" s="238">
        <v>18606</v>
      </c>
      <c r="L208" s="238">
        <v>1.2089668615984406</v>
      </c>
      <c r="M208" s="238">
        <v>3101</v>
      </c>
      <c r="N208" s="238">
        <v>4</v>
      </c>
      <c r="O208" s="238">
        <v>12404</v>
      </c>
      <c r="P208" s="681">
        <v>0.80597790773229372</v>
      </c>
      <c r="Q208" s="712">
        <v>3101</v>
      </c>
    </row>
    <row r="209" spans="1:17" ht="14.4" customHeight="1" x14ac:dyDescent="0.3">
      <c r="A209" s="679" t="s">
        <v>507</v>
      </c>
      <c r="B209" s="670" t="s">
        <v>2310</v>
      </c>
      <c r="C209" s="670" t="s">
        <v>2234</v>
      </c>
      <c r="D209" s="670" t="s">
        <v>2631</v>
      </c>
      <c r="E209" s="670" t="s">
        <v>2632</v>
      </c>
      <c r="F209" s="238"/>
      <c r="G209" s="238"/>
      <c r="H209" s="238"/>
      <c r="I209" s="238"/>
      <c r="J209" s="238"/>
      <c r="K209" s="238"/>
      <c r="L209" s="238"/>
      <c r="M209" s="238"/>
      <c r="N209" s="238">
        <v>1</v>
      </c>
      <c r="O209" s="238">
        <v>1779</v>
      </c>
      <c r="P209" s="681"/>
      <c r="Q209" s="712">
        <v>1779</v>
      </c>
    </row>
    <row r="210" spans="1:17" ht="14.4" customHeight="1" x14ac:dyDescent="0.3">
      <c r="A210" s="679" t="s">
        <v>507</v>
      </c>
      <c r="B210" s="670" t="s">
        <v>2310</v>
      </c>
      <c r="C210" s="670" t="s">
        <v>2234</v>
      </c>
      <c r="D210" s="670" t="s">
        <v>2306</v>
      </c>
      <c r="E210" s="670" t="s">
        <v>2307</v>
      </c>
      <c r="F210" s="238">
        <v>2</v>
      </c>
      <c r="G210" s="238">
        <v>9030</v>
      </c>
      <c r="H210" s="238">
        <v>1</v>
      </c>
      <c r="I210" s="238">
        <v>4515</v>
      </c>
      <c r="J210" s="238"/>
      <c r="K210" s="238"/>
      <c r="L210" s="238"/>
      <c r="M210" s="238"/>
      <c r="N210" s="238"/>
      <c r="O210" s="238"/>
      <c r="P210" s="681"/>
      <c r="Q210" s="712"/>
    </row>
    <row r="211" spans="1:17" ht="14.4" customHeight="1" x14ac:dyDescent="0.3">
      <c r="A211" s="679" t="s">
        <v>507</v>
      </c>
      <c r="B211" s="670" t="s">
        <v>2310</v>
      </c>
      <c r="C211" s="670" t="s">
        <v>2234</v>
      </c>
      <c r="D211" s="670" t="s">
        <v>2633</v>
      </c>
      <c r="E211" s="670" t="s">
        <v>2634</v>
      </c>
      <c r="F211" s="238">
        <v>1</v>
      </c>
      <c r="G211" s="238">
        <v>7804</v>
      </c>
      <c r="H211" s="238">
        <v>1</v>
      </c>
      <c r="I211" s="238">
        <v>7804</v>
      </c>
      <c r="J211" s="238">
        <v>2</v>
      </c>
      <c r="K211" s="238">
        <v>15688</v>
      </c>
      <c r="L211" s="238">
        <v>2.0102511532547411</v>
      </c>
      <c r="M211" s="238">
        <v>7844</v>
      </c>
      <c r="N211" s="238">
        <v>2</v>
      </c>
      <c r="O211" s="238">
        <v>15688</v>
      </c>
      <c r="P211" s="681">
        <v>2.0102511532547411</v>
      </c>
      <c r="Q211" s="712">
        <v>7844</v>
      </c>
    </row>
    <row r="212" spans="1:17" ht="14.4" customHeight="1" x14ac:dyDescent="0.3">
      <c r="A212" s="679" t="s">
        <v>507</v>
      </c>
      <c r="B212" s="670" t="s">
        <v>2310</v>
      </c>
      <c r="C212" s="670" t="s">
        <v>2234</v>
      </c>
      <c r="D212" s="670" t="s">
        <v>2635</v>
      </c>
      <c r="E212" s="670" t="s">
        <v>2636</v>
      </c>
      <c r="F212" s="238">
        <v>1</v>
      </c>
      <c r="G212" s="238">
        <v>9452</v>
      </c>
      <c r="H212" s="238">
        <v>1</v>
      </c>
      <c r="I212" s="238">
        <v>9452</v>
      </c>
      <c r="J212" s="238">
        <v>3</v>
      </c>
      <c r="K212" s="238">
        <v>28509</v>
      </c>
      <c r="L212" s="238">
        <v>3.0161870503597124</v>
      </c>
      <c r="M212" s="238">
        <v>9503</v>
      </c>
      <c r="N212" s="238">
        <v>1</v>
      </c>
      <c r="O212" s="238">
        <v>9503</v>
      </c>
      <c r="P212" s="681">
        <v>1.0053956834532374</v>
      </c>
      <c r="Q212" s="712">
        <v>9503</v>
      </c>
    </row>
    <row r="213" spans="1:17" ht="14.4" customHeight="1" x14ac:dyDescent="0.3">
      <c r="A213" s="679" t="s">
        <v>507</v>
      </c>
      <c r="B213" s="670" t="s">
        <v>2310</v>
      </c>
      <c r="C213" s="670" t="s">
        <v>2234</v>
      </c>
      <c r="D213" s="670" t="s">
        <v>2637</v>
      </c>
      <c r="E213" s="670" t="s">
        <v>2638</v>
      </c>
      <c r="F213" s="238">
        <v>13</v>
      </c>
      <c r="G213" s="238">
        <v>56420</v>
      </c>
      <c r="H213" s="238">
        <v>1</v>
      </c>
      <c r="I213" s="238">
        <v>4340</v>
      </c>
      <c r="J213" s="238">
        <v>11</v>
      </c>
      <c r="K213" s="238">
        <v>48000</v>
      </c>
      <c r="L213" s="238">
        <v>0.8507621410847217</v>
      </c>
      <c r="M213" s="238">
        <v>4363.636363636364</v>
      </c>
      <c r="N213" s="238">
        <v>8</v>
      </c>
      <c r="O213" s="238">
        <v>34928</v>
      </c>
      <c r="P213" s="681">
        <v>0.61907125132931584</v>
      </c>
      <c r="Q213" s="712">
        <v>4366</v>
      </c>
    </row>
    <row r="214" spans="1:17" ht="14.4" customHeight="1" x14ac:dyDescent="0.3">
      <c r="A214" s="679" t="s">
        <v>507</v>
      </c>
      <c r="B214" s="670" t="s">
        <v>2310</v>
      </c>
      <c r="C214" s="670" t="s">
        <v>2234</v>
      </c>
      <c r="D214" s="670" t="s">
        <v>2639</v>
      </c>
      <c r="E214" s="670" t="s">
        <v>2640</v>
      </c>
      <c r="F214" s="238">
        <v>6</v>
      </c>
      <c r="G214" s="238">
        <v>21270</v>
      </c>
      <c r="H214" s="238">
        <v>1</v>
      </c>
      <c r="I214" s="238">
        <v>3545</v>
      </c>
      <c r="J214" s="238">
        <v>3</v>
      </c>
      <c r="K214" s="238">
        <v>10713</v>
      </c>
      <c r="L214" s="238">
        <v>0.50366713681241182</v>
      </c>
      <c r="M214" s="238">
        <v>3571</v>
      </c>
      <c r="N214" s="238">
        <v>3</v>
      </c>
      <c r="O214" s="238">
        <v>10713</v>
      </c>
      <c r="P214" s="681">
        <v>0.50366713681241182</v>
      </c>
      <c r="Q214" s="712">
        <v>3571</v>
      </c>
    </row>
    <row r="215" spans="1:17" ht="14.4" customHeight="1" x14ac:dyDescent="0.3">
      <c r="A215" s="679" t="s">
        <v>507</v>
      </c>
      <c r="B215" s="670" t="s">
        <v>2310</v>
      </c>
      <c r="C215" s="670" t="s">
        <v>2234</v>
      </c>
      <c r="D215" s="670" t="s">
        <v>2641</v>
      </c>
      <c r="E215" s="670" t="s">
        <v>2642</v>
      </c>
      <c r="F215" s="238">
        <v>1</v>
      </c>
      <c r="G215" s="238">
        <v>2207</v>
      </c>
      <c r="H215" s="238">
        <v>1</v>
      </c>
      <c r="I215" s="238">
        <v>2207</v>
      </c>
      <c r="J215" s="238">
        <v>1</v>
      </c>
      <c r="K215" s="238">
        <v>2223</v>
      </c>
      <c r="L215" s="238">
        <v>1.0072496601721794</v>
      </c>
      <c r="M215" s="238">
        <v>2223</v>
      </c>
      <c r="N215" s="238"/>
      <c r="O215" s="238"/>
      <c r="P215" s="681"/>
      <c r="Q215" s="712"/>
    </row>
    <row r="216" spans="1:17" ht="14.4" customHeight="1" x14ac:dyDescent="0.3">
      <c r="A216" s="679" t="s">
        <v>507</v>
      </c>
      <c r="B216" s="670" t="s">
        <v>2310</v>
      </c>
      <c r="C216" s="670" t="s">
        <v>2234</v>
      </c>
      <c r="D216" s="670" t="s">
        <v>2643</v>
      </c>
      <c r="E216" s="670" t="s">
        <v>2644</v>
      </c>
      <c r="F216" s="238">
        <v>2</v>
      </c>
      <c r="G216" s="238">
        <v>3038</v>
      </c>
      <c r="H216" s="238">
        <v>1</v>
      </c>
      <c r="I216" s="238">
        <v>1519</v>
      </c>
      <c r="J216" s="238"/>
      <c r="K216" s="238"/>
      <c r="L216" s="238"/>
      <c r="M216" s="238"/>
      <c r="N216" s="238"/>
      <c r="O216" s="238"/>
      <c r="P216" s="681"/>
      <c r="Q216" s="712"/>
    </row>
    <row r="217" spans="1:17" ht="14.4" customHeight="1" x14ac:dyDescent="0.3">
      <c r="A217" s="679" t="s">
        <v>507</v>
      </c>
      <c r="B217" s="670" t="s">
        <v>2310</v>
      </c>
      <c r="C217" s="670" t="s">
        <v>2234</v>
      </c>
      <c r="D217" s="670" t="s">
        <v>2645</v>
      </c>
      <c r="E217" s="670" t="s">
        <v>2646</v>
      </c>
      <c r="F217" s="238">
        <v>1</v>
      </c>
      <c r="G217" s="238">
        <v>9790</v>
      </c>
      <c r="H217" s="238">
        <v>1</v>
      </c>
      <c r="I217" s="238">
        <v>9790</v>
      </c>
      <c r="J217" s="238">
        <v>2</v>
      </c>
      <c r="K217" s="238">
        <v>19660</v>
      </c>
      <c r="L217" s="238">
        <v>2.0081716036772215</v>
      </c>
      <c r="M217" s="238">
        <v>9830</v>
      </c>
      <c r="N217" s="238"/>
      <c r="O217" s="238"/>
      <c r="P217" s="681"/>
      <c r="Q217" s="712"/>
    </row>
    <row r="218" spans="1:17" ht="14.4" customHeight="1" x14ac:dyDescent="0.3">
      <c r="A218" s="679" t="s">
        <v>507</v>
      </c>
      <c r="B218" s="670" t="s">
        <v>2310</v>
      </c>
      <c r="C218" s="670" t="s">
        <v>2234</v>
      </c>
      <c r="D218" s="670" t="s">
        <v>2647</v>
      </c>
      <c r="E218" s="670" t="s">
        <v>2648</v>
      </c>
      <c r="F218" s="238">
        <v>1</v>
      </c>
      <c r="G218" s="238">
        <v>1699</v>
      </c>
      <c r="H218" s="238">
        <v>1</v>
      </c>
      <c r="I218" s="238">
        <v>1699</v>
      </c>
      <c r="J218" s="238"/>
      <c r="K218" s="238"/>
      <c r="L218" s="238"/>
      <c r="M218" s="238"/>
      <c r="N218" s="238"/>
      <c r="O218" s="238"/>
      <c r="P218" s="681"/>
      <c r="Q218" s="712"/>
    </row>
    <row r="219" spans="1:17" ht="14.4" customHeight="1" x14ac:dyDescent="0.3">
      <c r="A219" s="679" t="s">
        <v>507</v>
      </c>
      <c r="B219" s="670" t="s">
        <v>2310</v>
      </c>
      <c r="C219" s="670" t="s">
        <v>2234</v>
      </c>
      <c r="D219" s="670" t="s">
        <v>2649</v>
      </c>
      <c r="E219" s="670" t="s">
        <v>2650</v>
      </c>
      <c r="F219" s="238">
        <v>2</v>
      </c>
      <c r="G219" s="238">
        <v>3826</v>
      </c>
      <c r="H219" s="238">
        <v>1</v>
      </c>
      <c r="I219" s="238">
        <v>1913</v>
      </c>
      <c r="J219" s="238">
        <v>2</v>
      </c>
      <c r="K219" s="238">
        <v>3840</v>
      </c>
      <c r="L219" s="238">
        <v>1.0036591740721379</v>
      </c>
      <c r="M219" s="238">
        <v>1920</v>
      </c>
      <c r="N219" s="238"/>
      <c r="O219" s="238"/>
      <c r="P219" s="681"/>
      <c r="Q219" s="712"/>
    </row>
    <row r="220" spans="1:17" ht="14.4" customHeight="1" x14ac:dyDescent="0.3">
      <c r="A220" s="679" t="s">
        <v>507</v>
      </c>
      <c r="B220" s="670" t="s">
        <v>2310</v>
      </c>
      <c r="C220" s="670" t="s">
        <v>2234</v>
      </c>
      <c r="D220" s="670" t="s">
        <v>2651</v>
      </c>
      <c r="E220" s="670" t="s">
        <v>2652</v>
      </c>
      <c r="F220" s="238"/>
      <c r="G220" s="238"/>
      <c r="H220" s="238"/>
      <c r="I220" s="238"/>
      <c r="J220" s="238">
        <v>1</v>
      </c>
      <c r="K220" s="238">
        <v>4421</v>
      </c>
      <c r="L220" s="238"/>
      <c r="M220" s="238">
        <v>4421</v>
      </c>
      <c r="N220" s="238">
        <v>2</v>
      </c>
      <c r="O220" s="238">
        <v>8842</v>
      </c>
      <c r="P220" s="681"/>
      <c r="Q220" s="712">
        <v>4421</v>
      </c>
    </row>
    <row r="221" spans="1:17" ht="14.4" customHeight="1" x14ac:dyDescent="0.3">
      <c r="A221" s="679" t="s">
        <v>507</v>
      </c>
      <c r="B221" s="670" t="s">
        <v>2310</v>
      </c>
      <c r="C221" s="670" t="s">
        <v>2234</v>
      </c>
      <c r="D221" s="670" t="s">
        <v>2653</v>
      </c>
      <c r="E221" s="670" t="s">
        <v>2654</v>
      </c>
      <c r="F221" s="238"/>
      <c r="G221" s="238"/>
      <c r="H221" s="238"/>
      <c r="I221" s="238"/>
      <c r="J221" s="238"/>
      <c r="K221" s="238"/>
      <c r="L221" s="238"/>
      <c r="M221" s="238"/>
      <c r="N221" s="238">
        <v>1</v>
      </c>
      <c r="O221" s="238">
        <v>12997</v>
      </c>
      <c r="P221" s="681"/>
      <c r="Q221" s="712">
        <v>12997</v>
      </c>
    </row>
    <row r="222" spans="1:17" ht="14.4" customHeight="1" x14ac:dyDescent="0.3">
      <c r="A222" s="679" t="s">
        <v>507</v>
      </c>
      <c r="B222" s="670" t="s">
        <v>2310</v>
      </c>
      <c r="C222" s="670" t="s">
        <v>2234</v>
      </c>
      <c r="D222" s="670" t="s">
        <v>2655</v>
      </c>
      <c r="E222" s="670" t="s">
        <v>2656</v>
      </c>
      <c r="F222" s="238">
        <v>4</v>
      </c>
      <c r="G222" s="238">
        <v>26644</v>
      </c>
      <c r="H222" s="238">
        <v>1</v>
      </c>
      <c r="I222" s="238">
        <v>6661</v>
      </c>
      <c r="J222" s="238"/>
      <c r="K222" s="238"/>
      <c r="L222" s="238"/>
      <c r="M222" s="238"/>
      <c r="N222" s="238">
        <v>1</v>
      </c>
      <c r="O222" s="238">
        <v>6700</v>
      </c>
      <c r="P222" s="681">
        <v>0.25146374418255518</v>
      </c>
      <c r="Q222" s="712">
        <v>6700</v>
      </c>
    </row>
    <row r="223" spans="1:17" ht="14.4" customHeight="1" x14ac:dyDescent="0.3">
      <c r="A223" s="679" t="s">
        <v>507</v>
      </c>
      <c r="B223" s="670" t="s">
        <v>2310</v>
      </c>
      <c r="C223" s="670" t="s">
        <v>2234</v>
      </c>
      <c r="D223" s="670" t="s">
        <v>2657</v>
      </c>
      <c r="E223" s="670" t="s">
        <v>2658</v>
      </c>
      <c r="F223" s="238">
        <v>1</v>
      </c>
      <c r="G223" s="238">
        <v>1722</v>
      </c>
      <c r="H223" s="238">
        <v>1</v>
      </c>
      <c r="I223" s="238">
        <v>1722</v>
      </c>
      <c r="J223" s="238"/>
      <c r="K223" s="238"/>
      <c r="L223" s="238"/>
      <c r="M223" s="238"/>
      <c r="N223" s="238"/>
      <c r="O223" s="238"/>
      <c r="P223" s="681"/>
      <c r="Q223" s="712"/>
    </row>
    <row r="224" spans="1:17" ht="14.4" customHeight="1" x14ac:dyDescent="0.3">
      <c r="A224" s="679" t="s">
        <v>507</v>
      </c>
      <c r="B224" s="670" t="s">
        <v>2310</v>
      </c>
      <c r="C224" s="670" t="s">
        <v>2234</v>
      </c>
      <c r="D224" s="670" t="s">
        <v>2659</v>
      </c>
      <c r="E224" s="670" t="s">
        <v>2660</v>
      </c>
      <c r="F224" s="238">
        <v>1</v>
      </c>
      <c r="G224" s="238">
        <v>8223</v>
      </c>
      <c r="H224" s="238">
        <v>1</v>
      </c>
      <c r="I224" s="238">
        <v>8223</v>
      </c>
      <c r="J224" s="238"/>
      <c r="K224" s="238"/>
      <c r="L224" s="238"/>
      <c r="M224" s="238"/>
      <c r="N224" s="238"/>
      <c r="O224" s="238"/>
      <c r="P224" s="681"/>
      <c r="Q224" s="712"/>
    </row>
    <row r="225" spans="1:17" ht="14.4" customHeight="1" x14ac:dyDescent="0.3">
      <c r="A225" s="679" t="s">
        <v>507</v>
      </c>
      <c r="B225" s="670" t="s">
        <v>2310</v>
      </c>
      <c r="C225" s="670" t="s">
        <v>2234</v>
      </c>
      <c r="D225" s="670" t="s">
        <v>2661</v>
      </c>
      <c r="E225" s="670" t="s">
        <v>2662</v>
      </c>
      <c r="F225" s="238">
        <v>1</v>
      </c>
      <c r="G225" s="238">
        <v>5359</v>
      </c>
      <c r="H225" s="238">
        <v>1</v>
      </c>
      <c r="I225" s="238">
        <v>5359</v>
      </c>
      <c r="J225" s="238"/>
      <c r="K225" s="238"/>
      <c r="L225" s="238"/>
      <c r="M225" s="238"/>
      <c r="N225" s="238">
        <v>1</v>
      </c>
      <c r="O225" s="238">
        <v>5393</v>
      </c>
      <c r="P225" s="681">
        <v>1.0063444672513528</v>
      </c>
      <c r="Q225" s="712">
        <v>5393</v>
      </c>
    </row>
    <row r="226" spans="1:17" ht="14.4" customHeight="1" x14ac:dyDescent="0.3">
      <c r="A226" s="679" t="s">
        <v>507</v>
      </c>
      <c r="B226" s="670" t="s">
        <v>2310</v>
      </c>
      <c r="C226" s="670" t="s">
        <v>2234</v>
      </c>
      <c r="D226" s="670" t="s">
        <v>2663</v>
      </c>
      <c r="E226" s="670" t="s">
        <v>2664</v>
      </c>
      <c r="F226" s="238"/>
      <c r="G226" s="238"/>
      <c r="H226" s="238"/>
      <c r="I226" s="238"/>
      <c r="J226" s="238"/>
      <c r="K226" s="238"/>
      <c r="L226" s="238"/>
      <c r="M226" s="238"/>
      <c r="N226" s="238">
        <v>1</v>
      </c>
      <c r="O226" s="238">
        <v>2235</v>
      </c>
      <c r="P226" s="681"/>
      <c r="Q226" s="712">
        <v>2235</v>
      </c>
    </row>
    <row r="227" spans="1:17" ht="14.4" customHeight="1" x14ac:dyDescent="0.3">
      <c r="A227" s="679" t="s">
        <v>507</v>
      </c>
      <c r="B227" s="670" t="s">
        <v>2665</v>
      </c>
      <c r="C227" s="670" t="s">
        <v>2231</v>
      </c>
      <c r="D227" s="670" t="s">
        <v>2666</v>
      </c>
      <c r="E227" s="670" t="s">
        <v>1527</v>
      </c>
      <c r="F227" s="238"/>
      <c r="G227" s="238"/>
      <c r="H227" s="238"/>
      <c r="I227" s="238"/>
      <c r="J227" s="238"/>
      <c r="K227" s="238"/>
      <c r="L227" s="238"/>
      <c r="M227" s="238"/>
      <c r="N227" s="238">
        <v>2</v>
      </c>
      <c r="O227" s="238">
        <v>2128.64</v>
      </c>
      <c r="P227" s="681"/>
      <c r="Q227" s="712">
        <v>1064.32</v>
      </c>
    </row>
    <row r="228" spans="1:17" ht="14.4" customHeight="1" x14ac:dyDescent="0.3">
      <c r="A228" s="679" t="s">
        <v>507</v>
      </c>
      <c r="B228" s="670" t="s">
        <v>2665</v>
      </c>
      <c r="C228" s="670" t="s">
        <v>2231</v>
      </c>
      <c r="D228" s="670" t="s">
        <v>2312</v>
      </c>
      <c r="E228" s="670" t="s">
        <v>1039</v>
      </c>
      <c r="F228" s="238"/>
      <c r="G228" s="238"/>
      <c r="H228" s="238"/>
      <c r="I228" s="238"/>
      <c r="J228" s="238">
        <v>86</v>
      </c>
      <c r="K228" s="238">
        <v>11862.84</v>
      </c>
      <c r="L228" s="238"/>
      <c r="M228" s="238">
        <v>137.94</v>
      </c>
      <c r="N228" s="238">
        <v>13</v>
      </c>
      <c r="O228" s="238">
        <v>1533.48</v>
      </c>
      <c r="P228" s="681"/>
      <c r="Q228" s="712">
        <v>117.96000000000001</v>
      </c>
    </row>
    <row r="229" spans="1:17" ht="14.4" customHeight="1" x14ac:dyDescent="0.3">
      <c r="A229" s="679" t="s">
        <v>507</v>
      </c>
      <c r="B229" s="670" t="s">
        <v>2665</v>
      </c>
      <c r="C229" s="670" t="s">
        <v>2231</v>
      </c>
      <c r="D229" s="670" t="s">
        <v>2313</v>
      </c>
      <c r="E229" s="670" t="s">
        <v>1039</v>
      </c>
      <c r="F229" s="238">
        <v>26</v>
      </c>
      <c r="G229" s="238">
        <v>5438.42</v>
      </c>
      <c r="H229" s="238">
        <v>1</v>
      </c>
      <c r="I229" s="238">
        <v>209.17000000000002</v>
      </c>
      <c r="J229" s="238">
        <v>1</v>
      </c>
      <c r="K229" s="238">
        <v>224.91</v>
      </c>
      <c r="L229" s="238">
        <v>4.1355761415999497E-2</v>
      </c>
      <c r="M229" s="238">
        <v>224.91</v>
      </c>
      <c r="N229" s="238"/>
      <c r="O229" s="238"/>
      <c r="P229" s="681"/>
      <c r="Q229" s="712"/>
    </row>
    <row r="230" spans="1:17" ht="14.4" customHeight="1" x14ac:dyDescent="0.3">
      <c r="A230" s="679" t="s">
        <v>507</v>
      </c>
      <c r="B230" s="670" t="s">
        <v>2665</v>
      </c>
      <c r="C230" s="670" t="s">
        <v>2231</v>
      </c>
      <c r="D230" s="670" t="s">
        <v>2667</v>
      </c>
      <c r="E230" s="670" t="s">
        <v>2668</v>
      </c>
      <c r="F230" s="238">
        <v>14</v>
      </c>
      <c r="G230" s="238">
        <v>4055.52</v>
      </c>
      <c r="H230" s="238">
        <v>1</v>
      </c>
      <c r="I230" s="238">
        <v>289.68</v>
      </c>
      <c r="J230" s="238"/>
      <c r="K230" s="238"/>
      <c r="L230" s="238"/>
      <c r="M230" s="238"/>
      <c r="N230" s="238"/>
      <c r="O230" s="238"/>
      <c r="P230" s="681"/>
      <c r="Q230" s="712"/>
    </row>
    <row r="231" spans="1:17" ht="14.4" customHeight="1" x14ac:dyDescent="0.3">
      <c r="A231" s="679" t="s">
        <v>507</v>
      </c>
      <c r="B231" s="670" t="s">
        <v>2665</v>
      </c>
      <c r="C231" s="670" t="s">
        <v>2231</v>
      </c>
      <c r="D231" s="670" t="s">
        <v>2314</v>
      </c>
      <c r="E231" s="670" t="s">
        <v>2227</v>
      </c>
      <c r="F231" s="238">
        <v>159</v>
      </c>
      <c r="G231" s="238">
        <v>10585.69</v>
      </c>
      <c r="H231" s="238">
        <v>1</v>
      </c>
      <c r="I231" s="238">
        <v>66.576666666666668</v>
      </c>
      <c r="J231" s="238"/>
      <c r="K231" s="238"/>
      <c r="L231" s="238"/>
      <c r="M231" s="238"/>
      <c r="N231" s="238"/>
      <c r="O231" s="238"/>
      <c r="P231" s="681"/>
      <c r="Q231" s="712"/>
    </row>
    <row r="232" spans="1:17" ht="14.4" customHeight="1" x14ac:dyDescent="0.3">
      <c r="A232" s="679" t="s">
        <v>507</v>
      </c>
      <c r="B232" s="670" t="s">
        <v>2665</v>
      </c>
      <c r="C232" s="670" t="s">
        <v>2231</v>
      </c>
      <c r="D232" s="670" t="s">
        <v>2315</v>
      </c>
      <c r="E232" s="670" t="s">
        <v>820</v>
      </c>
      <c r="F232" s="238">
        <v>99</v>
      </c>
      <c r="G232" s="238">
        <v>8265.86</v>
      </c>
      <c r="H232" s="238">
        <v>1</v>
      </c>
      <c r="I232" s="238">
        <v>83.493535353535364</v>
      </c>
      <c r="J232" s="238">
        <v>71</v>
      </c>
      <c r="K232" s="238">
        <v>4737.99</v>
      </c>
      <c r="L232" s="238">
        <v>0.57319988482747097</v>
      </c>
      <c r="M232" s="238">
        <v>66.732253521126751</v>
      </c>
      <c r="N232" s="238">
        <v>34</v>
      </c>
      <c r="O232" s="238">
        <v>2075.6999999999998</v>
      </c>
      <c r="P232" s="681">
        <v>0.25111724611837116</v>
      </c>
      <c r="Q232" s="712">
        <v>61.05</v>
      </c>
    </row>
    <row r="233" spans="1:17" ht="14.4" customHeight="1" x14ac:dyDescent="0.3">
      <c r="A233" s="679" t="s">
        <v>507</v>
      </c>
      <c r="B233" s="670" t="s">
        <v>2665</v>
      </c>
      <c r="C233" s="670" t="s">
        <v>2231</v>
      </c>
      <c r="D233" s="670" t="s">
        <v>2316</v>
      </c>
      <c r="E233" s="670" t="s">
        <v>2317</v>
      </c>
      <c r="F233" s="238"/>
      <c r="G233" s="238"/>
      <c r="H233" s="238"/>
      <c r="I233" s="238"/>
      <c r="J233" s="238">
        <v>4.1500000000000004</v>
      </c>
      <c r="K233" s="238">
        <v>3334.8</v>
      </c>
      <c r="L233" s="238"/>
      <c r="M233" s="238">
        <v>803.56626506024099</v>
      </c>
      <c r="N233" s="238"/>
      <c r="O233" s="238"/>
      <c r="P233" s="681"/>
      <c r="Q233" s="712"/>
    </row>
    <row r="234" spans="1:17" ht="14.4" customHeight="1" x14ac:dyDescent="0.3">
      <c r="A234" s="679" t="s">
        <v>507</v>
      </c>
      <c r="B234" s="670" t="s">
        <v>2665</v>
      </c>
      <c r="C234" s="670" t="s">
        <v>2231</v>
      </c>
      <c r="D234" s="670" t="s">
        <v>2318</v>
      </c>
      <c r="E234" s="670" t="s">
        <v>952</v>
      </c>
      <c r="F234" s="238">
        <v>20.3</v>
      </c>
      <c r="G234" s="238">
        <v>7333.96</v>
      </c>
      <c r="H234" s="238">
        <v>1</v>
      </c>
      <c r="I234" s="238">
        <v>361.27881773399014</v>
      </c>
      <c r="J234" s="238">
        <v>152.19999999999999</v>
      </c>
      <c r="K234" s="238">
        <v>36111.790000000008</v>
      </c>
      <c r="L234" s="238">
        <v>4.9239142291476918</v>
      </c>
      <c r="M234" s="238">
        <v>237.26537450722739</v>
      </c>
      <c r="N234" s="238">
        <v>129.29999999999998</v>
      </c>
      <c r="O234" s="238">
        <v>21031.710000000003</v>
      </c>
      <c r="P234" s="681">
        <v>2.8677153952298626</v>
      </c>
      <c r="Q234" s="712">
        <v>162.65823665893276</v>
      </c>
    </row>
    <row r="235" spans="1:17" ht="14.4" customHeight="1" x14ac:dyDescent="0.3">
      <c r="A235" s="679" t="s">
        <v>507</v>
      </c>
      <c r="B235" s="670" t="s">
        <v>2665</v>
      </c>
      <c r="C235" s="670" t="s">
        <v>2231</v>
      </c>
      <c r="D235" s="670" t="s">
        <v>2319</v>
      </c>
      <c r="E235" s="670" t="s">
        <v>2320</v>
      </c>
      <c r="F235" s="238">
        <v>2</v>
      </c>
      <c r="G235" s="238">
        <v>172.58</v>
      </c>
      <c r="H235" s="238">
        <v>1</v>
      </c>
      <c r="I235" s="238">
        <v>86.29</v>
      </c>
      <c r="J235" s="238"/>
      <c r="K235" s="238"/>
      <c r="L235" s="238"/>
      <c r="M235" s="238"/>
      <c r="N235" s="238"/>
      <c r="O235" s="238"/>
      <c r="P235" s="681"/>
      <c r="Q235" s="712"/>
    </row>
    <row r="236" spans="1:17" ht="14.4" customHeight="1" x14ac:dyDescent="0.3">
      <c r="A236" s="679" t="s">
        <v>507</v>
      </c>
      <c r="B236" s="670" t="s">
        <v>2665</v>
      </c>
      <c r="C236" s="670" t="s">
        <v>2231</v>
      </c>
      <c r="D236" s="670" t="s">
        <v>2669</v>
      </c>
      <c r="E236" s="670" t="s">
        <v>2227</v>
      </c>
      <c r="F236" s="238"/>
      <c r="G236" s="238"/>
      <c r="H236" s="238"/>
      <c r="I236" s="238"/>
      <c r="J236" s="238">
        <v>47</v>
      </c>
      <c r="K236" s="238">
        <v>12778.83</v>
      </c>
      <c r="L236" s="238"/>
      <c r="M236" s="238">
        <v>271.89</v>
      </c>
      <c r="N236" s="238"/>
      <c r="O236" s="238"/>
      <c r="P236" s="681"/>
      <c r="Q236" s="712"/>
    </row>
    <row r="237" spans="1:17" ht="14.4" customHeight="1" x14ac:dyDescent="0.3">
      <c r="A237" s="679" t="s">
        <v>507</v>
      </c>
      <c r="B237" s="670" t="s">
        <v>2665</v>
      </c>
      <c r="C237" s="670" t="s">
        <v>2231</v>
      </c>
      <c r="D237" s="670" t="s">
        <v>2323</v>
      </c>
      <c r="E237" s="670" t="s">
        <v>1530</v>
      </c>
      <c r="F237" s="238">
        <v>40</v>
      </c>
      <c r="G237" s="238">
        <v>3200</v>
      </c>
      <c r="H237" s="238">
        <v>1</v>
      </c>
      <c r="I237" s="238">
        <v>80</v>
      </c>
      <c r="J237" s="238">
        <v>90</v>
      </c>
      <c r="K237" s="238">
        <v>4275</v>
      </c>
      <c r="L237" s="238">
        <v>1.3359375</v>
      </c>
      <c r="M237" s="238">
        <v>47.5</v>
      </c>
      <c r="N237" s="238">
        <v>57</v>
      </c>
      <c r="O237" s="238">
        <v>2707.5</v>
      </c>
      <c r="P237" s="681">
        <v>0.84609374999999998</v>
      </c>
      <c r="Q237" s="712">
        <v>47.5</v>
      </c>
    </row>
    <row r="238" spans="1:17" ht="14.4" customHeight="1" x14ac:dyDescent="0.3">
      <c r="A238" s="679" t="s">
        <v>507</v>
      </c>
      <c r="B238" s="670" t="s">
        <v>2665</v>
      </c>
      <c r="C238" s="670" t="s">
        <v>2231</v>
      </c>
      <c r="D238" s="670" t="s">
        <v>2324</v>
      </c>
      <c r="E238" s="670" t="s">
        <v>1035</v>
      </c>
      <c r="F238" s="238">
        <v>22</v>
      </c>
      <c r="G238" s="238">
        <v>2291.1999999999998</v>
      </c>
      <c r="H238" s="238">
        <v>1</v>
      </c>
      <c r="I238" s="238">
        <v>104.14545454545454</v>
      </c>
      <c r="J238" s="238"/>
      <c r="K238" s="238"/>
      <c r="L238" s="238"/>
      <c r="M238" s="238"/>
      <c r="N238" s="238">
        <v>32</v>
      </c>
      <c r="O238" s="238">
        <v>2583.36</v>
      </c>
      <c r="P238" s="681">
        <v>1.127513966480447</v>
      </c>
      <c r="Q238" s="712">
        <v>80.73</v>
      </c>
    </row>
    <row r="239" spans="1:17" ht="14.4" customHeight="1" x14ac:dyDescent="0.3">
      <c r="A239" s="679" t="s">
        <v>507</v>
      </c>
      <c r="B239" s="670" t="s">
        <v>2665</v>
      </c>
      <c r="C239" s="670" t="s">
        <v>2231</v>
      </c>
      <c r="D239" s="670" t="s">
        <v>2325</v>
      </c>
      <c r="E239" s="670" t="s">
        <v>1501</v>
      </c>
      <c r="F239" s="238">
        <v>19</v>
      </c>
      <c r="G239" s="238">
        <v>11099.869999999999</v>
      </c>
      <c r="H239" s="238">
        <v>1</v>
      </c>
      <c r="I239" s="238">
        <v>584.20368421052626</v>
      </c>
      <c r="J239" s="238">
        <v>37.199999999999996</v>
      </c>
      <c r="K239" s="238">
        <v>14116.789999999999</v>
      </c>
      <c r="L239" s="238">
        <v>1.2717977778118121</v>
      </c>
      <c r="M239" s="238">
        <v>379.48360215053765</v>
      </c>
      <c r="N239" s="238">
        <v>33.4</v>
      </c>
      <c r="O239" s="238">
        <v>12683.650000000001</v>
      </c>
      <c r="P239" s="681">
        <v>1.1426845539632449</v>
      </c>
      <c r="Q239" s="712">
        <v>379.75000000000006</v>
      </c>
    </row>
    <row r="240" spans="1:17" ht="14.4" customHeight="1" x14ac:dyDescent="0.3">
      <c r="A240" s="679" t="s">
        <v>507</v>
      </c>
      <c r="B240" s="670" t="s">
        <v>2665</v>
      </c>
      <c r="C240" s="670" t="s">
        <v>2231</v>
      </c>
      <c r="D240" s="670" t="s">
        <v>2670</v>
      </c>
      <c r="E240" s="670" t="s">
        <v>2671</v>
      </c>
      <c r="F240" s="238">
        <v>4</v>
      </c>
      <c r="G240" s="238">
        <v>242.04</v>
      </c>
      <c r="H240" s="238">
        <v>1</v>
      </c>
      <c r="I240" s="238">
        <v>60.51</v>
      </c>
      <c r="J240" s="238"/>
      <c r="K240" s="238"/>
      <c r="L240" s="238"/>
      <c r="M240" s="238"/>
      <c r="N240" s="238"/>
      <c r="O240" s="238"/>
      <c r="P240" s="681"/>
      <c r="Q240" s="712"/>
    </row>
    <row r="241" spans="1:17" ht="14.4" customHeight="1" x14ac:dyDescent="0.3">
      <c r="A241" s="679" t="s">
        <v>507</v>
      </c>
      <c r="B241" s="670" t="s">
        <v>2665</v>
      </c>
      <c r="C241" s="670" t="s">
        <v>2231</v>
      </c>
      <c r="D241" s="670" t="s">
        <v>2672</v>
      </c>
      <c r="E241" s="670" t="s">
        <v>2673</v>
      </c>
      <c r="F241" s="238">
        <v>6</v>
      </c>
      <c r="G241" s="238">
        <v>484.08</v>
      </c>
      <c r="H241" s="238">
        <v>1</v>
      </c>
      <c r="I241" s="238">
        <v>80.679999999999993</v>
      </c>
      <c r="J241" s="238"/>
      <c r="K241" s="238"/>
      <c r="L241" s="238"/>
      <c r="M241" s="238"/>
      <c r="N241" s="238">
        <v>16</v>
      </c>
      <c r="O241" s="238">
        <v>2199.36</v>
      </c>
      <c r="P241" s="681">
        <v>4.5433812592959848</v>
      </c>
      <c r="Q241" s="712">
        <v>137.46</v>
      </c>
    </row>
    <row r="242" spans="1:17" ht="14.4" customHeight="1" x14ac:dyDescent="0.3">
      <c r="A242" s="679" t="s">
        <v>507</v>
      </c>
      <c r="B242" s="670" t="s">
        <v>2665</v>
      </c>
      <c r="C242" s="670" t="s">
        <v>2231</v>
      </c>
      <c r="D242" s="670" t="s">
        <v>2326</v>
      </c>
      <c r="E242" s="670" t="s">
        <v>1482</v>
      </c>
      <c r="F242" s="238">
        <v>131</v>
      </c>
      <c r="G242" s="238">
        <v>10376.669999999998</v>
      </c>
      <c r="H242" s="238">
        <v>1</v>
      </c>
      <c r="I242" s="238">
        <v>79.211221374045792</v>
      </c>
      <c r="J242" s="238">
        <v>56</v>
      </c>
      <c r="K242" s="238">
        <v>2293.1999999999998</v>
      </c>
      <c r="L242" s="238">
        <v>0.22099575297277452</v>
      </c>
      <c r="M242" s="238">
        <v>40.949999999999996</v>
      </c>
      <c r="N242" s="238">
        <v>84</v>
      </c>
      <c r="O242" s="238">
        <v>4801.9500000000007</v>
      </c>
      <c r="P242" s="681">
        <v>0.46276406592866515</v>
      </c>
      <c r="Q242" s="712">
        <v>57.166071428571435</v>
      </c>
    </row>
    <row r="243" spans="1:17" ht="14.4" customHeight="1" x14ac:dyDescent="0.3">
      <c r="A243" s="679" t="s">
        <v>507</v>
      </c>
      <c r="B243" s="670" t="s">
        <v>2665</v>
      </c>
      <c r="C243" s="670" t="s">
        <v>2231</v>
      </c>
      <c r="D243" s="670" t="s">
        <v>2674</v>
      </c>
      <c r="E243" s="670" t="s">
        <v>1357</v>
      </c>
      <c r="F243" s="238"/>
      <c r="G243" s="238"/>
      <c r="H243" s="238"/>
      <c r="I243" s="238"/>
      <c r="J243" s="238"/>
      <c r="K243" s="238"/>
      <c r="L243" s="238"/>
      <c r="M243" s="238"/>
      <c r="N243" s="238">
        <v>7</v>
      </c>
      <c r="O243" s="238">
        <v>481.18</v>
      </c>
      <c r="P243" s="681"/>
      <c r="Q243" s="712">
        <v>68.739999999999995</v>
      </c>
    </row>
    <row r="244" spans="1:17" ht="14.4" customHeight="1" x14ac:dyDescent="0.3">
      <c r="A244" s="679" t="s">
        <v>507</v>
      </c>
      <c r="B244" s="670" t="s">
        <v>2665</v>
      </c>
      <c r="C244" s="670" t="s">
        <v>2231</v>
      </c>
      <c r="D244" s="670" t="s">
        <v>2675</v>
      </c>
      <c r="E244" s="670" t="s">
        <v>2676</v>
      </c>
      <c r="F244" s="238">
        <v>0.1</v>
      </c>
      <c r="G244" s="238">
        <v>618.22</v>
      </c>
      <c r="H244" s="238">
        <v>1</v>
      </c>
      <c r="I244" s="238">
        <v>6182.2</v>
      </c>
      <c r="J244" s="238">
        <v>7</v>
      </c>
      <c r="K244" s="238">
        <v>27481.34</v>
      </c>
      <c r="L244" s="238">
        <v>44.452363236388337</v>
      </c>
      <c r="M244" s="238">
        <v>3925.9057142857141</v>
      </c>
      <c r="N244" s="238">
        <v>0.5</v>
      </c>
      <c r="O244" s="238">
        <v>1962.95</v>
      </c>
      <c r="P244" s="681">
        <v>3.1751641810358771</v>
      </c>
      <c r="Q244" s="712">
        <v>3925.9</v>
      </c>
    </row>
    <row r="245" spans="1:17" ht="14.4" customHeight="1" x14ac:dyDescent="0.3">
      <c r="A245" s="679" t="s">
        <v>507</v>
      </c>
      <c r="B245" s="670" t="s">
        <v>2665</v>
      </c>
      <c r="C245" s="670" t="s">
        <v>2231</v>
      </c>
      <c r="D245" s="670" t="s">
        <v>2677</v>
      </c>
      <c r="E245" s="670" t="s">
        <v>2678</v>
      </c>
      <c r="F245" s="238"/>
      <c r="G245" s="238"/>
      <c r="H245" s="238"/>
      <c r="I245" s="238"/>
      <c r="J245" s="238">
        <v>2.9</v>
      </c>
      <c r="K245" s="238">
        <v>6388.99</v>
      </c>
      <c r="L245" s="238"/>
      <c r="M245" s="238">
        <v>2203.1</v>
      </c>
      <c r="N245" s="238"/>
      <c r="O245" s="238"/>
      <c r="P245" s="681"/>
      <c r="Q245" s="712"/>
    </row>
    <row r="246" spans="1:17" ht="14.4" customHeight="1" x14ac:dyDescent="0.3">
      <c r="A246" s="679" t="s">
        <v>507</v>
      </c>
      <c r="B246" s="670" t="s">
        <v>2665</v>
      </c>
      <c r="C246" s="670" t="s">
        <v>2231</v>
      </c>
      <c r="D246" s="670" t="s">
        <v>2327</v>
      </c>
      <c r="E246" s="670" t="s">
        <v>2328</v>
      </c>
      <c r="F246" s="238"/>
      <c r="G246" s="238"/>
      <c r="H246" s="238"/>
      <c r="I246" s="238"/>
      <c r="J246" s="238">
        <v>27</v>
      </c>
      <c r="K246" s="238">
        <v>3093.66</v>
      </c>
      <c r="L246" s="238"/>
      <c r="M246" s="238">
        <v>114.58</v>
      </c>
      <c r="N246" s="238"/>
      <c r="O246" s="238"/>
      <c r="P246" s="681"/>
      <c r="Q246" s="712"/>
    </row>
    <row r="247" spans="1:17" ht="14.4" customHeight="1" x14ac:dyDescent="0.3">
      <c r="A247" s="679" t="s">
        <v>507</v>
      </c>
      <c r="B247" s="670" t="s">
        <v>2665</v>
      </c>
      <c r="C247" s="670" t="s">
        <v>2231</v>
      </c>
      <c r="D247" s="670" t="s">
        <v>2329</v>
      </c>
      <c r="E247" s="670" t="s">
        <v>2330</v>
      </c>
      <c r="F247" s="238">
        <v>0.8</v>
      </c>
      <c r="G247" s="238">
        <v>71.180000000000007</v>
      </c>
      <c r="H247" s="238">
        <v>1</v>
      </c>
      <c r="I247" s="238">
        <v>88.975000000000009</v>
      </c>
      <c r="J247" s="238">
        <v>4.8</v>
      </c>
      <c r="K247" s="238">
        <v>465.44</v>
      </c>
      <c r="L247" s="238">
        <v>6.5389154256813704</v>
      </c>
      <c r="M247" s="238">
        <v>96.966666666666669</v>
      </c>
      <c r="N247" s="238">
        <v>6</v>
      </c>
      <c r="O247" s="238">
        <v>581.79999999999995</v>
      </c>
      <c r="P247" s="681">
        <v>8.1736442821017121</v>
      </c>
      <c r="Q247" s="712">
        <v>96.966666666666654</v>
      </c>
    </row>
    <row r="248" spans="1:17" ht="14.4" customHeight="1" x14ac:dyDescent="0.3">
      <c r="A248" s="679" t="s">
        <v>507</v>
      </c>
      <c r="B248" s="670" t="s">
        <v>2665</v>
      </c>
      <c r="C248" s="670" t="s">
        <v>2231</v>
      </c>
      <c r="D248" s="670" t="s">
        <v>2679</v>
      </c>
      <c r="E248" s="670" t="s">
        <v>2227</v>
      </c>
      <c r="F248" s="238"/>
      <c r="G248" s="238"/>
      <c r="H248" s="238"/>
      <c r="I248" s="238"/>
      <c r="J248" s="238">
        <v>10</v>
      </c>
      <c r="K248" s="238">
        <v>9024</v>
      </c>
      <c r="L248" s="238"/>
      <c r="M248" s="238">
        <v>902.4</v>
      </c>
      <c r="N248" s="238"/>
      <c r="O248" s="238"/>
      <c r="P248" s="681"/>
      <c r="Q248" s="712"/>
    </row>
    <row r="249" spans="1:17" ht="14.4" customHeight="1" x14ac:dyDescent="0.3">
      <c r="A249" s="679" t="s">
        <v>507</v>
      </c>
      <c r="B249" s="670" t="s">
        <v>2665</v>
      </c>
      <c r="C249" s="670" t="s">
        <v>2231</v>
      </c>
      <c r="D249" s="670" t="s">
        <v>2680</v>
      </c>
      <c r="E249" s="670" t="s">
        <v>2681</v>
      </c>
      <c r="F249" s="238"/>
      <c r="G249" s="238"/>
      <c r="H249" s="238"/>
      <c r="I249" s="238"/>
      <c r="J249" s="238">
        <v>4</v>
      </c>
      <c r="K249" s="238">
        <v>1097.08</v>
      </c>
      <c r="L249" s="238"/>
      <c r="M249" s="238">
        <v>274.27</v>
      </c>
      <c r="N249" s="238"/>
      <c r="O249" s="238"/>
      <c r="P249" s="681"/>
      <c r="Q249" s="712"/>
    </row>
    <row r="250" spans="1:17" ht="14.4" customHeight="1" x14ac:dyDescent="0.3">
      <c r="A250" s="679" t="s">
        <v>507</v>
      </c>
      <c r="B250" s="670" t="s">
        <v>2665</v>
      </c>
      <c r="C250" s="670" t="s">
        <v>2231</v>
      </c>
      <c r="D250" s="670" t="s">
        <v>2682</v>
      </c>
      <c r="E250" s="670" t="s">
        <v>2683</v>
      </c>
      <c r="F250" s="238"/>
      <c r="G250" s="238"/>
      <c r="H250" s="238"/>
      <c r="I250" s="238"/>
      <c r="J250" s="238">
        <v>3.9</v>
      </c>
      <c r="K250" s="238">
        <v>8418.6299999999992</v>
      </c>
      <c r="L250" s="238"/>
      <c r="M250" s="238">
        <v>2158.623076923077</v>
      </c>
      <c r="N250" s="238"/>
      <c r="O250" s="238"/>
      <c r="P250" s="681"/>
      <c r="Q250" s="712"/>
    </row>
    <row r="251" spans="1:17" ht="14.4" customHeight="1" x14ac:dyDescent="0.3">
      <c r="A251" s="679" t="s">
        <v>507</v>
      </c>
      <c r="B251" s="670" t="s">
        <v>2665</v>
      </c>
      <c r="C251" s="670" t="s">
        <v>2231</v>
      </c>
      <c r="D251" s="670" t="s">
        <v>2684</v>
      </c>
      <c r="E251" s="670" t="s">
        <v>2685</v>
      </c>
      <c r="F251" s="238"/>
      <c r="G251" s="238"/>
      <c r="H251" s="238"/>
      <c r="I251" s="238"/>
      <c r="J251" s="238">
        <v>0.3</v>
      </c>
      <c r="K251" s="238">
        <v>660.92</v>
      </c>
      <c r="L251" s="238"/>
      <c r="M251" s="238">
        <v>2203.0666666666666</v>
      </c>
      <c r="N251" s="238"/>
      <c r="O251" s="238"/>
      <c r="P251" s="681"/>
      <c r="Q251" s="712"/>
    </row>
    <row r="252" spans="1:17" ht="14.4" customHeight="1" x14ac:dyDescent="0.3">
      <c r="A252" s="679" t="s">
        <v>507</v>
      </c>
      <c r="B252" s="670" t="s">
        <v>2665</v>
      </c>
      <c r="C252" s="670" t="s">
        <v>2231</v>
      </c>
      <c r="D252" s="670" t="s">
        <v>2686</v>
      </c>
      <c r="E252" s="670" t="s">
        <v>812</v>
      </c>
      <c r="F252" s="238"/>
      <c r="G252" s="238"/>
      <c r="H252" s="238"/>
      <c r="I252" s="238"/>
      <c r="J252" s="238">
        <v>4</v>
      </c>
      <c r="K252" s="238">
        <v>4599.84</v>
      </c>
      <c r="L252" s="238"/>
      <c r="M252" s="238">
        <v>1149.96</v>
      </c>
      <c r="N252" s="238"/>
      <c r="O252" s="238"/>
      <c r="P252" s="681"/>
      <c r="Q252" s="712"/>
    </row>
    <row r="253" spans="1:17" ht="14.4" customHeight="1" x14ac:dyDescent="0.3">
      <c r="A253" s="679" t="s">
        <v>507</v>
      </c>
      <c r="B253" s="670" t="s">
        <v>2665</v>
      </c>
      <c r="C253" s="670" t="s">
        <v>2231</v>
      </c>
      <c r="D253" s="670" t="s">
        <v>2331</v>
      </c>
      <c r="E253" s="670" t="s">
        <v>2332</v>
      </c>
      <c r="F253" s="238"/>
      <c r="G253" s="238"/>
      <c r="H253" s="238"/>
      <c r="I253" s="238"/>
      <c r="J253" s="238">
        <v>4.37</v>
      </c>
      <c r="K253" s="238">
        <v>15839.970000000001</v>
      </c>
      <c r="L253" s="238"/>
      <c r="M253" s="238">
        <v>3624.7070938215106</v>
      </c>
      <c r="N253" s="238">
        <v>1.83</v>
      </c>
      <c r="O253" s="238">
        <v>6639.3099999999995</v>
      </c>
      <c r="P253" s="681"/>
      <c r="Q253" s="712">
        <v>3628.0382513661198</v>
      </c>
    </row>
    <row r="254" spans="1:17" ht="14.4" customHeight="1" x14ac:dyDescent="0.3">
      <c r="A254" s="679" t="s">
        <v>507</v>
      </c>
      <c r="B254" s="670" t="s">
        <v>2665</v>
      </c>
      <c r="C254" s="670" t="s">
        <v>2334</v>
      </c>
      <c r="D254" s="670" t="s">
        <v>2687</v>
      </c>
      <c r="E254" s="670" t="s">
        <v>2688</v>
      </c>
      <c r="F254" s="238">
        <v>1</v>
      </c>
      <c r="G254" s="238">
        <v>1172.68</v>
      </c>
      <c r="H254" s="238">
        <v>1</v>
      </c>
      <c r="I254" s="238">
        <v>1172.68</v>
      </c>
      <c r="J254" s="238"/>
      <c r="K254" s="238"/>
      <c r="L254" s="238"/>
      <c r="M254" s="238"/>
      <c r="N254" s="238"/>
      <c r="O254" s="238"/>
      <c r="P254" s="681"/>
      <c r="Q254" s="712"/>
    </row>
    <row r="255" spans="1:17" ht="14.4" customHeight="1" x14ac:dyDescent="0.3">
      <c r="A255" s="679" t="s">
        <v>507</v>
      </c>
      <c r="B255" s="670" t="s">
        <v>2665</v>
      </c>
      <c r="C255" s="670" t="s">
        <v>2334</v>
      </c>
      <c r="D255" s="670" t="s">
        <v>2335</v>
      </c>
      <c r="E255" s="670" t="s">
        <v>2336</v>
      </c>
      <c r="F255" s="238">
        <v>87</v>
      </c>
      <c r="G255" s="238">
        <v>155047.92000000001</v>
      </c>
      <c r="H255" s="238">
        <v>1</v>
      </c>
      <c r="I255" s="238">
        <v>1782.16</v>
      </c>
      <c r="J255" s="238">
        <v>28</v>
      </c>
      <c r="K255" s="238">
        <v>50854.399999999994</v>
      </c>
      <c r="L255" s="238">
        <v>0.32799150095015778</v>
      </c>
      <c r="M255" s="238">
        <v>1816.2285714285713</v>
      </c>
      <c r="N255" s="238">
        <v>35</v>
      </c>
      <c r="O255" s="238">
        <v>65295.3</v>
      </c>
      <c r="P255" s="681">
        <v>0.42112980296672148</v>
      </c>
      <c r="Q255" s="712">
        <v>1865.5800000000002</v>
      </c>
    </row>
    <row r="256" spans="1:17" ht="14.4" customHeight="1" x14ac:dyDescent="0.3">
      <c r="A256" s="679" t="s">
        <v>507</v>
      </c>
      <c r="B256" s="670" t="s">
        <v>2665</v>
      </c>
      <c r="C256" s="670" t="s">
        <v>2334</v>
      </c>
      <c r="D256" s="670" t="s">
        <v>2337</v>
      </c>
      <c r="E256" s="670" t="s">
        <v>2338</v>
      </c>
      <c r="F256" s="238">
        <v>1</v>
      </c>
      <c r="G256" s="238">
        <v>2579.8200000000002</v>
      </c>
      <c r="H256" s="238">
        <v>1</v>
      </c>
      <c r="I256" s="238">
        <v>2579.8200000000002</v>
      </c>
      <c r="J256" s="238"/>
      <c r="K256" s="238"/>
      <c r="L256" s="238"/>
      <c r="M256" s="238"/>
      <c r="N256" s="238">
        <v>6</v>
      </c>
      <c r="O256" s="238">
        <v>16372.259999999998</v>
      </c>
      <c r="P256" s="681">
        <v>6.3462799730213728</v>
      </c>
      <c r="Q256" s="712">
        <v>2728.7099999999996</v>
      </c>
    </row>
    <row r="257" spans="1:17" ht="14.4" customHeight="1" x14ac:dyDescent="0.3">
      <c r="A257" s="679" t="s">
        <v>507</v>
      </c>
      <c r="B257" s="670" t="s">
        <v>2665</v>
      </c>
      <c r="C257" s="670" t="s">
        <v>2334</v>
      </c>
      <c r="D257" s="670" t="s">
        <v>2689</v>
      </c>
      <c r="E257" s="670" t="s">
        <v>2690</v>
      </c>
      <c r="F257" s="238">
        <v>6</v>
      </c>
      <c r="G257" s="238">
        <v>10692.960000000001</v>
      </c>
      <c r="H257" s="238">
        <v>1</v>
      </c>
      <c r="I257" s="238">
        <v>1782.16</v>
      </c>
      <c r="J257" s="238"/>
      <c r="K257" s="238"/>
      <c r="L257" s="238"/>
      <c r="M257" s="238"/>
      <c r="N257" s="238"/>
      <c r="O257" s="238"/>
      <c r="P257" s="681"/>
      <c r="Q257" s="712"/>
    </row>
    <row r="258" spans="1:17" ht="14.4" customHeight="1" x14ac:dyDescent="0.3">
      <c r="A258" s="679" t="s">
        <v>507</v>
      </c>
      <c r="B258" s="670" t="s">
        <v>2665</v>
      </c>
      <c r="C258" s="670" t="s">
        <v>2334</v>
      </c>
      <c r="D258" s="670" t="s">
        <v>2691</v>
      </c>
      <c r="E258" s="670" t="s">
        <v>2692</v>
      </c>
      <c r="F258" s="238"/>
      <c r="G258" s="238"/>
      <c r="H258" s="238"/>
      <c r="I258" s="238"/>
      <c r="J258" s="238">
        <v>1</v>
      </c>
      <c r="K258" s="238">
        <v>7778.18</v>
      </c>
      <c r="L258" s="238"/>
      <c r="M258" s="238">
        <v>7778.18</v>
      </c>
      <c r="N258" s="238">
        <v>5</v>
      </c>
      <c r="O258" s="238">
        <v>40371.800000000003</v>
      </c>
      <c r="P258" s="681"/>
      <c r="Q258" s="712">
        <v>8074.3600000000006</v>
      </c>
    </row>
    <row r="259" spans="1:17" ht="14.4" customHeight="1" x14ac:dyDescent="0.3">
      <c r="A259" s="679" t="s">
        <v>507</v>
      </c>
      <c r="B259" s="670" t="s">
        <v>2665</v>
      </c>
      <c r="C259" s="670" t="s">
        <v>2334</v>
      </c>
      <c r="D259" s="670" t="s">
        <v>2693</v>
      </c>
      <c r="E259" s="670" t="s">
        <v>2694</v>
      </c>
      <c r="F259" s="238">
        <v>3</v>
      </c>
      <c r="G259" s="238">
        <v>27117.03</v>
      </c>
      <c r="H259" s="238">
        <v>1</v>
      </c>
      <c r="I259" s="238">
        <v>9039.01</v>
      </c>
      <c r="J259" s="238">
        <v>4</v>
      </c>
      <c r="K259" s="238">
        <v>37024.04</v>
      </c>
      <c r="L259" s="238">
        <v>1.3653427384931167</v>
      </c>
      <c r="M259" s="238">
        <v>9256.01</v>
      </c>
      <c r="N259" s="238">
        <v>2</v>
      </c>
      <c r="O259" s="238">
        <v>19372.2</v>
      </c>
      <c r="P259" s="681">
        <v>0.71439239474234462</v>
      </c>
      <c r="Q259" s="712">
        <v>9686.1</v>
      </c>
    </row>
    <row r="260" spans="1:17" ht="14.4" customHeight="1" x14ac:dyDescent="0.3">
      <c r="A260" s="679" t="s">
        <v>507</v>
      </c>
      <c r="B260" s="670" t="s">
        <v>2665</v>
      </c>
      <c r="C260" s="670" t="s">
        <v>2334</v>
      </c>
      <c r="D260" s="670" t="s">
        <v>2339</v>
      </c>
      <c r="E260" s="670" t="s">
        <v>2340</v>
      </c>
      <c r="F260" s="238">
        <v>54</v>
      </c>
      <c r="G260" s="238">
        <v>46424.88</v>
      </c>
      <c r="H260" s="238">
        <v>1</v>
      </c>
      <c r="I260" s="238">
        <v>859.71999999999991</v>
      </c>
      <c r="J260" s="238">
        <v>48</v>
      </c>
      <c r="K260" s="238">
        <v>42850.979999999996</v>
      </c>
      <c r="L260" s="238">
        <v>0.92301757161246289</v>
      </c>
      <c r="M260" s="238">
        <v>892.72874999999988</v>
      </c>
      <c r="N260" s="238">
        <v>19</v>
      </c>
      <c r="O260" s="238">
        <v>17585.830000000002</v>
      </c>
      <c r="P260" s="681">
        <v>0.37880184073712203</v>
      </c>
      <c r="Q260" s="712">
        <v>925.57</v>
      </c>
    </row>
    <row r="261" spans="1:17" ht="14.4" customHeight="1" x14ac:dyDescent="0.3">
      <c r="A261" s="679" t="s">
        <v>507</v>
      </c>
      <c r="B261" s="670" t="s">
        <v>2665</v>
      </c>
      <c r="C261" s="670" t="s">
        <v>2334</v>
      </c>
      <c r="D261" s="670" t="s">
        <v>2695</v>
      </c>
      <c r="E261" s="670" t="s">
        <v>2696</v>
      </c>
      <c r="F261" s="238"/>
      <c r="G261" s="238"/>
      <c r="H261" s="238"/>
      <c r="I261" s="238"/>
      <c r="J261" s="238"/>
      <c r="K261" s="238"/>
      <c r="L261" s="238"/>
      <c r="M261" s="238"/>
      <c r="N261" s="238">
        <v>8</v>
      </c>
      <c r="O261" s="238">
        <v>1909.44</v>
      </c>
      <c r="P261" s="681"/>
      <c r="Q261" s="712">
        <v>238.68</v>
      </c>
    </row>
    <row r="262" spans="1:17" ht="14.4" customHeight="1" x14ac:dyDescent="0.3">
      <c r="A262" s="679" t="s">
        <v>507</v>
      </c>
      <c r="B262" s="670" t="s">
        <v>2665</v>
      </c>
      <c r="C262" s="670" t="s">
        <v>2334</v>
      </c>
      <c r="D262" s="670" t="s">
        <v>2697</v>
      </c>
      <c r="E262" s="670" t="s">
        <v>2698</v>
      </c>
      <c r="F262" s="238">
        <v>1</v>
      </c>
      <c r="G262" s="238">
        <v>2579.8200000000002</v>
      </c>
      <c r="H262" s="238">
        <v>1</v>
      </c>
      <c r="I262" s="238">
        <v>2579.8200000000002</v>
      </c>
      <c r="J262" s="238"/>
      <c r="K262" s="238"/>
      <c r="L262" s="238"/>
      <c r="M262" s="238"/>
      <c r="N262" s="238"/>
      <c r="O262" s="238"/>
      <c r="P262" s="681"/>
      <c r="Q262" s="712"/>
    </row>
    <row r="263" spans="1:17" ht="14.4" customHeight="1" x14ac:dyDescent="0.3">
      <c r="A263" s="679" t="s">
        <v>507</v>
      </c>
      <c r="B263" s="670" t="s">
        <v>2665</v>
      </c>
      <c r="C263" s="670" t="s">
        <v>2341</v>
      </c>
      <c r="D263" s="670" t="s">
        <v>2342</v>
      </c>
      <c r="E263" s="670" t="s">
        <v>2343</v>
      </c>
      <c r="F263" s="238">
        <v>13</v>
      </c>
      <c r="G263" s="238">
        <v>8931</v>
      </c>
      <c r="H263" s="238">
        <v>1</v>
      </c>
      <c r="I263" s="238">
        <v>687</v>
      </c>
      <c r="J263" s="238">
        <v>5</v>
      </c>
      <c r="K263" s="238">
        <v>3435</v>
      </c>
      <c r="L263" s="238">
        <v>0.38461538461538464</v>
      </c>
      <c r="M263" s="238">
        <v>687</v>
      </c>
      <c r="N263" s="238">
        <v>14</v>
      </c>
      <c r="O263" s="238">
        <v>9618</v>
      </c>
      <c r="P263" s="681">
        <v>1.0769230769230769</v>
      </c>
      <c r="Q263" s="712">
        <v>687</v>
      </c>
    </row>
    <row r="264" spans="1:17" ht="14.4" customHeight="1" x14ac:dyDescent="0.3">
      <c r="A264" s="679" t="s">
        <v>507</v>
      </c>
      <c r="B264" s="670" t="s">
        <v>2665</v>
      </c>
      <c r="C264" s="670" t="s">
        <v>2341</v>
      </c>
      <c r="D264" s="670" t="s">
        <v>2344</v>
      </c>
      <c r="E264" s="670" t="s">
        <v>2345</v>
      </c>
      <c r="F264" s="238">
        <v>88</v>
      </c>
      <c r="G264" s="238">
        <v>20194.240000000002</v>
      </c>
      <c r="H264" s="238">
        <v>1</v>
      </c>
      <c r="I264" s="238">
        <v>229.48000000000002</v>
      </c>
      <c r="J264" s="238">
        <v>22</v>
      </c>
      <c r="K264" s="238">
        <v>5280</v>
      </c>
      <c r="L264" s="238">
        <v>0.26146069374237402</v>
      </c>
      <c r="M264" s="238">
        <v>240</v>
      </c>
      <c r="N264" s="238">
        <v>56</v>
      </c>
      <c r="O264" s="238">
        <v>13440</v>
      </c>
      <c r="P264" s="681">
        <v>0.66553631134422486</v>
      </c>
      <c r="Q264" s="712">
        <v>240</v>
      </c>
    </row>
    <row r="265" spans="1:17" ht="14.4" customHeight="1" x14ac:dyDescent="0.3">
      <c r="A265" s="679" t="s">
        <v>507</v>
      </c>
      <c r="B265" s="670" t="s">
        <v>2665</v>
      </c>
      <c r="C265" s="670" t="s">
        <v>2341</v>
      </c>
      <c r="D265" s="670" t="s">
        <v>2347</v>
      </c>
      <c r="E265" s="670" t="s">
        <v>2345</v>
      </c>
      <c r="F265" s="238">
        <v>5.01</v>
      </c>
      <c r="G265" s="238">
        <v>5800.41</v>
      </c>
      <c r="H265" s="238">
        <v>1</v>
      </c>
      <c r="I265" s="238">
        <v>1157.7664670658683</v>
      </c>
      <c r="J265" s="238">
        <v>1.03</v>
      </c>
      <c r="K265" s="238">
        <v>1252.48</v>
      </c>
      <c r="L265" s="238">
        <v>0.21592956359981449</v>
      </c>
      <c r="M265" s="238">
        <v>1216</v>
      </c>
      <c r="N265" s="238">
        <v>2.9699999999999998</v>
      </c>
      <c r="O265" s="238">
        <v>3610.3</v>
      </c>
      <c r="P265" s="681">
        <v>0.62242151847886618</v>
      </c>
      <c r="Q265" s="712">
        <v>1215.5892255892259</v>
      </c>
    </row>
    <row r="266" spans="1:17" ht="14.4" customHeight="1" x14ac:dyDescent="0.3">
      <c r="A266" s="679" t="s">
        <v>507</v>
      </c>
      <c r="B266" s="670" t="s">
        <v>2665</v>
      </c>
      <c r="C266" s="670" t="s">
        <v>2341</v>
      </c>
      <c r="D266" s="670" t="s">
        <v>2699</v>
      </c>
      <c r="E266" s="670" t="s">
        <v>2700</v>
      </c>
      <c r="F266" s="238">
        <v>6</v>
      </c>
      <c r="G266" s="238">
        <v>3376.7999999999997</v>
      </c>
      <c r="H266" s="238">
        <v>1</v>
      </c>
      <c r="I266" s="238">
        <v>562.79999999999995</v>
      </c>
      <c r="J266" s="238">
        <v>6</v>
      </c>
      <c r="K266" s="238">
        <v>3376.8</v>
      </c>
      <c r="L266" s="238">
        <v>1.0000000000000002</v>
      </c>
      <c r="M266" s="238">
        <v>562.80000000000007</v>
      </c>
      <c r="N266" s="238">
        <v>3</v>
      </c>
      <c r="O266" s="238">
        <v>1688.3999999999999</v>
      </c>
      <c r="P266" s="681">
        <v>0.5</v>
      </c>
      <c r="Q266" s="712">
        <v>562.79999999999995</v>
      </c>
    </row>
    <row r="267" spans="1:17" ht="14.4" customHeight="1" x14ac:dyDescent="0.3">
      <c r="A267" s="679" t="s">
        <v>507</v>
      </c>
      <c r="B267" s="670" t="s">
        <v>2665</v>
      </c>
      <c r="C267" s="670" t="s">
        <v>2341</v>
      </c>
      <c r="D267" s="670" t="s">
        <v>2701</v>
      </c>
      <c r="E267" s="670" t="s">
        <v>2702</v>
      </c>
      <c r="F267" s="238">
        <v>3</v>
      </c>
      <c r="G267" s="238">
        <v>56160</v>
      </c>
      <c r="H267" s="238">
        <v>1</v>
      </c>
      <c r="I267" s="238">
        <v>18720</v>
      </c>
      <c r="J267" s="238"/>
      <c r="K267" s="238"/>
      <c r="L267" s="238"/>
      <c r="M267" s="238"/>
      <c r="N267" s="238"/>
      <c r="O267" s="238"/>
      <c r="P267" s="681"/>
      <c r="Q267" s="712"/>
    </row>
    <row r="268" spans="1:17" ht="14.4" customHeight="1" x14ac:dyDescent="0.3">
      <c r="A268" s="679" t="s">
        <v>507</v>
      </c>
      <c r="B268" s="670" t="s">
        <v>2665</v>
      </c>
      <c r="C268" s="670" t="s">
        <v>2341</v>
      </c>
      <c r="D268" s="670" t="s">
        <v>2703</v>
      </c>
      <c r="E268" s="670" t="s">
        <v>2702</v>
      </c>
      <c r="F268" s="238">
        <v>1</v>
      </c>
      <c r="G268" s="238">
        <v>19401</v>
      </c>
      <c r="H268" s="238">
        <v>1</v>
      </c>
      <c r="I268" s="238">
        <v>19401</v>
      </c>
      <c r="J268" s="238"/>
      <c r="K268" s="238"/>
      <c r="L268" s="238"/>
      <c r="M268" s="238"/>
      <c r="N268" s="238">
        <v>1</v>
      </c>
      <c r="O268" s="238">
        <v>19401</v>
      </c>
      <c r="P268" s="681">
        <v>1</v>
      </c>
      <c r="Q268" s="712">
        <v>19401</v>
      </c>
    </row>
    <row r="269" spans="1:17" ht="14.4" customHeight="1" x14ac:dyDescent="0.3">
      <c r="A269" s="679" t="s">
        <v>507</v>
      </c>
      <c r="B269" s="670" t="s">
        <v>2665</v>
      </c>
      <c r="C269" s="670" t="s">
        <v>2341</v>
      </c>
      <c r="D269" s="670" t="s">
        <v>2704</v>
      </c>
      <c r="E269" s="670" t="s">
        <v>2702</v>
      </c>
      <c r="F269" s="238">
        <v>3</v>
      </c>
      <c r="G269" s="238">
        <v>1785</v>
      </c>
      <c r="H269" s="238">
        <v>1</v>
      </c>
      <c r="I269" s="238">
        <v>595</v>
      </c>
      <c r="J269" s="238"/>
      <c r="K269" s="238"/>
      <c r="L269" s="238"/>
      <c r="M269" s="238"/>
      <c r="N269" s="238">
        <v>1</v>
      </c>
      <c r="O269" s="238">
        <v>595</v>
      </c>
      <c r="P269" s="681">
        <v>0.33333333333333331</v>
      </c>
      <c r="Q269" s="712">
        <v>595</v>
      </c>
    </row>
    <row r="270" spans="1:17" ht="14.4" customHeight="1" x14ac:dyDescent="0.3">
      <c r="A270" s="679" t="s">
        <v>507</v>
      </c>
      <c r="B270" s="670" t="s">
        <v>2665</v>
      </c>
      <c r="C270" s="670" t="s">
        <v>2341</v>
      </c>
      <c r="D270" s="670" t="s">
        <v>2352</v>
      </c>
      <c r="E270" s="670" t="s">
        <v>2353</v>
      </c>
      <c r="F270" s="238">
        <v>17</v>
      </c>
      <c r="G270" s="238">
        <v>3781.8999999999996</v>
      </c>
      <c r="H270" s="238">
        <v>1</v>
      </c>
      <c r="I270" s="238">
        <v>222.46470588235292</v>
      </c>
      <c r="J270" s="238">
        <v>7</v>
      </c>
      <c r="K270" s="238">
        <v>1566.9499999999998</v>
      </c>
      <c r="L270" s="238">
        <v>0.41432877654089212</v>
      </c>
      <c r="M270" s="238">
        <v>223.84999999999997</v>
      </c>
      <c r="N270" s="238">
        <v>24</v>
      </c>
      <c r="O270" s="238">
        <v>5372.4</v>
      </c>
      <c r="P270" s="681">
        <v>1.4205558052830589</v>
      </c>
      <c r="Q270" s="712">
        <v>223.85</v>
      </c>
    </row>
    <row r="271" spans="1:17" ht="14.4" customHeight="1" x14ac:dyDescent="0.3">
      <c r="A271" s="679" t="s">
        <v>507</v>
      </c>
      <c r="B271" s="670" t="s">
        <v>2665</v>
      </c>
      <c r="C271" s="670" t="s">
        <v>2341</v>
      </c>
      <c r="D271" s="670" t="s">
        <v>2705</v>
      </c>
      <c r="E271" s="670" t="s">
        <v>2706</v>
      </c>
      <c r="F271" s="238"/>
      <c r="G271" s="238"/>
      <c r="H271" s="238"/>
      <c r="I271" s="238"/>
      <c r="J271" s="238">
        <v>1</v>
      </c>
      <c r="K271" s="238">
        <v>20061</v>
      </c>
      <c r="L271" s="238"/>
      <c r="M271" s="238">
        <v>20061</v>
      </c>
      <c r="N271" s="238"/>
      <c r="O271" s="238"/>
      <c r="P271" s="681"/>
      <c r="Q271" s="712"/>
    </row>
    <row r="272" spans="1:17" ht="14.4" customHeight="1" x14ac:dyDescent="0.3">
      <c r="A272" s="679" t="s">
        <v>507</v>
      </c>
      <c r="B272" s="670" t="s">
        <v>2665</v>
      </c>
      <c r="C272" s="670" t="s">
        <v>2341</v>
      </c>
      <c r="D272" s="670" t="s">
        <v>2354</v>
      </c>
      <c r="E272" s="670" t="s">
        <v>2355</v>
      </c>
      <c r="F272" s="238">
        <v>4</v>
      </c>
      <c r="G272" s="238">
        <v>8626.68</v>
      </c>
      <c r="H272" s="238">
        <v>1</v>
      </c>
      <c r="I272" s="238">
        <v>2156.67</v>
      </c>
      <c r="J272" s="238">
        <v>4</v>
      </c>
      <c r="K272" s="238">
        <v>8626.68</v>
      </c>
      <c r="L272" s="238">
        <v>1</v>
      </c>
      <c r="M272" s="238">
        <v>2156.67</v>
      </c>
      <c r="N272" s="238">
        <v>2</v>
      </c>
      <c r="O272" s="238">
        <v>4313.34</v>
      </c>
      <c r="P272" s="681">
        <v>0.5</v>
      </c>
      <c r="Q272" s="712">
        <v>2156.67</v>
      </c>
    </row>
    <row r="273" spans="1:17" ht="14.4" customHeight="1" x14ac:dyDescent="0.3">
      <c r="A273" s="679" t="s">
        <v>507</v>
      </c>
      <c r="B273" s="670" t="s">
        <v>2665</v>
      </c>
      <c r="C273" s="670" t="s">
        <v>2341</v>
      </c>
      <c r="D273" s="670" t="s">
        <v>2356</v>
      </c>
      <c r="E273" s="670" t="s">
        <v>2355</v>
      </c>
      <c r="F273" s="238">
        <v>3</v>
      </c>
      <c r="G273" s="238">
        <v>16924.580000000002</v>
      </c>
      <c r="H273" s="238">
        <v>1</v>
      </c>
      <c r="I273" s="238">
        <v>5641.5266666666676</v>
      </c>
      <c r="J273" s="238"/>
      <c r="K273" s="238"/>
      <c r="L273" s="238"/>
      <c r="M273" s="238"/>
      <c r="N273" s="238">
        <v>2</v>
      </c>
      <c r="O273" s="238">
        <v>11416.58</v>
      </c>
      <c r="P273" s="681">
        <v>0.67455617805582169</v>
      </c>
      <c r="Q273" s="712">
        <v>5708.29</v>
      </c>
    </row>
    <row r="274" spans="1:17" ht="14.4" customHeight="1" x14ac:dyDescent="0.3">
      <c r="A274" s="679" t="s">
        <v>507</v>
      </c>
      <c r="B274" s="670" t="s">
        <v>2665</v>
      </c>
      <c r="C274" s="670" t="s">
        <v>2341</v>
      </c>
      <c r="D274" s="670" t="s">
        <v>2707</v>
      </c>
      <c r="E274" s="670" t="s">
        <v>2358</v>
      </c>
      <c r="F274" s="238"/>
      <c r="G274" s="238"/>
      <c r="H274" s="238"/>
      <c r="I274" s="238"/>
      <c r="J274" s="238"/>
      <c r="K274" s="238"/>
      <c r="L274" s="238"/>
      <c r="M274" s="238"/>
      <c r="N274" s="238">
        <v>1</v>
      </c>
      <c r="O274" s="238">
        <v>4093.64</v>
      </c>
      <c r="P274" s="681"/>
      <c r="Q274" s="712">
        <v>4093.64</v>
      </c>
    </row>
    <row r="275" spans="1:17" ht="14.4" customHeight="1" x14ac:dyDescent="0.3">
      <c r="A275" s="679" t="s">
        <v>507</v>
      </c>
      <c r="B275" s="670" t="s">
        <v>2665</v>
      </c>
      <c r="C275" s="670" t="s">
        <v>2341</v>
      </c>
      <c r="D275" s="670" t="s">
        <v>2357</v>
      </c>
      <c r="E275" s="670" t="s">
        <v>2358</v>
      </c>
      <c r="F275" s="238">
        <v>2</v>
      </c>
      <c r="G275" s="238">
        <v>7876.36</v>
      </c>
      <c r="H275" s="238">
        <v>1</v>
      </c>
      <c r="I275" s="238">
        <v>3938.18</v>
      </c>
      <c r="J275" s="238">
        <v>3</v>
      </c>
      <c r="K275" s="238">
        <v>11814.539999999999</v>
      </c>
      <c r="L275" s="238">
        <v>1.5</v>
      </c>
      <c r="M275" s="238">
        <v>3938.18</v>
      </c>
      <c r="N275" s="238">
        <v>2</v>
      </c>
      <c r="O275" s="238">
        <v>7876.36</v>
      </c>
      <c r="P275" s="681">
        <v>1</v>
      </c>
      <c r="Q275" s="712">
        <v>3938.18</v>
      </c>
    </row>
    <row r="276" spans="1:17" ht="14.4" customHeight="1" x14ac:dyDescent="0.3">
      <c r="A276" s="679" t="s">
        <v>507</v>
      </c>
      <c r="B276" s="670" t="s">
        <v>2665</v>
      </c>
      <c r="C276" s="670" t="s">
        <v>2341</v>
      </c>
      <c r="D276" s="670" t="s">
        <v>2708</v>
      </c>
      <c r="E276" s="670" t="s">
        <v>2355</v>
      </c>
      <c r="F276" s="238"/>
      <c r="G276" s="238"/>
      <c r="H276" s="238"/>
      <c r="I276" s="238"/>
      <c r="J276" s="238"/>
      <c r="K276" s="238"/>
      <c r="L276" s="238"/>
      <c r="M276" s="238"/>
      <c r="N276" s="238">
        <v>1</v>
      </c>
      <c r="O276" s="238">
        <v>874.69</v>
      </c>
      <c r="P276" s="681"/>
      <c r="Q276" s="712">
        <v>874.69</v>
      </c>
    </row>
    <row r="277" spans="1:17" ht="14.4" customHeight="1" x14ac:dyDescent="0.3">
      <c r="A277" s="679" t="s">
        <v>507</v>
      </c>
      <c r="B277" s="670" t="s">
        <v>2665</v>
      </c>
      <c r="C277" s="670" t="s">
        <v>2341</v>
      </c>
      <c r="D277" s="670" t="s">
        <v>2709</v>
      </c>
      <c r="E277" s="670" t="s">
        <v>2710</v>
      </c>
      <c r="F277" s="238"/>
      <c r="G277" s="238"/>
      <c r="H277" s="238"/>
      <c r="I277" s="238"/>
      <c r="J277" s="238"/>
      <c r="K277" s="238"/>
      <c r="L277" s="238"/>
      <c r="M277" s="238"/>
      <c r="N277" s="238">
        <v>1</v>
      </c>
      <c r="O277" s="238">
        <v>5255.92</v>
      </c>
      <c r="P277" s="681"/>
      <c r="Q277" s="712">
        <v>5255.92</v>
      </c>
    </row>
    <row r="278" spans="1:17" ht="14.4" customHeight="1" x14ac:dyDescent="0.3">
      <c r="A278" s="679" t="s">
        <v>507</v>
      </c>
      <c r="B278" s="670" t="s">
        <v>2665</v>
      </c>
      <c r="C278" s="670" t="s">
        <v>2341</v>
      </c>
      <c r="D278" s="670" t="s">
        <v>2711</v>
      </c>
      <c r="E278" s="670" t="s">
        <v>2712</v>
      </c>
      <c r="F278" s="238">
        <v>1</v>
      </c>
      <c r="G278" s="238">
        <v>5255.92</v>
      </c>
      <c r="H278" s="238">
        <v>1</v>
      </c>
      <c r="I278" s="238">
        <v>5255.92</v>
      </c>
      <c r="J278" s="238"/>
      <c r="K278" s="238"/>
      <c r="L278" s="238"/>
      <c r="M278" s="238"/>
      <c r="N278" s="238"/>
      <c r="O278" s="238"/>
      <c r="P278" s="681"/>
      <c r="Q278" s="712"/>
    </row>
    <row r="279" spans="1:17" ht="14.4" customHeight="1" x14ac:dyDescent="0.3">
      <c r="A279" s="679" t="s">
        <v>507</v>
      </c>
      <c r="B279" s="670" t="s">
        <v>2665</v>
      </c>
      <c r="C279" s="670" t="s">
        <v>2341</v>
      </c>
      <c r="D279" s="670" t="s">
        <v>2361</v>
      </c>
      <c r="E279" s="670" t="s">
        <v>2362</v>
      </c>
      <c r="F279" s="238">
        <v>1</v>
      </c>
      <c r="G279" s="238">
        <v>3928.34</v>
      </c>
      <c r="H279" s="238">
        <v>1</v>
      </c>
      <c r="I279" s="238">
        <v>3928.34</v>
      </c>
      <c r="J279" s="238"/>
      <c r="K279" s="238"/>
      <c r="L279" s="238"/>
      <c r="M279" s="238"/>
      <c r="N279" s="238">
        <v>3</v>
      </c>
      <c r="O279" s="238">
        <v>11785.02</v>
      </c>
      <c r="P279" s="681">
        <v>3</v>
      </c>
      <c r="Q279" s="712">
        <v>3928.34</v>
      </c>
    </row>
    <row r="280" spans="1:17" ht="14.4" customHeight="1" x14ac:dyDescent="0.3">
      <c r="A280" s="679" t="s">
        <v>507</v>
      </c>
      <c r="B280" s="670" t="s">
        <v>2665</v>
      </c>
      <c r="C280" s="670" t="s">
        <v>2341</v>
      </c>
      <c r="D280" s="670" t="s">
        <v>2365</v>
      </c>
      <c r="E280" s="670" t="s">
        <v>2366</v>
      </c>
      <c r="F280" s="238">
        <v>1</v>
      </c>
      <c r="G280" s="238">
        <v>6520</v>
      </c>
      <c r="H280" s="238">
        <v>1</v>
      </c>
      <c r="I280" s="238">
        <v>6520</v>
      </c>
      <c r="J280" s="238"/>
      <c r="K280" s="238"/>
      <c r="L280" s="238"/>
      <c r="M280" s="238"/>
      <c r="N280" s="238"/>
      <c r="O280" s="238"/>
      <c r="P280" s="681"/>
      <c r="Q280" s="712"/>
    </row>
    <row r="281" spans="1:17" ht="14.4" customHeight="1" x14ac:dyDescent="0.3">
      <c r="A281" s="679" t="s">
        <v>507</v>
      </c>
      <c r="B281" s="670" t="s">
        <v>2665</v>
      </c>
      <c r="C281" s="670" t="s">
        <v>2341</v>
      </c>
      <c r="D281" s="670" t="s">
        <v>2713</v>
      </c>
      <c r="E281" s="670" t="s">
        <v>2714</v>
      </c>
      <c r="F281" s="238">
        <v>1</v>
      </c>
      <c r="G281" s="238">
        <v>4150</v>
      </c>
      <c r="H281" s="238">
        <v>1</v>
      </c>
      <c r="I281" s="238">
        <v>4150</v>
      </c>
      <c r="J281" s="238"/>
      <c r="K281" s="238"/>
      <c r="L281" s="238"/>
      <c r="M281" s="238"/>
      <c r="N281" s="238"/>
      <c r="O281" s="238"/>
      <c r="P281" s="681"/>
      <c r="Q281" s="712"/>
    </row>
    <row r="282" spans="1:17" ht="14.4" customHeight="1" x14ac:dyDescent="0.3">
      <c r="A282" s="679" t="s">
        <v>507</v>
      </c>
      <c r="B282" s="670" t="s">
        <v>2665</v>
      </c>
      <c r="C282" s="670" t="s">
        <v>2341</v>
      </c>
      <c r="D282" s="670" t="s">
        <v>2715</v>
      </c>
      <c r="E282" s="670" t="s">
        <v>2716</v>
      </c>
      <c r="F282" s="238">
        <v>1</v>
      </c>
      <c r="G282" s="238">
        <v>4618</v>
      </c>
      <c r="H282" s="238">
        <v>1</v>
      </c>
      <c r="I282" s="238">
        <v>4618</v>
      </c>
      <c r="J282" s="238"/>
      <c r="K282" s="238"/>
      <c r="L282" s="238"/>
      <c r="M282" s="238"/>
      <c r="N282" s="238"/>
      <c r="O282" s="238"/>
      <c r="P282" s="681"/>
      <c r="Q282" s="712"/>
    </row>
    <row r="283" spans="1:17" ht="14.4" customHeight="1" x14ac:dyDescent="0.3">
      <c r="A283" s="679" t="s">
        <v>507</v>
      </c>
      <c r="B283" s="670" t="s">
        <v>2665</v>
      </c>
      <c r="C283" s="670" t="s">
        <v>2341</v>
      </c>
      <c r="D283" s="670" t="s">
        <v>2381</v>
      </c>
      <c r="E283" s="670" t="s">
        <v>2382</v>
      </c>
      <c r="F283" s="238"/>
      <c r="G283" s="238"/>
      <c r="H283" s="238"/>
      <c r="I283" s="238"/>
      <c r="J283" s="238"/>
      <c r="K283" s="238"/>
      <c r="L283" s="238"/>
      <c r="M283" s="238"/>
      <c r="N283" s="238">
        <v>1</v>
      </c>
      <c r="O283" s="238">
        <v>4676</v>
      </c>
      <c r="P283" s="681"/>
      <c r="Q283" s="712">
        <v>4676</v>
      </c>
    </row>
    <row r="284" spans="1:17" ht="14.4" customHeight="1" x14ac:dyDescent="0.3">
      <c r="A284" s="679" t="s">
        <v>507</v>
      </c>
      <c r="B284" s="670" t="s">
        <v>2665</v>
      </c>
      <c r="C284" s="670" t="s">
        <v>2341</v>
      </c>
      <c r="D284" s="670" t="s">
        <v>2717</v>
      </c>
      <c r="E284" s="670" t="s">
        <v>2382</v>
      </c>
      <c r="F284" s="238">
        <v>1</v>
      </c>
      <c r="G284" s="238">
        <v>5619</v>
      </c>
      <c r="H284" s="238">
        <v>1</v>
      </c>
      <c r="I284" s="238">
        <v>5619</v>
      </c>
      <c r="J284" s="238"/>
      <c r="K284" s="238"/>
      <c r="L284" s="238"/>
      <c r="M284" s="238"/>
      <c r="N284" s="238"/>
      <c r="O284" s="238"/>
      <c r="P284" s="681"/>
      <c r="Q284" s="712"/>
    </row>
    <row r="285" spans="1:17" ht="14.4" customHeight="1" x14ac:dyDescent="0.3">
      <c r="A285" s="679" t="s">
        <v>507</v>
      </c>
      <c r="B285" s="670" t="s">
        <v>2665</v>
      </c>
      <c r="C285" s="670" t="s">
        <v>2341</v>
      </c>
      <c r="D285" s="670" t="s">
        <v>2384</v>
      </c>
      <c r="E285" s="670" t="s">
        <v>2385</v>
      </c>
      <c r="F285" s="238">
        <v>4</v>
      </c>
      <c r="G285" s="238">
        <v>2288</v>
      </c>
      <c r="H285" s="238">
        <v>1</v>
      </c>
      <c r="I285" s="238">
        <v>572</v>
      </c>
      <c r="J285" s="238"/>
      <c r="K285" s="238"/>
      <c r="L285" s="238"/>
      <c r="M285" s="238"/>
      <c r="N285" s="238">
        <v>4</v>
      </c>
      <c r="O285" s="238">
        <v>2368</v>
      </c>
      <c r="P285" s="681">
        <v>1.034965034965035</v>
      </c>
      <c r="Q285" s="712">
        <v>592</v>
      </c>
    </row>
    <row r="286" spans="1:17" ht="14.4" customHeight="1" x14ac:dyDescent="0.3">
      <c r="A286" s="679" t="s">
        <v>507</v>
      </c>
      <c r="B286" s="670" t="s">
        <v>2665</v>
      </c>
      <c r="C286" s="670" t="s">
        <v>2341</v>
      </c>
      <c r="D286" s="670" t="s">
        <v>2388</v>
      </c>
      <c r="E286" s="670" t="s">
        <v>2387</v>
      </c>
      <c r="F286" s="238"/>
      <c r="G286" s="238"/>
      <c r="H286" s="238"/>
      <c r="I286" s="238"/>
      <c r="J286" s="238">
        <v>1</v>
      </c>
      <c r="K286" s="238">
        <v>1978.94</v>
      </c>
      <c r="L286" s="238"/>
      <c r="M286" s="238">
        <v>1978.94</v>
      </c>
      <c r="N286" s="238"/>
      <c r="O286" s="238"/>
      <c r="P286" s="681"/>
      <c r="Q286" s="712"/>
    </row>
    <row r="287" spans="1:17" ht="14.4" customHeight="1" x14ac:dyDescent="0.3">
      <c r="A287" s="679" t="s">
        <v>507</v>
      </c>
      <c r="B287" s="670" t="s">
        <v>2665</v>
      </c>
      <c r="C287" s="670" t="s">
        <v>2341</v>
      </c>
      <c r="D287" s="670" t="s">
        <v>2389</v>
      </c>
      <c r="E287" s="670" t="s">
        <v>2390</v>
      </c>
      <c r="F287" s="238">
        <v>1</v>
      </c>
      <c r="G287" s="238">
        <v>13091</v>
      </c>
      <c r="H287" s="238">
        <v>1</v>
      </c>
      <c r="I287" s="238">
        <v>13091</v>
      </c>
      <c r="J287" s="238"/>
      <c r="K287" s="238"/>
      <c r="L287" s="238"/>
      <c r="M287" s="238"/>
      <c r="N287" s="238">
        <v>1</v>
      </c>
      <c r="O287" s="238">
        <v>13091</v>
      </c>
      <c r="P287" s="681">
        <v>1</v>
      </c>
      <c r="Q287" s="712">
        <v>13091</v>
      </c>
    </row>
    <row r="288" spans="1:17" ht="14.4" customHeight="1" x14ac:dyDescent="0.3">
      <c r="A288" s="679" t="s">
        <v>507</v>
      </c>
      <c r="B288" s="670" t="s">
        <v>2665</v>
      </c>
      <c r="C288" s="670" t="s">
        <v>2341</v>
      </c>
      <c r="D288" s="670" t="s">
        <v>2391</v>
      </c>
      <c r="E288" s="670" t="s">
        <v>2392</v>
      </c>
      <c r="F288" s="238">
        <v>1</v>
      </c>
      <c r="G288" s="238">
        <v>49184.78</v>
      </c>
      <c r="H288" s="238">
        <v>1</v>
      </c>
      <c r="I288" s="238">
        <v>49184.78</v>
      </c>
      <c r="J288" s="238"/>
      <c r="K288" s="238"/>
      <c r="L288" s="238"/>
      <c r="M288" s="238"/>
      <c r="N288" s="238"/>
      <c r="O288" s="238"/>
      <c r="P288" s="681"/>
      <c r="Q288" s="712"/>
    </row>
    <row r="289" spans="1:17" ht="14.4" customHeight="1" x14ac:dyDescent="0.3">
      <c r="A289" s="679" t="s">
        <v>507</v>
      </c>
      <c r="B289" s="670" t="s">
        <v>2665</v>
      </c>
      <c r="C289" s="670" t="s">
        <v>2341</v>
      </c>
      <c r="D289" s="670" t="s">
        <v>2718</v>
      </c>
      <c r="E289" s="670" t="s">
        <v>2719</v>
      </c>
      <c r="F289" s="238">
        <v>2</v>
      </c>
      <c r="G289" s="238">
        <v>160051.85999999999</v>
      </c>
      <c r="H289" s="238">
        <v>1</v>
      </c>
      <c r="I289" s="238">
        <v>80025.929999999993</v>
      </c>
      <c r="J289" s="238"/>
      <c r="K289" s="238"/>
      <c r="L289" s="238"/>
      <c r="M289" s="238"/>
      <c r="N289" s="238"/>
      <c r="O289" s="238"/>
      <c r="P289" s="681"/>
      <c r="Q289" s="712"/>
    </row>
    <row r="290" spans="1:17" ht="14.4" customHeight="1" x14ac:dyDescent="0.3">
      <c r="A290" s="679" t="s">
        <v>507</v>
      </c>
      <c r="B290" s="670" t="s">
        <v>2665</v>
      </c>
      <c r="C290" s="670" t="s">
        <v>2341</v>
      </c>
      <c r="D290" s="670" t="s">
        <v>2412</v>
      </c>
      <c r="E290" s="670" t="s">
        <v>2413</v>
      </c>
      <c r="F290" s="238">
        <v>1</v>
      </c>
      <c r="G290" s="238">
        <v>4959</v>
      </c>
      <c r="H290" s="238">
        <v>1</v>
      </c>
      <c r="I290" s="238">
        <v>4959</v>
      </c>
      <c r="J290" s="238"/>
      <c r="K290" s="238"/>
      <c r="L290" s="238"/>
      <c r="M290" s="238"/>
      <c r="N290" s="238"/>
      <c r="O290" s="238"/>
      <c r="P290" s="681"/>
      <c r="Q290" s="712"/>
    </row>
    <row r="291" spans="1:17" ht="14.4" customHeight="1" x14ac:dyDescent="0.3">
      <c r="A291" s="679" t="s">
        <v>507</v>
      </c>
      <c r="B291" s="670" t="s">
        <v>2665</v>
      </c>
      <c r="C291" s="670" t="s">
        <v>2341</v>
      </c>
      <c r="D291" s="670" t="s">
        <v>2720</v>
      </c>
      <c r="E291" s="670" t="s">
        <v>2719</v>
      </c>
      <c r="F291" s="238">
        <v>1</v>
      </c>
      <c r="G291" s="238">
        <v>20302.36</v>
      </c>
      <c r="H291" s="238">
        <v>1</v>
      </c>
      <c r="I291" s="238">
        <v>20302.36</v>
      </c>
      <c r="J291" s="238"/>
      <c r="K291" s="238"/>
      <c r="L291" s="238"/>
      <c r="M291" s="238"/>
      <c r="N291" s="238"/>
      <c r="O291" s="238"/>
      <c r="P291" s="681"/>
      <c r="Q291" s="712"/>
    </row>
    <row r="292" spans="1:17" ht="14.4" customHeight="1" x14ac:dyDescent="0.3">
      <c r="A292" s="679" t="s">
        <v>507</v>
      </c>
      <c r="B292" s="670" t="s">
        <v>2665</v>
      </c>
      <c r="C292" s="670" t="s">
        <v>2341</v>
      </c>
      <c r="D292" s="670" t="s">
        <v>2418</v>
      </c>
      <c r="E292" s="670" t="s">
        <v>2419</v>
      </c>
      <c r="F292" s="238"/>
      <c r="G292" s="238"/>
      <c r="H292" s="238"/>
      <c r="I292" s="238"/>
      <c r="J292" s="238">
        <v>4</v>
      </c>
      <c r="K292" s="238">
        <v>32532</v>
      </c>
      <c r="L292" s="238"/>
      <c r="M292" s="238">
        <v>8133</v>
      </c>
      <c r="N292" s="238">
        <v>4</v>
      </c>
      <c r="O292" s="238">
        <v>32532</v>
      </c>
      <c r="P292" s="681"/>
      <c r="Q292" s="712">
        <v>8133</v>
      </c>
    </row>
    <row r="293" spans="1:17" ht="14.4" customHeight="1" x14ac:dyDescent="0.3">
      <c r="A293" s="679" t="s">
        <v>507</v>
      </c>
      <c r="B293" s="670" t="s">
        <v>2665</v>
      </c>
      <c r="C293" s="670" t="s">
        <v>2341</v>
      </c>
      <c r="D293" s="670" t="s">
        <v>2422</v>
      </c>
      <c r="E293" s="670" t="s">
        <v>2419</v>
      </c>
      <c r="F293" s="238">
        <v>3</v>
      </c>
      <c r="G293" s="238">
        <v>16644</v>
      </c>
      <c r="H293" s="238">
        <v>1</v>
      </c>
      <c r="I293" s="238">
        <v>5548</v>
      </c>
      <c r="J293" s="238">
        <v>2</v>
      </c>
      <c r="K293" s="238">
        <v>11498</v>
      </c>
      <c r="L293" s="238">
        <v>0.69081951453977408</v>
      </c>
      <c r="M293" s="238">
        <v>5749</v>
      </c>
      <c r="N293" s="238">
        <v>2</v>
      </c>
      <c r="O293" s="238">
        <v>11498</v>
      </c>
      <c r="P293" s="681">
        <v>0.69081951453977408</v>
      </c>
      <c r="Q293" s="712">
        <v>5749</v>
      </c>
    </row>
    <row r="294" spans="1:17" ht="14.4" customHeight="1" x14ac:dyDescent="0.3">
      <c r="A294" s="679" t="s">
        <v>507</v>
      </c>
      <c r="B294" s="670" t="s">
        <v>2665</v>
      </c>
      <c r="C294" s="670" t="s">
        <v>2341</v>
      </c>
      <c r="D294" s="670" t="s">
        <v>2423</v>
      </c>
      <c r="E294" s="670" t="s">
        <v>2421</v>
      </c>
      <c r="F294" s="238">
        <v>11</v>
      </c>
      <c r="G294" s="238">
        <v>28897</v>
      </c>
      <c r="H294" s="238">
        <v>1</v>
      </c>
      <c r="I294" s="238">
        <v>2627</v>
      </c>
      <c r="J294" s="238">
        <v>4</v>
      </c>
      <c r="K294" s="238">
        <v>10888</v>
      </c>
      <c r="L294" s="238">
        <v>0.37678651763158805</v>
      </c>
      <c r="M294" s="238">
        <v>2722</v>
      </c>
      <c r="N294" s="238">
        <v>4</v>
      </c>
      <c r="O294" s="238">
        <v>10888</v>
      </c>
      <c r="P294" s="681">
        <v>0.37678651763158805</v>
      </c>
      <c r="Q294" s="712">
        <v>2722</v>
      </c>
    </row>
    <row r="295" spans="1:17" ht="14.4" customHeight="1" x14ac:dyDescent="0.3">
      <c r="A295" s="679" t="s">
        <v>507</v>
      </c>
      <c r="B295" s="670" t="s">
        <v>2665</v>
      </c>
      <c r="C295" s="670" t="s">
        <v>2341</v>
      </c>
      <c r="D295" s="670" t="s">
        <v>2721</v>
      </c>
      <c r="E295" s="670" t="s">
        <v>2722</v>
      </c>
      <c r="F295" s="238">
        <v>8</v>
      </c>
      <c r="G295" s="238">
        <v>47576</v>
      </c>
      <c r="H295" s="238">
        <v>1</v>
      </c>
      <c r="I295" s="238">
        <v>5947</v>
      </c>
      <c r="J295" s="238"/>
      <c r="K295" s="238"/>
      <c r="L295" s="238"/>
      <c r="M295" s="238"/>
      <c r="N295" s="238"/>
      <c r="O295" s="238"/>
      <c r="P295" s="681"/>
      <c r="Q295" s="712"/>
    </row>
    <row r="296" spans="1:17" ht="14.4" customHeight="1" x14ac:dyDescent="0.3">
      <c r="A296" s="679" t="s">
        <v>507</v>
      </c>
      <c r="B296" s="670" t="s">
        <v>2665</v>
      </c>
      <c r="C296" s="670" t="s">
        <v>2341</v>
      </c>
      <c r="D296" s="670" t="s">
        <v>2723</v>
      </c>
      <c r="E296" s="670" t="s">
        <v>2722</v>
      </c>
      <c r="F296" s="238">
        <v>8</v>
      </c>
      <c r="G296" s="238">
        <v>8272</v>
      </c>
      <c r="H296" s="238">
        <v>1</v>
      </c>
      <c r="I296" s="238">
        <v>1034</v>
      </c>
      <c r="J296" s="238"/>
      <c r="K296" s="238"/>
      <c r="L296" s="238"/>
      <c r="M296" s="238"/>
      <c r="N296" s="238"/>
      <c r="O296" s="238"/>
      <c r="P296" s="681"/>
      <c r="Q296" s="712"/>
    </row>
    <row r="297" spans="1:17" ht="14.4" customHeight="1" x14ac:dyDescent="0.3">
      <c r="A297" s="679" t="s">
        <v>507</v>
      </c>
      <c r="B297" s="670" t="s">
        <v>2665</v>
      </c>
      <c r="C297" s="670" t="s">
        <v>2341</v>
      </c>
      <c r="D297" s="670" t="s">
        <v>2432</v>
      </c>
      <c r="E297" s="670" t="s">
        <v>2433</v>
      </c>
      <c r="F297" s="238">
        <v>2</v>
      </c>
      <c r="G297" s="238">
        <v>11466.76</v>
      </c>
      <c r="H297" s="238">
        <v>1</v>
      </c>
      <c r="I297" s="238">
        <v>5733.38</v>
      </c>
      <c r="J297" s="238"/>
      <c r="K297" s="238"/>
      <c r="L297" s="238"/>
      <c r="M297" s="238"/>
      <c r="N297" s="238"/>
      <c r="O297" s="238"/>
      <c r="P297" s="681"/>
      <c r="Q297" s="712"/>
    </row>
    <row r="298" spans="1:17" ht="14.4" customHeight="1" x14ac:dyDescent="0.3">
      <c r="A298" s="679" t="s">
        <v>507</v>
      </c>
      <c r="B298" s="670" t="s">
        <v>2665</v>
      </c>
      <c r="C298" s="670" t="s">
        <v>2341</v>
      </c>
      <c r="D298" s="670" t="s">
        <v>2446</v>
      </c>
      <c r="E298" s="670" t="s">
        <v>2447</v>
      </c>
      <c r="F298" s="238">
        <v>1</v>
      </c>
      <c r="G298" s="238">
        <v>8747</v>
      </c>
      <c r="H298" s="238">
        <v>1</v>
      </c>
      <c r="I298" s="238">
        <v>8747</v>
      </c>
      <c r="J298" s="238"/>
      <c r="K298" s="238"/>
      <c r="L298" s="238"/>
      <c r="M298" s="238"/>
      <c r="N298" s="238">
        <v>1</v>
      </c>
      <c r="O298" s="238">
        <v>8747</v>
      </c>
      <c r="P298" s="681">
        <v>1</v>
      </c>
      <c r="Q298" s="712">
        <v>8747</v>
      </c>
    </row>
    <row r="299" spans="1:17" ht="14.4" customHeight="1" x14ac:dyDescent="0.3">
      <c r="A299" s="679" t="s">
        <v>507</v>
      </c>
      <c r="B299" s="670" t="s">
        <v>2665</v>
      </c>
      <c r="C299" s="670" t="s">
        <v>2341</v>
      </c>
      <c r="D299" s="670" t="s">
        <v>2452</v>
      </c>
      <c r="E299" s="670" t="s">
        <v>2453</v>
      </c>
      <c r="F299" s="238">
        <v>2</v>
      </c>
      <c r="G299" s="238">
        <v>29302.14</v>
      </c>
      <c r="H299" s="238">
        <v>1</v>
      </c>
      <c r="I299" s="238">
        <v>14651.07</v>
      </c>
      <c r="J299" s="238"/>
      <c r="K299" s="238"/>
      <c r="L299" s="238"/>
      <c r="M299" s="238"/>
      <c r="N299" s="238"/>
      <c r="O299" s="238"/>
      <c r="P299" s="681"/>
      <c r="Q299" s="712"/>
    </row>
    <row r="300" spans="1:17" ht="14.4" customHeight="1" x14ac:dyDescent="0.3">
      <c r="A300" s="679" t="s">
        <v>507</v>
      </c>
      <c r="B300" s="670" t="s">
        <v>2665</v>
      </c>
      <c r="C300" s="670" t="s">
        <v>2341</v>
      </c>
      <c r="D300" s="670" t="s">
        <v>2459</v>
      </c>
      <c r="E300" s="670" t="s">
        <v>2460</v>
      </c>
      <c r="F300" s="238"/>
      <c r="G300" s="238"/>
      <c r="H300" s="238"/>
      <c r="I300" s="238"/>
      <c r="J300" s="238"/>
      <c r="K300" s="238"/>
      <c r="L300" s="238"/>
      <c r="M300" s="238"/>
      <c r="N300" s="238">
        <v>1</v>
      </c>
      <c r="O300" s="238">
        <v>6517</v>
      </c>
      <c r="P300" s="681"/>
      <c r="Q300" s="712">
        <v>6517</v>
      </c>
    </row>
    <row r="301" spans="1:17" ht="14.4" customHeight="1" x14ac:dyDescent="0.3">
      <c r="A301" s="679" t="s">
        <v>507</v>
      </c>
      <c r="B301" s="670" t="s">
        <v>2665</v>
      </c>
      <c r="C301" s="670" t="s">
        <v>2341</v>
      </c>
      <c r="D301" s="670" t="s">
        <v>2471</v>
      </c>
      <c r="E301" s="670" t="s">
        <v>2472</v>
      </c>
      <c r="F301" s="238">
        <v>11</v>
      </c>
      <c r="G301" s="238">
        <v>165935</v>
      </c>
      <c r="H301" s="238">
        <v>1</v>
      </c>
      <c r="I301" s="238">
        <v>15085</v>
      </c>
      <c r="J301" s="238"/>
      <c r="K301" s="238"/>
      <c r="L301" s="238"/>
      <c r="M301" s="238"/>
      <c r="N301" s="238"/>
      <c r="O301" s="238"/>
      <c r="P301" s="681"/>
      <c r="Q301" s="712"/>
    </row>
    <row r="302" spans="1:17" ht="14.4" customHeight="1" x14ac:dyDescent="0.3">
      <c r="A302" s="679" t="s">
        <v>507</v>
      </c>
      <c r="B302" s="670" t="s">
        <v>2665</v>
      </c>
      <c r="C302" s="670" t="s">
        <v>2341</v>
      </c>
      <c r="D302" s="670" t="s">
        <v>2724</v>
      </c>
      <c r="E302" s="670" t="s">
        <v>2725</v>
      </c>
      <c r="F302" s="238">
        <v>1</v>
      </c>
      <c r="G302" s="238">
        <v>3072.82</v>
      </c>
      <c r="H302" s="238">
        <v>1</v>
      </c>
      <c r="I302" s="238">
        <v>3072.82</v>
      </c>
      <c r="J302" s="238"/>
      <c r="K302" s="238"/>
      <c r="L302" s="238"/>
      <c r="M302" s="238"/>
      <c r="N302" s="238"/>
      <c r="O302" s="238"/>
      <c r="P302" s="681"/>
      <c r="Q302" s="712"/>
    </row>
    <row r="303" spans="1:17" ht="14.4" customHeight="1" x14ac:dyDescent="0.3">
      <c r="A303" s="679" t="s">
        <v>507</v>
      </c>
      <c r="B303" s="670" t="s">
        <v>2665</v>
      </c>
      <c r="C303" s="670" t="s">
        <v>2341</v>
      </c>
      <c r="D303" s="670" t="s">
        <v>2726</v>
      </c>
      <c r="E303" s="670" t="s">
        <v>2725</v>
      </c>
      <c r="F303" s="238">
        <v>13</v>
      </c>
      <c r="G303" s="238">
        <v>6170.45</v>
      </c>
      <c r="H303" s="238">
        <v>1</v>
      </c>
      <c r="I303" s="238">
        <v>474.65</v>
      </c>
      <c r="J303" s="238"/>
      <c r="K303" s="238"/>
      <c r="L303" s="238"/>
      <c r="M303" s="238"/>
      <c r="N303" s="238"/>
      <c r="O303" s="238"/>
      <c r="P303" s="681"/>
      <c r="Q303" s="712"/>
    </row>
    <row r="304" spans="1:17" ht="14.4" customHeight="1" x14ac:dyDescent="0.3">
      <c r="A304" s="679" t="s">
        <v>507</v>
      </c>
      <c r="B304" s="670" t="s">
        <v>2665</v>
      </c>
      <c r="C304" s="670" t="s">
        <v>2341</v>
      </c>
      <c r="D304" s="670" t="s">
        <v>2727</v>
      </c>
      <c r="E304" s="670" t="s">
        <v>2725</v>
      </c>
      <c r="F304" s="238">
        <v>13</v>
      </c>
      <c r="G304" s="238">
        <v>1963</v>
      </c>
      <c r="H304" s="238">
        <v>1</v>
      </c>
      <c r="I304" s="238">
        <v>151</v>
      </c>
      <c r="J304" s="238"/>
      <c r="K304" s="238"/>
      <c r="L304" s="238"/>
      <c r="M304" s="238"/>
      <c r="N304" s="238"/>
      <c r="O304" s="238"/>
      <c r="P304" s="681"/>
      <c r="Q304" s="712"/>
    </row>
    <row r="305" spans="1:17" ht="14.4" customHeight="1" x14ac:dyDescent="0.3">
      <c r="A305" s="679" t="s">
        <v>507</v>
      </c>
      <c r="B305" s="670" t="s">
        <v>2665</v>
      </c>
      <c r="C305" s="670" t="s">
        <v>2341</v>
      </c>
      <c r="D305" s="670" t="s">
        <v>2728</v>
      </c>
      <c r="E305" s="670" t="s">
        <v>2725</v>
      </c>
      <c r="F305" s="238">
        <v>8</v>
      </c>
      <c r="G305" s="238">
        <v>1328</v>
      </c>
      <c r="H305" s="238">
        <v>1</v>
      </c>
      <c r="I305" s="238">
        <v>166</v>
      </c>
      <c r="J305" s="238"/>
      <c r="K305" s="238"/>
      <c r="L305" s="238"/>
      <c r="M305" s="238"/>
      <c r="N305" s="238"/>
      <c r="O305" s="238"/>
      <c r="P305" s="681"/>
      <c r="Q305" s="712"/>
    </row>
    <row r="306" spans="1:17" ht="14.4" customHeight="1" x14ac:dyDescent="0.3">
      <c r="A306" s="679" t="s">
        <v>507</v>
      </c>
      <c r="B306" s="670" t="s">
        <v>2665</v>
      </c>
      <c r="C306" s="670" t="s">
        <v>2341</v>
      </c>
      <c r="D306" s="670" t="s">
        <v>2729</v>
      </c>
      <c r="E306" s="670" t="s">
        <v>2725</v>
      </c>
      <c r="F306" s="238">
        <v>2</v>
      </c>
      <c r="G306" s="238">
        <v>604</v>
      </c>
      <c r="H306" s="238">
        <v>1</v>
      </c>
      <c r="I306" s="238">
        <v>302</v>
      </c>
      <c r="J306" s="238"/>
      <c r="K306" s="238"/>
      <c r="L306" s="238"/>
      <c r="M306" s="238"/>
      <c r="N306" s="238"/>
      <c r="O306" s="238"/>
      <c r="P306" s="681"/>
      <c r="Q306" s="712"/>
    </row>
    <row r="307" spans="1:17" ht="14.4" customHeight="1" x14ac:dyDescent="0.3">
      <c r="A307" s="679" t="s">
        <v>507</v>
      </c>
      <c r="B307" s="670" t="s">
        <v>2665</v>
      </c>
      <c r="C307" s="670" t="s">
        <v>2341</v>
      </c>
      <c r="D307" s="670" t="s">
        <v>2730</v>
      </c>
      <c r="E307" s="670" t="s">
        <v>2725</v>
      </c>
      <c r="F307" s="238">
        <v>2</v>
      </c>
      <c r="G307" s="238">
        <v>724</v>
      </c>
      <c r="H307" s="238">
        <v>1</v>
      </c>
      <c r="I307" s="238">
        <v>362</v>
      </c>
      <c r="J307" s="238"/>
      <c r="K307" s="238"/>
      <c r="L307" s="238"/>
      <c r="M307" s="238"/>
      <c r="N307" s="238"/>
      <c r="O307" s="238"/>
      <c r="P307" s="681"/>
      <c r="Q307" s="712"/>
    </row>
    <row r="308" spans="1:17" ht="14.4" customHeight="1" x14ac:dyDescent="0.3">
      <c r="A308" s="679" t="s">
        <v>507</v>
      </c>
      <c r="B308" s="670" t="s">
        <v>2665</v>
      </c>
      <c r="C308" s="670" t="s">
        <v>2341</v>
      </c>
      <c r="D308" s="670" t="s">
        <v>2731</v>
      </c>
      <c r="E308" s="670" t="s">
        <v>2725</v>
      </c>
      <c r="F308" s="238">
        <v>1</v>
      </c>
      <c r="G308" s="238">
        <v>404</v>
      </c>
      <c r="H308" s="238">
        <v>1</v>
      </c>
      <c r="I308" s="238">
        <v>404</v>
      </c>
      <c r="J308" s="238"/>
      <c r="K308" s="238"/>
      <c r="L308" s="238"/>
      <c r="M308" s="238"/>
      <c r="N308" s="238"/>
      <c r="O308" s="238"/>
      <c r="P308" s="681"/>
      <c r="Q308" s="712"/>
    </row>
    <row r="309" spans="1:17" ht="14.4" customHeight="1" x14ac:dyDescent="0.3">
      <c r="A309" s="679" t="s">
        <v>507</v>
      </c>
      <c r="B309" s="670" t="s">
        <v>2665</v>
      </c>
      <c r="C309" s="670" t="s">
        <v>2341</v>
      </c>
      <c r="D309" s="670" t="s">
        <v>2732</v>
      </c>
      <c r="E309" s="670" t="s">
        <v>2725</v>
      </c>
      <c r="F309" s="238">
        <v>1</v>
      </c>
      <c r="G309" s="238">
        <v>518</v>
      </c>
      <c r="H309" s="238">
        <v>1</v>
      </c>
      <c r="I309" s="238">
        <v>518</v>
      </c>
      <c r="J309" s="238"/>
      <c r="K309" s="238"/>
      <c r="L309" s="238"/>
      <c r="M309" s="238"/>
      <c r="N309" s="238"/>
      <c r="O309" s="238"/>
      <c r="P309" s="681"/>
      <c r="Q309" s="712"/>
    </row>
    <row r="310" spans="1:17" ht="14.4" customHeight="1" x14ac:dyDescent="0.3">
      <c r="A310" s="679" t="s">
        <v>507</v>
      </c>
      <c r="B310" s="670" t="s">
        <v>2665</v>
      </c>
      <c r="C310" s="670" t="s">
        <v>2341</v>
      </c>
      <c r="D310" s="670" t="s">
        <v>2733</v>
      </c>
      <c r="E310" s="670" t="s">
        <v>2734</v>
      </c>
      <c r="F310" s="238">
        <v>1</v>
      </c>
      <c r="G310" s="238">
        <v>912580.36</v>
      </c>
      <c r="H310" s="238">
        <v>1</v>
      </c>
      <c r="I310" s="238">
        <v>912580.36</v>
      </c>
      <c r="J310" s="238"/>
      <c r="K310" s="238"/>
      <c r="L310" s="238"/>
      <c r="M310" s="238"/>
      <c r="N310" s="238"/>
      <c r="O310" s="238"/>
      <c r="P310" s="681"/>
      <c r="Q310" s="712"/>
    </row>
    <row r="311" spans="1:17" ht="14.4" customHeight="1" x14ac:dyDescent="0.3">
      <c r="A311" s="679" t="s">
        <v>507</v>
      </c>
      <c r="B311" s="670" t="s">
        <v>2665</v>
      </c>
      <c r="C311" s="670" t="s">
        <v>2341</v>
      </c>
      <c r="D311" s="670" t="s">
        <v>2504</v>
      </c>
      <c r="E311" s="670" t="s">
        <v>2453</v>
      </c>
      <c r="F311" s="238">
        <v>8</v>
      </c>
      <c r="G311" s="238">
        <v>33163.599999999999</v>
      </c>
      <c r="H311" s="238">
        <v>1</v>
      </c>
      <c r="I311" s="238">
        <v>4145.45</v>
      </c>
      <c r="J311" s="238"/>
      <c r="K311" s="238"/>
      <c r="L311" s="238"/>
      <c r="M311" s="238"/>
      <c r="N311" s="238"/>
      <c r="O311" s="238"/>
      <c r="P311" s="681"/>
      <c r="Q311" s="712"/>
    </row>
    <row r="312" spans="1:17" ht="14.4" customHeight="1" x14ac:dyDescent="0.3">
      <c r="A312" s="679" t="s">
        <v>507</v>
      </c>
      <c r="B312" s="670" t="s">
        <v>2665</v>
      </c>
      <c r="C312" s="670" t="s">
        <v>2234</v>
      </c>
      <c r="D312" s="670" t="s">
        <v>2735</v>
      </c>
      <c r="E312" s="670" t="s">
        <v>2736</v>
      </c>
      <c r="F312" s="238">
        <v>19</v>
      </c>
      <c r="G312" s="238">
        <v>607164</v>
      </c>
      <c r="H312" s="238">
        <v>1</v>
      </c>
      <c r="I312" s="238">
        <v>31956</v>
      </c>
      <c r="J312" s="238">
        <v>11</v>
      </c>
      <c r="K312" s="238">
        <v>351622</v>
      </c>
      <c r="L312" s="238">
        <v>0.57912195057677995</v>
      </c>
      <c r="M312" s="238">
        <v>31965.636363636364</v>
      </c>
      <c r="N312" s="238">
        <v>12</v>
      </c>
      <c r="O312" s="238">
        <v>383592</v>
      </c>
      <c r="P312" s="681">
        <v>0.63177658754471611</v>
      </c>
      <c r="Q312" s="712">
        <v>31966</v>
      </c>
    </row>
    <row r="313" spans="1:17" ht="14.4" customHeight="1" x14ac:dyDescent="0.3">
      <c r="A313" s="679" t="s">
        <v>507</v>
      </c>
      <c r="B313" s="670" t="s">
        <v>2665</v>
      </c>
      <c r="C313" s="670" t="s">
        <v>2234</v>
      </c>
      <c r="D313" s="670" t="s">
        <v>2737</v>
      </c>
      <c r="E313" s="670" t="s">
        <v>2738</v>
      </c>
      <c r="F313" s="238">
        <v>93</v>
      </c>
      <c r="G313" s="238">
        <v>1105491</v>
      </c>
      <c r="H313" s="238">
        <v>1</v>
      </c>
      <c r="I313" s="238">
        <v>11887</v>
      </c>
      <c r="J313" s="238">
        <v>133</v>
      </c>
      <c r="K313" s="238">
        <v>1582173</v>
      </c>
      <c r="L313" s="238">
        <v>1.4311948265521837</v>
      </c>
      <c r="M313" s="238">
        <v>11896.037593984962</v>
      </c>
      <c r="N313" s="238">
        <v>87</v>
      </c>
      <c r="O313" s="238">
        <v>1035039</v>
      </c>
      <c r="P313" s="681">
        <v>0.93627085159444989</v>
      </c>
      <c r="Q313" s="712">
        <v>11897</v>
      </c>
    </row>
    <row r="314" spans="1:17" ht="14.4" customHeight="1" x14ac:dyDescent="0.3">
      <c r="A314" s="679" t="s">
        <v>507</v>
      </c>
      <c r="B314" s="670" t="s">
        <v>2665</v>
      </c>
      <c r="C314" s="670" t="s">
        <v>2234</v>
      </c>
      <c r="D314" s="670" t="s">
        <v>2739</v>
      </c>
      <c r="E314" s="670" t="s">
        <v>2740</v>
      </c>
      <c r="F314" s="238">
        <v>7</v>
      </c>
      <c r="G314" s="238">
        <v>5584</v>
      </c>
      <c r="H314" s="238">
        <v>1</v>
      </c>
      <c r="I314" s="238">
        <v>797.71428571428567</v>
      </c>
      <c r="J314" s="238">
        <v>6</v>
      </c>
      <c r="K314" s="238">
        <v>4830</v>
      </c>
      <c r="L314" s="238">
        <v>0.86497134670487108</v>
      </c>
      <c r="M314" s="238">
        <v>805</v>
      </c>
      <c r="N314" s="238">
        <v>3</v>
      </c>
      <c r="O314" s="238">
        <v>2418</v>
      </c>
      <c r="P314" s="681">
        <v>0.43302292263610315</v>
      </c>
      <c r="Q314" s="712">
        <v>806</v>
      </c>
    </row>
    <row r="315" spans="1:17" ht="14.4" customHeight="1" x14ac:dyDescent="0.3">
      <c r="A315" s="679" t="s">
        <v>507</v>
      </c>
      <c r="B315" s="670" t="s">
        <v>2665</v>
      </c>
      <c r="C315" s="670" t="s">
        <v>2234</v>
      </c>
      <c r="D315" s="670" t="s">
        <v>2569</v>
      </c>
      <c r="E315" s="670" t="s">
        <v>2570</v>
      </c>
      <c r="F315" s="238">
        <v>0</v>
      </c>
      <c r="G315" s="238">
        <v>0</v>
      </c>
      <c r="H315" s="238"/>
      <c r="I315" s="238"/>
      <c r="J315" s="238">
        <v>0</v>
      </c>
      <c r="K315" s="238">
        <v>0</v>
      </c>
      <c r="L315" s="238"/>
      <c r="M315" s="238"/>
      <c r="N315" s="238">
        <v>0</v>
      </c>
      <c r="O315" s="238">
        <v>0</v>
      </c>
      <c r="P315" s="681"/>
      <c r="Q315" s="712"/>
    </row>
    <row r="316" spans="1:17" ht="14.4" customHeight="1" x14ac:dyDescent="0.3">
      <c r="A316" s="679" t="s">
        <v>507</v>
      </c>
      <c r="B316" s="670" t="s">
        <v>2665</v>
      </c>
      <c r="C316" s="670" t="s">
        <v>2234</v>
      </c>
      <c r="D316" s="670" t="s">
        <v>2571</v>
      </c>
      <c r="E316" s="670" t="s">
        <v>2572</v>
      </c>
      <c r="F316" s="238">
        <v>122</v>
      </c>
      <c r="G316" s="238">
        <v>0</v>
      </c>
      <c r="H316" s="238"/>
      <c r="I316" s="238">
        <v>0</v>
      </c>
      <c r="J316" s="238">
        <v>102</v>
      </c>
      <c r="K316" s="238">
        <v>0</v>
      </c>
      <c r="L316" s="238"/>
      <c r="M316" s="238">
        <v>0</v>
      </c>
      <c r="N316" s="238">
        <v>64</v>
      </c>
      <c r="O316" s="238">
        <v>0</v>
      </c>
      <c r="P316" s="681"/>
      <c r="Q316" s="712">
        <v>0</v>
      </c>
    </row>
    <row r="317" spans="1:17" ht="14.4" customHeight="1" x14ac:dyDescent="0.3">
      <c r="A317" s="679" t="s">
        <v>507</v>
      </c>
      <c r="B317" s="670" t="s">
        <v>2665</v>
      </c>
      <c r="C317" s="670" t="s">
        <v>2234</v>
      </c>
      <c r="D317" s="670" t="s">
        <v>2249</v>
      </c>
      <c r="E317" s="670" t="s">
        <v>2250</v>
      </c>
      <c r="F317" s="238">
        <v>158</v>
      </c>
      <c r="G317" s="238">
        <v>0</v>
      </c>
      <c r="H317" s="238"/>
      <c r="I317" s="238">
        <v>0</v>
      </c>
      <c r="J317" s="238">
        <v>50</v>
      </c>
      <c r="K317" s="238">
        <v>0</v>
      </c>
      <c r="L317" s="238"/>
      <c r="M317" s="238">
        <v>0</v>
      </c>
      <c r="N317" s="238"/>
      <c r="O317" s="238"/>
      <c r="P317" s="681"/>
      <c r="Q317" s="712"/>
    </row>
    <row r="318" spans="1:17" ht="14.4" customHeight="1" x14ac:dyDescent="0.3">
      <c r="A318" s="679" t="s">
        <v>507</v>
      </c>
      <c r="B318" s="670" t="s">
        <v>2665</v>
      </c>
      <c r="C318" s="670" t="s">
        <v>2234</v>
      </c>
      <c r="D318" s="670" t="s">
        <v>2741</v>
      </c>
      <c r="E318" s="670" t="s">
        <v>2742</v>
      </c>
      <c r="F318" s="238">
        <v>3</v>
      </c>
      <c r="G318" s="238">
        <v>0</v>
      </c>
      <c r="H318" s="238"/>
      <c r="I318" s="238">
        <v>0</v>
      </c>
      <c r="J318" s="238">
        <v>2</v>
      </c>
      <c r="K318" s="238">
        <v>0</v>
      </c>
      <c r="L318" s="238"/>
      <c r="M318" s="238">
        <v>0</v>
      </c>
      <c r="N318" s="238">
        <v>6</v>
      </c>
      <c r="O318" s="238">
        <v>0</v>
      </c>
      <c r="P318" s="681"/>
      <c r="Q318" s="712">
        <v>0</v>
      </c>
    </row>
    <row r="319" spans="1:17" ht="14.4" customHeight="1" x14ac:dyDescent="0.3">
      <c r="A319" s="679" t="s">
        <v>507</v>
      </c>
      <c r="B319" s="670" t="s">
        <v>2665</v>
      </c>
      <c r="C319" s="670" t="s">
        <v>2234</v>
      </c>
      <c r="D319" s="670" t="s">
        <v>2743</v>
      </c>
      <c r="E319" s="670" t="s">
        <v>2744</v>
      </c>
      <c r="F319" s="238">
        <v>11</v>
      </c>
      <c r="G319" s="238">
        <v>0</v>
      </c>
      <c r="H319" s="238"/>
      <c r="I319" s="238">
        <v>0</v>
      </c>
      <c r="J319" s="238">
        <v>7</v>
      </c>
      <c r="K319" s="238">
        <v>0</v>
      </c>
      <c r="L319" s="238"/>
      <c r="M319" s="238">
        <v>0</v>
      </c>
      <c r="N319" s="238">
        <v>11</v>
      </c>
      <c r="O319" s="238">
        <v>0</v>
      </c>
      <c r="P319" s="681"/>
      <c r="Q319" s="712">
        <v>0</v>
      </c>
    </row>
    <row r="320" spans="1:17" ht="14.4" customHeight="1" x14ac:dyDescent="0.3">
      <c r="A320" s="679" t="s">
        <v>507</v>
      </c>
      <c r="B320" s="670" t="s">
        <v>2665</v>
      </c>
      <c r="C320" s="670" t="s">
        <v>2234</v>
      </c>
      <c r="D320" s="670" t="s">
        <v>2573</v>
      </c>
      <c r="E320" s="670" t="s">
        <v>2574</v>
      </c>
      <c r="F320" s="238">
        <v>5</v>
      </c>
      <c r="G320" s="238">
        <v>0</v>
      </c>
      <c r="H320" s="238"/>
      <c r="I320" s="238">
        <v>0</v>
      </c>
      <c r="J320" s="238">
        <v>7</v>
      </c>
      <c r="K320" s="238">
        <v>0</v>
      </c>
      <c r="L320" s="238"/>
      <c r="M320" s="238">
        <v>0</v>
      </c>
      <c r="N320" s="238">
        <v>12</v>
      </c>
      <c r="O320" s="238">
        <v>0</v>
      </c>
      <c r="P320" s="681"/>
      <c r="Q320" s="712">
        <v>0</v>
      </c>
    </row>
    <row r="321" spans="1:17" ht="14.4" customHeight="1" x14ac:dyDescent="0.3">
      <c r="A321" s="679" t="s">
        <v>507</v>
      </c>
      <c r="B321" s="670" t="s">
        <v>2665</v>
      </c>
      <c r="C321" s="670" t="s">
        <v>2234</v>
      </c>
      <c r="D321" s="670" t="s">
        <v>2577</v>
      </c>
      <c r="E321" s="670" t="s">
        <v>2578</v>
      </c>
      <c r="F321" s="238">
        <v>35</v>
      </c>
      <c r="G321" s="238">
        <v>0</v>
      </c>
      <c r="H321" s="238"/>
      <c r="I321" s="238">
        <v>0</v>
      </c>
      <c r="J321" s="238">
        <v>158</v>
      </c>
      <c r="K321" s="238">
        <v>0</v>
      </c>
      <c r="L321" s="238"/>
      <c r="M321" s="238">
        <v>0</v>
      </c>
      <c r="N321" s="238"/>
      <c r="O321" s="238"/>
      <c r="P321" s="681"/>
      <c r="Q321" s="712"/>
    </row>
    <row r="322" spans="1:17" ht="14.4" customHeight="1" x14ac:dyDescent="0.3">
      <c r="A322" s="679" t="s">
        <v>507</v>
      </c>
      <c r="B322" s="670" t="s">
        <v>2665</v>
      </c>
      <c r="C322" s="670" t="s">
        <v>2234</v>
      </c>
      <c r="D322" s="670" t="s">
        <v>2255</v>
      </c>
      <c r="E322" s="670" t="s">
        <v>2256</v>
      </c>
      <c r="F322" s="238">
        <v>26</v>
      </c>
      <c r="G322" s="238">
        <v>8891</v>
      </c>
      <c r="H322" s="238">
        <v>1</v>
      </c>
      <c r="I322" s="238">
        <v>341.96153846153845</v>
      </c>
      <c r="J322" s="238">
        <v>21</v>
      </c>
      <c r="K322" s="238">
        <v>4872</v>
      </c>
      <c r="L322" s="238">
        <v>0.54796985715892477</v>
      </c>
      <c r="M322" s="238">
        <v>232</v>
      </c>
      <c r="N322" s="238">
        <v>40</v>
      </c>
      <c r="O322" s="238">
        <v>9280</v>
      </c>
      <c r="P322" s="681">
        <v>1.0437521088741424</v>
      </c>
      <c r="Q322" s="712">
        <v>232</v>
      </c>
    </row>
    <row r="323" spans="1:17" ht="14.4" customHeight="1" x14ac:dyDescent="0.3">
      <c r="A323" s="679" t="s">
        <v>507</v>
      </c>
      <c r="B323" s="670" t="s">
        <v>2665</v>
      </c>
      <c r="C323" s="670" t="s">
        <v>2234</v>
      </c>
      <c r="D323" s="670" t="s">
        <v>2745</v>
      </c>
      <c r="E323" s="670" t="s">
        <v>2744</v>
      </c>
      <c r="F323" s="238">
        <v>7</v>
      </c>
      <c r="G323" s="238">
        <v>0</v>
      </c>
      <c r="H323" s="238"/>
      <c r="I323" s="238">
        <v>0</v>
      </c>
      <c r="J323" s="238">
        <v>6</v>
      </c>
      <c r="K323" s="238">
        <v>0</v>
      </c>
      <c r="L323" s="238"/>
      <c r="M323" s="238">
        <v>0</v>
      </c>
      <c r="N323" s="238">
        <v>6</v>
      </c>
      <c r="O323" s="238">
        <v>0</v>
      </c>
      <c r="P323" s="681"/>
      <c r="Q323" s="712">
        <v>0</v>
      </c>
    </row>
    <row r="324" spans="1:17" ht="14.4" customHeight="1" x14ac:dyDescent="0.3">
      <c r="A324" s="679" t="s">
        <v>507</v>
      </c>
      <c r="B324" s="670" t="s">
        <v>2665</v>
      </c>
      <c r="C324" s="670" t="s">
        <v>2234</v>
      </c>
      <c r="D324" s="670" t="s">
        <v>2746</v>
      </c>
      <c r="E324" s="670" t="s">
        <v>2747</v>
      </c>
      <c r="F324" s="238">
        <v>4</v>
      </c>
      <c r="G324" s="238">
        <v>21864</v>
      </c>
      <c r="H324" s="238">
        <v>1</v>
      </c>
      <c r="I324" s="238">
        <v>5466</v>
      </c>
      <c r="J324" s="238">
        <v>11</v>
      </c>
      <c r="K324" s="238">
        <v>60228</v>
      </c>
      <c r="L324" s="238">
        <v>2.7546652030735457</v>
      </c>
      <c r="M324" s="238">
        <v>5475.272727272727</v>
      </c>
      <c r="N324" s="238">
        <v>23</v>
      </c>
      <c r="O324" s="238">
        <v>125948</v>
      </c>
      <c r="P324" s="681">
        <v>5.7605195755579945</v>
      </c>
      <c r="Q324" s="712">
        <v>5476</v>
      </c>
    </row>
    <row r="325" spans="1:17" ht="14.4" customHeight="1" x14ac:dyDescent="0.3">
      <c r="A325" s="679" t="s">
        <v>507</v>
      </c>
      <c r="B325" s="670" t="s">
        <v>2665</v>
      </c>
      <c r="C325" s="670" t="s">
        <v>2234</v>
      </c>
      <c r="D325" s="670" t="s">
        <v>2748</v>
      </c>
      <c r="E325" s="670" t="s">
        <v>2749</v>
      </c>
      <c r="F325" s="238">
        <v>74</v>
      </c>
      <c r="G325" s="238">
        <v>1772744</v>
      </c>
      <c r="H325" s="238">
        <v>1</v>
      </c>
      <c r="I325" s="238">
        <v>23956</v>
      </c>
      <c r="J325" s="238">
        <v>85</v>
      </c>
      <c r="K325" s="238">
        <v>2037006</v>
      </c>
      <c r="L325" s="238">
        <v>1.1490694651906874</v>
      </c>
      <c r="M325" s="238">
        <v>23964.776470588236</v>
      </c>
      <c r="N325" s="238">
        <v>44</v>
      </c>
      <c r="O325" s="238">
        <v>1054504</v>
      </c>
      <c r="P325" s="681">
        <v>0.59484279738078372</v>
      </c>
      <c r="Q325" s="712">
        <v>23966</v>
      </c>
    </row>
    <row r="326" spans="1:17" ht="14.4" customHeight="1" x14ac:dyDescent="0.3">
      <c r="A326" s="679" t="s">
        <v>507</v>
      </c>
      <c r="B326" s="670" t="s">
        <v>2665</v>
      </c>
      <c r="C326" s="670" t="s">
        <v>2234</v>
      </c>
      <c r="D326" s="670" t="s">
        <v>2750</v>
      </c>
      <c r="E326" s="670" t="s">
        <v>2751</v>
      </c>
      <c r="F326" s="238">
        <v>40</v>
      </c>
      <c r="G326" s="238">
        <v>266640</v>
      </c>
      <c r="H326" s="238">
        <v>1</v>
      </c>
      <c r="I326" s="238">
        <v>6666</v>
      </c>
      <c r="J326" s="238">
        <v>73</v>
      </c>
      <c r="K326" s="238">
        <v>487240</v>
      </c>
      <c r="L326" s="238">
        <v>1.8273327332733273</v>
      </c>
      <c r="M326" s="238">
        <v>6674.5205479452052</v>
      </c>
      <c r="N326" s="238">
        <v>48</v>
      </c>
      <c r="O326" s="238">
        <v>320448</v>
      </c>
      <c r="P326" s="681">
        <v>1.2018001800180018</v>
      </c>
      <c r="Q326" s="712">
        <v>6676</v>
      </c>
    </row>
    <row r="327" spans="1:17" ht="14.4" customHeight="1" x14ac:dyDescent="0.3">
      <c r="A327" s="679" t="s">
        <v>507</v>
      </c>
      <c r="B327" s="670" t="s">
        <v>2665</v>
      </c>
      <c r="C327" s="670" t="s">
        <v>2234</v>
      </c>
      <c r="D327" s="670" t="s">
        <v>2752</v>
      </c>
      <c r="E327" s="670" t="s">
        <v>2744</v>
      </c>
      <c r="F327" s="238">
        <v>3</v>
      </c>
      <c r="G327" s="238">
        <v>0</v>
      </c>
      <c r="H327" s="238"/>
      <c r="I327" s="238">
        <v>0</v>
      </c>
      <c r="J327" s="238">
        <v>1</v>
      </c>
      <c r="K327" s="238">
        <v>0</v>
      </c>
      <c r="L327" s="238"/>
      <c r="M327" s="238">
        <v>0</v>
      </c>
      <c r="N327" s="238">
        <v>2</v>
      </c>
      <c r="O327" s="238">
        <v>0</v>
      </c>
      <c r="P327" s="681"/>
      <c r="Q327" s="712">
        <v>0</v>
      </c>
    </row>
    <row r="328" spans="1:17" ht="14.4" customHeight="1" x14ac:dyDescent="0.3">
      <c r="A328" s="679" t="s">
        <v>507</v>
      </c>
      <c r="B328" s="670" t="s">
        <v>2665</v>
      </c>
      <c r="C328" s="670" t="s">
        <v>2234</v>
      </c>
      <c r="D328" s="670" t="s">
        <v>2753</v>
      </c>
      <c r="E328" s="670" t="s">
        <v>2754</v>
      </c>
      <c r="F328" s="238">
        <v>81</v>
      </c>
      <c r="G328" s="238">
        <v>2264436</v>
      </c>
      <c r="H328" s="238">
        <v>1</v>
      </c>
      <c r="I328" s="238">
        <v>27956</v>
      </c>
      <c r="J328" s="238">
        <v>57</v>
      </c>
      <c r="K328" s="238">
        <v>1594022</v>
      </c>
      <c r="L328" s="238">
        <v>0.70393775756965526</v>
      </c>
      <c r="M328" s="238">
        <v>27965.298245614034</v>
      </c>
      <c r="N328" s="238">
        <v>72</v>
      </c>
      <c r="O328" s="238">
        <v>2013552</v>
      </c>
      <c r="P328" s="681">
        <v>0.88920684885772883</v>
      </c>
      <c r="Q328" s="712">
        <v>27966</v>
      </c>
    </row>
    <row r="329" spans="1:17" ht="14.4" customHeight="1" x14ac:dyDescent="0.3">
      <c r="A329" s="679" t="s">
        <v>507</v>
      </c>
      <c r="B329" s="670" t="s">
        <v>2665</v>
      </c>
      <c r="C329" s="670" t="s">
        <v>2234</v>
      </c>
      <c r="D329" s="670" t="s">
        <v>2599</v>
      </c>
      <c r="E329" s="670" t="s">
        <v>2600</v>
      </c>
      <c r="F329" s="238">
        <v>33</v>
      </c>
      <c r="G329" s="238">
        <v>22299</v>
      </c>
      <c r="H329" s="238">
        <v>1</v>
      </c>
      <c r="I329" s="238">
        <v>675.72727272727275</v>
      </c>
      <c r="J329" s="238">
        <v>30</v>
      </c>
      <c r="K329" s="238">
        <v>11316</v>
      </c>
      <c r="L329" s="238">
        <v>0.50746670254271486</v>
      </c>
      <c r="M329" s="238">
        <v>377.2</v>
      </c>
      <c r="N329" s="238">
        <v>46</v>
      </c>
      <c r="O329" s="238">
        <v>15824</v>
      </c>
      <c r="P329" s="681">
        <v>0.70962823444997536</v>
      </c>
      <c r="Q329" s="712">
        <v>344</v>
      </c>
    </row>
    <row r="330" spans="1:17" ht="14.4" customHeight="1" x14ac:dyDescent="0.3">
      <c r="A330" s="679" t="s">
        <v>507</v>
      </c>
      <c r="B330" s="670" t="s">
        <v>2665</v>
      </c>
      <c r="C330" s="670" t="s">
        <v>2234</v>
      </c>
      <c r="D330" s="670" t="s">
        <v>2755</v>
      </c>
      <c r="E330" s="670" t="s">
        <v>2756</v>
      </c>
      <c r="F330" s="238"/>
      <c r="G330" s="238"/>
      <c r="H330" s="238"/>
      <c r="I330" s="238"/>
      <c r="J330" s="238"/>
      <c r="K330" s="238"/>
      <c r="L330" s="238"/>
      <c r="M330" s="238"/>
      <c r="N330" s="238">
        <v>1</v>
      </c>
      <c r="O330" s="238">
        <v>1110</v>
      </c>
      <c r="P330" s="681"/>
      <c r="Q330" s="712">
        <v>1110</v>
      </c>
    </row>
    <row r="331" spans="1:17" ht="14.4" customHeight="1" x14ac:dyDescent="0.3">
      <c r="A331" s="679" t="s">
        <v>507</v>
      </c>
      <c r="B331" s="670" t="s">
        <v>2665</v>
      </c>
      <c r="C331" s="670" t="s">
        <v>2234</v>
      </c>
      <c r="D331" s="670" t="s">
        <v>2619</v>
      </c>
      <c r="E331" s="670" t="s">
        <v>2620</v>
      </c>
      <c r="F331" s="238">
        <v>18</v>
      </c>
      <c r="G331" s="238">
        <v>0</v>
      </c>
      <c r="H331" s="238"/>
      <c r="I331" s="238">
        <v>0</v>
      </c>
      <c r="J331" s="238">
        <v>8</v>
      </c>
      <c r="K331" s="238">
        <v>0</v>
      </c>
      <c r="L331" s="238"/>
      <c r="M331" s="238">
        <v>0</v>
      </c>
      <c r="N331" s="238">
        <v>16</v>
      </c>
      <c r="O331" s="238">
        <v>0</v>
      </c>
      <c r="P331" s="681"/>
      <c r="Q331" s="712">
        <v>0</v>
      </c>
    </row>
    <row r="332" spans="1:17" ht="14.4" customHeight="1" x14ac:dyDescent="0.3">
      <c r="A332" s="679" t="s">
        <v>507</v>
      </c>
      <c r="B332" s="670" t="s">
        <v>2665</v>
      </c>
      <c r="C332" s="670" t="s">
        <v>2234</v>
      </c>
      <c r="D332" s="670" t="s">
        <v>2757</v>
      </c>
      <c r="E332" s="670" t="s">
        <v>2744</v>
      </c>
      <c r="F332" s="238"/>
      <c r="G332" s="238"/>
      <c r="H332" s="238"/>
      <c r="I332" s="238"/>
      <c r="J332" s="238">
        <v>2</v>
      </c>
      <c r="K332" s="238">
        <v>0</v>
      </c>
      <c r="L332" s="238"/>
      <c r="M332" s="238">
        <v>0</v>
      </c>
      <c r="N332" s="238"/>
      <c r="O332" s="238"/>
      <c r="P332" s="681"/>
      <c r="Q332" s="712"/>
    </row>
    <row r="333" spans="1:17" ht="14.4" customHeight="1" x14ac:dyDescent="0.3">
      <c r="A333" s="679" t="s">
        <v>507</v>
      </c>
      <c r="B333" s="670" t="s">
        <v>2758</v>
      </c>
      <c r="C333" s="670" t="s">
        <v>2234</v>
      </c>
      <c r="D333" s="670" t="s">
        <v>2759</v>
      </c>
      <c r="E333" s="670" t="s">
        <v>2760</v>
      </c>
      <c r="F333" s="238">
        <v>6</v>
      </c>
      <c r="G333" s="238">
        <v>14346</v>
      </c>
      <c r="H333" s="238">
        <v>1</v>
      </c>
      <c r="I333" s="238">
        <v>2391</v>
      </c>
      <c r="J333" s="238"/>
      <c r="K333" s="238"/>
      <c r="L333" s="238"/>
      <c r="M333" s="238"/>
      <c r="N333" s="238"/>
      <c r="O333" s="238"/>
      <c r="P333" s="681"/>
      <c r="Q333" s="712"/>
    </row>
    <row r="334" spans="1:17" ht="14.4" customHeight="1" x14ac:dyDescent="0.3">
      <c r="A334" s="679" t="s">
        <v>507</v>
      </c>
      <c r="B334" s="670" t="s">
        <v>2758</v>
      </c>
      <c r="C334" s="670" t="s">
        <v>2234</v>
      </c>
      <c r="D334" s="670" t="s">
        <v>2761</v>
      </c>
      <c r="E334" s="670" t="s">
        <v>2762</v>
      </c>
      <c r="F334" s="238">
        <v>2</v>
      </c>
      <c r="G334" s="238">
        <v>1186</v>
      </c>
      <c r="H334" s="238">
        <v>1</v>
      </c>
      <c r="I334" s="238">
        <v>593</v>
      </c>
      <c r="J334" s="238"/>
      <c r="K334" s="238"/>
      <c r="L334" s="238"/>
      <c r="M334" s="238"/>
      <c r="N334" s="238"/>
      <c r="O334" s="238"/>
      <c r="P334" s="681"/>
      <c r="Q334" s="712"/>
    </row>
    <row r="335" spans="1:17" ht="14.4" customHeight="1" x14ac:dyDescent="0.3">
      <c r="A335" s="679" t="s">
        <v>507</v>
      </c>
      <c r="B335" s="670" t="s">
        <v>2758</v>
      </c>
      <c r="C335" s="670" t="s">
        <v>2234</v>
      </c>
      <c r="D335" s="670" t="s">
        <v>2763</v>
      </c>
      <c r="E335" s="670" t="s">
        <v>2764</v>
      </c>
      <c r="F335" s="238"/>
      <c r="G335" s="238"/>
      <c r="H335" s="238"/>
      <c r="I335" s="238"/>
      <c r="J335" s="238"/>
      <c r="K335" s="238"/>
      <c r="L335" s="238"/>
      <c r="M335" s="238"/>
      <c r="N335" s="238">
        <v>1</v>
      </c>
      <c r="O335" s="238">
        <v>1446</v>
      </c>
      <c r="P335" s="681"/>
      <c r="Q335" s="712">
        <v>1446</v>
      </c>
    </row>
    <row r="336" spans="1:17" ht="14.4" customHeight="1" x14ac:dyDescent="0.3">
      <c r="A336" s="679" t="s">
        <v>507</v>
      </c>
      <c r="B336" s="670" t="s">
        <v>2758</v>
      </c>
      <c r="C336" s="670" t="s">
        <v>2234</v>
      </c>
      <c r="D336" s="670" t="s">
        <v>2765</v>
      </c>
      <c r="E336" s="670" t="s">
        <v>2766</v>
      </c>
      <c r="F336" s="238">
        <v>1</v>
      </c>
      <c r="G336" s="238">
        <v>3108</v>
      </c>
      <c r="H336" s="238">
        <v>1</v>
      </c>
      <c r="I336" s="238">
        <v>3108</v>
      </c>
      <c r="J336" s="238"/>
      <c r="K336" s="238"/>
      <c r="L336" s="238"/>
      <c r="M336" s="238"/>
      <c r="N336" s="238"/>
      <c r="O336" s="238"/>
      <c r="P336" s="681"/>
      <c r="Q336" s="712"/>
    </row>
    <row r="337" spans="1:17" ht="14.4" customHeight="1" x14ac:dyDescent="0.3">
      <c r="A337" s="679" t="s">
        <v>507</v>
      </c>
      <c r="B337" s="670" t="s">
        <v>2767</v>
      </c>
      <c r="C337" s="670" t="s">
        <v>2234</v>
      </c>
      <c r="D337" s="670" t="s">
        <v>2768</v>
      </c>
      <c r="E337" s="670" t="s">
        <v>2769</v>
      </c>
      <c r="F337" s="238"/>
      <c r="G337" s="238"/>
      <c r="H337" s="238"/>
      <c r="I337" s="238"/>
      <c r="J337" s="238"/>
      <c r="K337" s="238"/>
      <c r="L337" s="238"/>
      <c r="M337" s="238"/>
      <c r="N337" s="238">
        <v>11</v>
      </c>
      <c r="O337" s="238">
        <v>3509</v>
      </c>
      <c r="P337" s="681"/>
      <c r="Q337" s="712">
        <v>319</v>
      </c>
    </row>
    <row r="338" spans="1:17" ht="14.4" customHeight="1" x14ac:dyDescent="0.3">
      <c r="A338" s="679" t="s">
        <v>507</v>
      </c>
      <c r="B338" s="670" t="s">
        <v>2767</v>
      </c>
      <c r="C338" s="670" t="s">
        <v>2234</v>
      </c>
      <c r="D338" s="670" t="s">
        <v>2770</v>
      </c>
      <c r="E338" s="670" t="s">
        <v>2771</v>
      </c>
      <c r="F338" s="238"/>
      <c r="G338" s="238"/>
      <c r="H338" s="238"/>
      <c r="I338" s="238"/>
      <c r="J338" s="238"/>
      <c r="K338" s="238"/>
      <c r="L338" s="238"/>
      <c r="M338" s="238"/>
      <c r="N338" s="238">
        <v>1</v>
      </c>
      <c r="O338" s="238">
        <v>2936</v>
      </c>
      <c r="P338" s="681"/>
      <c r="Q338" s="712">
        <v>2936</v>
      </c>
    </row>
    <row r="339" spans="1:17" ht="14.4" customHeight="1" x14ac:dyDescent="0.3">
      <c r="A339" s="679" t="s">
        <v>507</v>
      </c>
      <c r="B339" s="670" t="s">
        <v>2767</v>
      </c>
      <c r="C339" s="670" t="s">
        <v>2234</v>
      </c>
      <c r="D339" s="670" t="s">
        <v>2601</v>
      </c>
      <c r="E339" s="670" t="s">
        <v>2602</v>
      </c>
      <c r="F339" s="238"/>
      <c r="G339" s="238"/>
      <c r="H339" s="238"/>
      <c r="I339" s="238"/>
      <c r="J339" s="238">
        <v>1</v>
      </c>
      <c r="K339" s="238">
        <v>1769</v>
      </c>
      <c r="L339" s="238"/>
      <c r="M339" s="238">
        <v>1769</v>
      </c>
      <c r="N339" s="238">
        <v>15</v>
      </c>
      <c r="O339" s="238">
        <v>26535</v>
      </c>
      <c r="P339" s="681"/>
      <c r="Q339" s="712">
        <v>1769</v>
      </c>
    </row>
    <row r="340" spans="1:17" ht="14.4" customHeight="1" x14ac:dyDescent="0.3">
      <c r="A340" s="679" t="s">
        <v>507</v>
      </c>
      <c r="B340" s="670" t="s">
        <v>2271</v>
      </c>
      <c r="C340" s="670" t="s">
        <v>2234</v>
      </c>
      <c r="D340" s="670" t="s">
        <v>2272</v>
      </c>
      <c r="E340" s="670" t="s">
        <v>2273</v>
      </c>
      <c r="F340" s="238"/>
      <c r="G340" s="238"/>
      <c r="H340" s="238"/>
      <c r="I340" s="238"/>
      <c r="J340" s="238"/>
      <c r="K340" s="238"/>
      <c r="L340" s="238"/>
      <c r="M340" s="238"/>
      <c r="N340" s="238">
        <v>11</v>
      </c>
      <c r="O340" s="238">
        <v>55</v>
      </c>
      <c r="P340" s="681"/>
      <c r="Q340" s="712">
        <v>5</v>
      </c>
    </row>
    <row r="341" spans="1:17" ht="14.4" customHeight="1" x14ac:dyDescent="0.3">
      <c r="A341" s="679" t="s">
        <v>507</v>
      </c>
      <c r="B341" s="670" t="s">
        <v>2271</v>
      </c>
      <c r="C341" s="670" t="s">
        <v>2234</v>
      </c>
      <c r="D341" s="670" t="s">
        <v>2772</v>
      </c>
      <c r="E341" s="670" t="s">
        <v>2773</v>
      </c>
      <c r="F341" s="238"/>
      <c r="G341" s="238"/>
      <c r="H341" s="238"/>
      <c r="I341" s="238"/>
      <c r="J341" s="238"/>
      <c r="K341" s="238"/>
      <c r="L341" s="238"/>
      <c r="M341" s="238"/>
      <c r="N341" s="238">
        <v>1</v>
      </c>
      <c r="O341" s="238">
        <v>606</v>
      </c>
      <c r="P341" s="681"/>
      <c r="Q341" s="712">
        <v>606</v>
      </c>
    </row>
    <row r="342" spans="1:17" ht="14.4" customHeight="1" x14ac:dyDescent="0.3">
      <c r="A342" s="679" t="s">
        <v>507</v>
      </c>
      <c r="B342" s="670" t="s">
        <v>2271</v>
      </c>
      <c r="C342" s="670" t="s">
        <v>2234</v>
      </c>
      <c r="D342" s="670" t="s">
        <v>2774</v>
      </c>
      <c r="E342" s="670" t="s">
        <v>2773</v>
      </c>
      <c r="F342" s="238"/>
      <c r="G342" s="238"/>
      <c r="H342" s="238"/>
      <c r="I342" s="238"/>
      <c r="J342" s="238"/>
      <c r="K342" s="238"/>
      <c r="L342" s="238"/>
      <c r="M342" s="238"/>
      <c r="N342" s="238">
        <v>1</v>
      </c>
      <c r="O342" s="238">
        <v>520</v>
      </c>
      <c r="P342" s="681"/>
      <c r="Q342" s="712">
        <v>520</v>
      </c>
    </row>
    <row r="343" spans="1:17" ht="14.4" customHeight="1" x14ac:dyDescent="0.3">
      <c r="A343" s="679" t="s">
        <v>507</v>
      </c>
      <c r="B343" s="670" t="s">
        <v>2775</v>
      </c>
      <c r="C343" s="670" t="s">
        <v>2234</v>
      </c>
      <c r="D343" s="670" t="s">
        <v>2776</v>
      </c>
      <c r="E343" s="670" t="s">
        <v>2777</v>
      </c>
      <c r="F343" s="238">
        <v>3</v>
      </c>
      <c r="G343" s="238">
        <v>1227</v>
      </c>
      <c r="H343" s="238">
        <v>1</v>
      </c>
      <c r="I343" s="238">
        <v>409</v>
      </c>
      <c r="J343" s="238"/>
      <c r="K343" s="238"/>
      <c r="L343" s="238"/>
      <c r="M343" s="238"/>
      <c r="N343" s="238">
        <v>7</v>
      </c>
      <c r="O343" s="238">
        <v>2884</v>
      </c>
      <c r="P343" s="681">
        <v>2.3504482477587612</v>
      </c>
      <c r="Q343" s="712">
        <v>412</v>
      </c>
    </row>
    <row r="344" spans="1:17" ht="14.4" customHeight="1" x14ac:dyDescent="0.3">
      <c r="A344" s="679" t="s">
        <v>507</v>
      </c>
      <c r="B344" s="670" t="s">
        <v>2775</v>
      </c>
      <c r="C344" s="670" t="s">
        <v>2234</v>
      </c>
      <c r="D344" s="670" t="s">
        <v>2567</v>
      </c>
      <c r="E344" s="670" t="s">
        <v>2568</v>
      </c>
      <c r="F344" s="238"/>
      <c r="G344" s="238"/>
      <c r="H344" s="238"/>
      <c r="I344" s="238"/>
      <c r="J344" s="238"/>
      <c r="K344" s="238"/>
      <c r="L344" s="238"/>
      <c r="M344" s="238"/>
      <c r="N344" s="238">
        <v>1</v>
      </c>
      <c r="O344" s="238">
        <v>284</v>
      </c>
      <c r="P344" s="681"/>
      <c r="Q344" s="712">
        <v>284</v>
      </c>
    </row>
    <row r="345" spans="1:17" ht="14.4" customHeight="1" x14ac:dyDescent="0.3">
      <c r="A345" s="679" t="s">
        <v>507</v>
      </c>
      <c r="B345" s="670" t="s">
        <v>2775</v>
      </c>
      <c r="C345" s="670" t="s">
        <v>2234</v>
      </c>
      <c r="D345" s="670" t="s">
        <v>2778</v>
      </c>
      <c r="E345" s="670" t="s">
        <v>2779</v>
      </c>
      <c r="F345" s="238">
        <v>3</v>
      </c>
      <c r="G345" s="238">
        <v>2580</v>
      </c>
      <c r="H345" s="238">
        <v>1</v>
      </c>
      <c r="I345" s="238">
        <v>860</v>
      </c>
      <c r="J345" s="238"/>
      <c r="K345" s="238"/>
      <c r="L345" s="238"/>
      <c r="M345" s="238"/>
      <c r="N345" s="238">
        <v>3</v>
      </c>
      <c r="O345" s="238">
        <v>2601</v>
      </c>
      <c r="P345" s="681">
        <v>1.008139534883721</v>
      </c>
      <c r="Q345" s="712">
        <v>867</v>
      </c>
    </row>
    <row r="346" spans="1:17" ht="14.4" customHeight="1" x14ac:dyDescent="0.3">
      <c r="A346" s="679" t="s">
        <v>507</v>
      </c>
      <c r="B346" s="670" t="s">
        <v>2775</v>
      </c>
      <c r="C346" s="670" t="s">
        <v>2234</v>
      </c>
      <c r="D346" s="670" t="s">
        <v>2780</v>
      </c>
      <c r="E346" s="670" t="s">
        <v>2781</v>
      </c>
      <c r="F346" s="238"/>
      <c r="G346" s="238"/>
      <c r="H346" s="238"/>
      <c r="I346" s="238"/>
      <c r="J346" s="238"/>
      <c r="K346" s="238"/>
      <c r="L346" s="238"/>
      <c r="M346" s="238"/>
      <c r="N346" s="238">
        <v>1</v>
      </c>
      <c r="O346" s="238">
        <v>1834</v>
      </c>
      <c r="P346" s="681"/>
      <c r="Q346" s="712">
        <v>1834</v>
      </c>
    </row>
    <row r="347" spans="1:17" ht="14.4" customHeight="1" x14ac:dyDescent="0.3">
      <c r="A347" s="679" t="s">
        <v>507</v>
      </c>
      <c r="B347" s="670" t="s">
        <v>2775</v>
      </c>
      <c r="C347" s="670" t="s">
        <v>2234</v>
      </c>
      <c r="D347" s="670" t="s">
        <v>2782</v>
      </c>
      <c r="E347" s="670" t="s">
        <v>2783</v>
      </c>
      <c r="F347" s="238">
        <v>6</v>
      </c>
      <c r="G347" s="238">
        <v>18072</v>
      </c>
      <c r="H347" s="238">
        <v>1</v>
      </c>
      <c r="I347" s="238">
        <v>3012</v>
      </c>
      <c r="J347" s="238"/>
      <c r="K347" s="238"/>
      <c r="L347" s="238"/>
      <c r="M347" s="238"/>
      <c r="N347" s="238">
        <v>7</v>
      </c>
      <c r="O347" s="238">
        <v>21245</v>
      </c>
      <c r="P347" s="681">
        <v>1.1755754758742807</v>
      </c>
      <c r="Q347" s="712">
        <v>3035</v>
      </c>
    </row>
    <row r="348" spans="1:17" ht="14.4" customHeight="1" x14ac:dyDescent="0.3">
      <c r="A348" s="679" t="s">
        <v>507</v>
      </c>
      <c r="B348" s="670" t="s">
        <v>2775</v>
      </c>
      <c r="C348" s="670" t="s">
        <v>2234</v>
      </c>
      <c r="D348" s="670" t="s">
        <v>2259</v>
      </c>
      <c r="E348" s="670" t="s">
        <v>2260</v>
      </c>
      <c r="F348" s="238">
        <v>1</v>
      </c>
      <c r="G348" s="238">
        <v>75</v>
      </c>
      <c r="H348" s="238">
        <v>1</v>
      </c>
      <c r="I348" s="238">
        <v>75</v>
      </c>
      <c r="J348" s="238"/>
      <c r="K348" s="238"/>
      <c r="L348" s="238"/>
      <c r="M348" s="238"/>
      <c r="N348" s="238"/>
      <c r="O348" s="238"/>
      <c r="P348" s="681"/>
      <c r="Q348" s="712"/>
    </row>
    <row r="349" spans="1:17" ht="14.4" customHeight="1" x14ac:dyDescent="0.3">
      <c r="A349" s="679" t="s">
        <v>507</v>
      </c>
      <c r="B349" s="670" t="s">
        <v>2775</v>
      </c>
      <c r="C349" s="670" t="s">
        <v>2234</v>
      </c>
      <c r="D349" s="670" t="s">
        <v>2784</v>
      </c>
      <c r="E349" s="670" t="s">
        <v>2785</v>
      </c>
      <c r="F349" s="238"/>
      <c r="G349" s="238"/>
      <c r="H349" s="238"/>
      <c r="I349" s="238"/>
      <c r="J349" s="238"/>
      <c r="K349" s="238"/>
      <c r="L349" s="238"/>
      <c r="M349" s="238"/>
      <c r="N349" s="238">
        <v>29</v>
      </c>
      <c r="O349" s="238">
        <v>1218</v>
      </c>
      <c r="P349" s="681"/>
      <c r="Q349" s="712">
        <v>42</v>
      </c>
    </row>
    <row r="350" spans="1:17" ht="14.4" customHeight="1" x14ac:dyDescent="0.3">
      <c r="A350" s="679" t="s">
        <v>507</v>
      </c>
      <c r="B350" s="670" t="s">
        <v>2775</v>
      </c>
      <c r="C350" s="670" t="s">
        <v>2234</v>
      </c>
      <c r="D350" s="670" t="s">
        <v>2786</v>
      </c>
      <c r="E350" s="670" t="s">
        <v>2787</v>
      </c>
      <c r="F350" s="238">
        <v>4</v>
      </c>
      <c r="G350" s="238">
        <v>5624</v>
      </c>
      <c r="H350" s="238">
        <v>1</v>
      </c>
      <c r="I350" s="238">
        <v>1406</v>
      </c>
      <c r="J350" s="238"/>
      <c r="K350" s="238"/>
      <c r="L350" s="238"/>
      <c r="M350" s="238"/>
      <c r="N350" s="238">
        <v>4</v>
      </c>
      <c r="O350" s="238">
        <v>5672</v>
      </c>
      <c r="P350" s="681">
        <v>1.0085348506401137</v>
      </c>
      <c r="Q350" s="712">
        <v>1418</v>
      </c>
    </row>
    <row r="351" spans="1:17" ht="14.4" customHeight="1" x14ac:dyDescent="0.3">
      <c r="A351" s="679" t="s">
        <v>507</v>
      </c>
      <c r="B351" s="670" t="s">
        <v>2775</v>
      </c>
      <c r="C351" s="670" t="s">
        <v>2234</v>
      </c>
      <c r="D351" s="670" t="s">
        <v>2788</v>
      </c>
      <c r="E351" s="670" t="s">
        <v>2789</v>
      </c>
      <c r="F351" s="238">
        <v>1</v>
      </c>
      <c r="G351" s="238">
        <v>93</v>
      </c>
      <c r="H351" s="238">
        <v>1</v>
      </c>
      <c r="I351" s="238">
        <v>93</v>
      </c>
      <c r="J351" s="238"/>
      <c r="K351" s="238"/>
      <c r="L351" s="238"/>
      <c r="M351" s="238"/>
      <c r="N351" s="238"/>
      <c r="O351" s="238"/>
      <c r="P351" s="681"/>
      <c r="Q351" s="712"/>
    </row>
    <row r="352" spans="1:17" ht="14.4" customHeight="1" x14ac:dyDescent="0.3">
      <c r="A352" s="679" t="s">
        <v>507</v>
      </c>
      <c r="B352" s="670" t="s">
        <v>2775</v>
      </c>
      <c r="C352" s="670" t="s">
        <v>2234</v>
      </c>
      <c r="D352" s="670" t="s">
        <v>2790</v>
      </c>
      <c r="E352" s="670" t="s">
        <v>2791</v>
      </c>
      <c r="F352" s="238">
        <v>5</v>
      </c>
      <c r="G352" s="238">
        <v>2915</v>
      </c>
      <c r="H352" s="238">
        <v>1</v>
      </c>
      <c r="I352" s="238">
        <v>583</v>
      </c>
      <c r="J352" s="238"/>
      <c r="K352" s="238"/>
      <c r="L352" s="238"/>
      <c r="M352" s="238"/>
      <c r="N352" s="238">
        <v>6</v>
      </c>
      <c r="O352" s="238">
        <v>3522</v>
      </c>
      <c r="P352" s="681">
        <v>1.2082332761578045</v>
      </c>
      <c r="Q352" s="712">
        <v>587</v>
      </c>
    </row>
    <row r="353" spans="1:17" ht="14.4" customHeight="1" x14ac:dyDescent="0.3">
      <c r="A353" s="679" t="s">
        <v>507</v>
      </c>
      <c r="B353" s="670" t="s">
        <v>2792</v>
      </c>
      <c r="C353" s="670" t="s">
        <v>2234</v>
      </c>
      <c r="D353" s="670" t="s">
        <v>2575</v>
      </c>
      <c r="E353" s="670" t="s">
        <v>2576</v>
      </c>
      <c r="F353" s="238"/>
      <c r="G353" s="238"/>
      <c r="H353" s="238"/>
      <c r="I353" s="238"/>
      <c r="J353" s="238">
        <v>45</v>
      </c>
      <c r="K353" s="238">
        <v>33390</v>
      </c>
      <c r="L353" s="238"/>
      <c r="M353" s="238">
        <v>742</v>
      </c>
      <c r="N353" s="238">
        <v>105</v>
      </c>
      <c r="O353" s="238">
        <v>77910</v>
      </c>
      <c r="P353" s="681"/>
      <c r="Q353" s="712">
        <v>742</v>
      </c>
    </row>
    <row r="354" spans="1:17" ht="14.4" customHeight="1" x14ac:dyDescent="0.3">
      <c r="A354" s="679" t="s">
        <v>2793</v>
      </c>
      <c r="B354" s="670" t="s">
        <v>2230</v>
      </c>
      <c r="C354" s="670" t="s">
        <v>2234</v>
      </c>
      <c r="D354" s="670" t="s">
        <v>2243</v>
      </c>
      <c r="E354" s="670" t="s">
        <v>2244</v>
      </c>
      <c r="F354" s="238">
        <v>11</v>
      </c>
      <c r="G354" s="238">
        <v>1881</v>
      </c>
      <c r="H354" s="238">
        <v>1</v>
      </c>
      <c r="I354" s="238">
        <v>171</v>
      </c>
      <c r="J354" s="238">
        <v>9</v>
      </c>
      <c r="K354" s="238">
        <v>1044</v>
      </c>
      <c r="L354" s="238">
        <v>0.55502392344497609</v>
      </c>
      <c r="M354" s="238">
        <v>116</v>
      </c>
      <c r="N354" s="238">
        <v>2</v>
      </c>
      <c r="O354" s="238">
        <v>232</v>
      </c>
      <c r="P354" s="681">
        <v>0.12333864965443912</v>
      </c>
      <c r="Q354" s="712">
        <v>116</v>
      </c>
    </row>
    <row r="355" spans="1:17" ht="14.4" customHeight="1" x14ac:dyDescent="0.3">
      <c r="A355" s="679" t="s">
        <v>2793</v>
      </c>
      <c r="B355" s="670" t="s">
        <v>2230</v>
      </c>
      <c r="C355" s="670" t="s">
        <v>2234</v>
      </c>
      <c r="D355" s="670" t="s">
        <v>2255</v>
      </c>
      <c r="E355" s="670" t="s">
        <v>2256</v>
      </c>
      <c r="F355" s="238">
        <v>3</v>
      </c>
      <c r="G355" s="238">
        <v>1026</v>
      </c>
      <c r="H355" s="238">
        <v>1</v>
      </c>
      <c r="I355" s="238">
        <v>342</v>
      </c>
      <c r="J355" s="238">
        <v>3</v>
      </c>
      <c r="K355" s="238">
        <v>696</v>
      </c>
      <c r="L355" s="238">
        <v>0.67836257309941517</v>
      </c>
      <c r="M355" s="238">
        <v>232</v>
      </c>
      <c r="N355" s="238">
        <v>7</v>
      </c>
      <c r="O355" s="238">
        <v>1624</v>
      </c>
      <c r="P355" s="681">
        <v>1.5828460038986354</v>
      </c>
      <c r="Q355" s="712">
        <v>232</v>
      </c>
    </row>
    <row r="356" spans="1:17" ht="14.4" customHeight="1" x14ac:dyDescent="0.3">
      <c r="A356" s="679" t="s">
        <v>2794</v>
      </c>
      <c r="B356" s="670" t="s">
        <v>2230</v>
      </c>
      <c r="C356" s="670" t="s">
        <v>2234</v>
      </c>
      <c r="D356" s="670" t="s">
        <v>2255</v>
      </c>
      <c r="E356" s="670" t="s">
        <v>2256</v>
      </c>
      <c r="F356" s="238">
        <v>1</v>
      </c>
      <c r="G356" s="238">
        <v>342</v>
      </c>
      <c r="H356" s="238">
        <v>1</v>
      </c>
      <c r="I356" s="238">
        <v>342</v>
      </c>
      <c r="J356" s="238"/>
      <c r="K356" s="238"/>
      <c r="L356" s="238"/>
      <c r="M356" s="238"/>
      <c r="N356" s="238"/>
      <c r="O356" s="238"/>
      <c r="P356" s="681"/>
      <c r="Q356" s="712"/>
    </row>
    <row r="357" spans="1:17" ht="14.4" customHeight="1" x14ac:dyDescent="0.3">
      <c r="A357" s="679" t="s">
        <v>2795</v>
      </c>
      <c r="B357" s="670" t="s">
        <v>2230</v>
      </c>
      <c r="C357" s="670" t="s">
        <v>2234</v>
      </c>
      <c r="D357" s="670" t="s">
        <v>2243</v>
      </c>
      <c r="E357" s="670" t="s">
        <v>2244</v>
      </c>
      <c r="F357" s="238"/>
      <c r="G357" s="238"/>
      <c r="H357" s="238"/>
      <c r="I357" s="238"/>
      <c r="J357" s="238">
        <v>4</v>
      </c>
      <c r="K357" s="238">
        <v>464</v>
      </c>
      <c r="L357" s="238"/>
      <c r="M357" s="238">
        <v>116</v>
      </c>
      <c r="N357" s="238"/>
      <c r="O357" s="238"/>
      <c r="P357" s="681"/>
      <c r="Q357" s="712"/>
    </row>
    <row r="358" spans="1:17" ht="14.4" customHeight="1" x14ac:dyDescent="0.3">
      <c r="A358" s="679" t="s">
        <v>2795</v>
      </c>
      <c r="B358" s="670" t="s">
        <v>2230</v>
      </c>
      <c r="C358" s="670" t="s">
        <v>2234</v>
      </c>
      <c r="D358" s="670" t="s">
        <v>2255</v>
      </c>
      <c r="E358" s="670" t="s">
        <v>2256</v>
      </c>
      <c r="F358" s="238"/>
      <c r="G358" s="238"/>
      <c r="H358" s="238"/>
      <c r="I358" s="238"/>
      <c r="J358" s="238"/>
      <c r="K358" s="238"/>
      <c r="L358" s="238"/>
      <c r="M358" s="238"/>
      <c r="N358" s="238">
        <v>4</v>
      </c>
      <c r="O358" s="238">
        <v>928</v>
      </c>
      <c r="P358" s="681"/>
      <c r="Q358" s="712">
        <v>232</v>
      </c>
    </row>
    <row r="359" spans="1:17" ht="14.4" customHeight="1" x14ac:dyDescent="0.3">
      <c r="A359" s="679" t="s">
        <v>2796</v>
      </c>
      <c r="B359" s="670" t="s">
        <v>2230</v>
      </c>
      <c r="C359" s="670" t="s">
        <v>2234</v>
      </c>
      <c r="D359" s="670" t="s">
        <v>2243</v>
      </c>
      <c r="E359" s="670" t="s">
        <v>2244</v>
      </c>
      <c r="F359" s="238">
        <v>2</v>
      </c>
      <c r="G359" s="238">
        <v>342</v>
      </c>
      <c r="H359" s="238">
        <v>1</v>
      </c>
      <c r="I359" s="238">
        <v>171</v>
      </c>
      <c r="J359" s="238">
        <v>9</v>
      </c>
      <c r="K359" s="238">
        <v>1044</v>
      </c>
      <c r="L359" s="238">
        <v>3.0526315789473686</v>
      </c>
      <c r="M359" s="238">
        <v>116</v>
      </c>
      <c r="N359" s="238">
        <v>1</v>
      </c>
      <c r="O359" s="238">
        <v>116</v>
      </c>
      <c r="P359" s="681">
        <v>0.33918128654970758</v>
      </c>
      <c r="Q359" s="712">
        <v>116</v>
      </c>
    </row>
    <row r="360" spans="1:17" ht="14.4" customHeight="1" x14ac:dyDescent="0.3">
      <c r="A360" s="679" t="s">
        <v>2796</v>
      </c>
      <c r="B360" s="670" t="s">
        <v>2230</v>
      </c>
      <c r="C360" s="670" t="s">
        <v>2234</v>
      </c>
      <c r="D360" s="670" t="s">
        <v>2255</v>
      </c>
      <c r="E360" s="670" t="s">
        <v>2256</v>
      </c>
      <c r="F360" s="238">
        <v>4</v>
      </c>
      <c r="G360" s="238">
        <v>1368</v>
      </c>
      <c r="H360" s="238">
        <v>1</v>
      </c>
      <c r="I360" s="238">
        <v>342</v>
      </c>
      <c r="J360" s="238">
        <v>2</v>
      </c>
      <c r="K360" s="238">
        <v>464</v>
      </c>
      <c r="L360" s="238">
        <v>0.33918128654970758</v>
      </c>
      <c r="M360" s="238">
        <v>232</v>
      </c>
      <c r="N360" s="238">
        <v>9</v>
      </c>
      <c r="O360" s="238">
        <v>2088</v>
      </c>
      <c r="P360" s="681">
        <v>1.5263157894736843</v>
      </c>
      <c r="Q360" s="712">
        <v>232</v>
      </c>
    </row>
    <row r="361" spans="1:17" ht="14.4" customHeight="1" x14ac:dyDescent="0.3">
      <c r="A361" s="679" t="s">
        <v>2797</v>
      </c>
      <c r="B361" s="670" t="s">
        <v>2230</v>
      </c>
      <c r="C361" s="670" t="s">
        <v>2234</v>
      </c>
      <c r="D361" s="670" t="s">
        <v>2255</v>
      </c>
      <c r="E361" s="670" t="s">
        <v>2256</v>
      </c>
      <c r="F361" s="238"/>
      <c r="G361" s="238"/>
      <c r="H361" s="238"/>
      <c r="I361" s="238"/>
      <c r="J361" s="238"/>
      <c r="K361" s="238"/>
      <c r="L361" s="238"/>
      <c r="M361" s="238"/>
      <c r="N361" s="238">
        <v>1</v>
      </c>
      <c r="O361" s="238">
        <v>232</v>
      </c>
      <c r="P361" s="681"/>
      <c r="Q361" s="712">
        <v>232</v>
      </c>
    </row>
    <row r="362" spans="1:17" ht="14.4" customHeight="1" x14ac:dyDescent="0.3">
      <c r="A362" s="679" t="s">
        <v>2798</v>
      </c>
      <c r="B362" s="670" t="s">
        <v>2230</v>
      </c>
      <c r="C362" s="670" t="s">
        <v>2234</v>
      </c>
      <c r="D362" s="670" t="s">
        <v>2243</v>
      </c>
      <c r="E362" s="670" t="s">
        <v>2244</v>
      </c>
      <c r="F362" s="238"/>
      <c r="G362" s="238"/>
      <c r="H362" s="238"/>
      <c r="I362" s="238"/>
      <c r="J362" s="238">
        <v>1</v>
      </c>
      <c r="K362" s="238">
        <v>116</v>
      </c>
      <c r="L362" s="238"/>
      <c r="M362" s="238">
        <v>116</v>
      </c>
      <c r="N362" s="238"/>
      <c r="O362" s="238"/>
      <c r="P362" s="681"/>
      <c r="Q362" s="712"/>
    </row>
    <row r="363" spans="1:17" ht="14.4" customHeight="1" x14ac:dyDescent="0.3">
      <c r="A363" s="679" t="s">
        <v>2799</v>
      </c>
      <c r="B363" s="670" t="s">
        <v>2230</v>
      </c>
      <c r="C363" s="670" t="s">
        <v>2234</v>
      </c>
      <c r="D363" s="670" t="s">
        <v>2243</v>
      </c>
      <c r="E363" s="670" t="s">
        <v>2244</v>
      </c>
      <c r="F363" s="238">
        <v>1</v>
      </c>
      <c r="G363" s="238">
        <v>171</v>
      </c>
      <c r="H363" s="238">
        <v>1</v>
      </c>
      <c r="I363" s="238">
        <v>171</v>
      </c>
      <c r="J363" s="238">
        <v>5</v>
      </c>
      <c r="K363" s="238">
        <v>580</v>
      </c>
      <c r="L363" s="238">
        <v>3.3918128654970761</v>
      </c>
      <c r="M363" s="238">
        <v>116</v>
      </c>
      <c r="N363" s="238"/>
      <c r="O363" s="238"/>
      <c r="P363" s="681"/>
      <c r="Q363" s="712"/>
    </row>
    <row r="364" spans="1:17" ht="14.4" customHeight="1" x14ac:dyDescent="0.3">
      <c r="A364" s="679" t="s">
        <v>2799</v>
      </c>
      <c r="B364" s="670" t="s">
        <v>2230</v>
      </c>
      <c r="C364" s="670" t="s">
        <v>2234</v>
      </c>
      <c r="D364" s="670" t="s">
        <v>2255</v>
      </c>
      <c r="E364" s="670" t="s">
        <v>2256</v>
      </c>
      <c r="F364" s="238"/>
      <c r="G364" s="238"/>
      <c r="H364" s="238"/>
      <c r="I364" s="238"/>
      <c r="J364" s="238"/>
      <c r="K364" s="238"/>
      <c r="L364" s="238"/>
      <c r="M364" s="238"/>
      <c r="N364" s="238">
        <v>1</v>
      </c>
      <c r="O364" s="238">
        <v>232</v>
      </c>
      <c r="P364" s="681"/>
      <c r="Q364" s="712">
        <v>232</v>
      </c>
    </row>
    <row r="365" spans="1:17" ht="14.4" customHeight="1" x14ac:dyDescent="0.3">
      <c r="A365" s="679" t="s">
        <v>2800</v>
      </c>
      <c r="B365" s="670" t="s">
        <v>2230</v>
      </c>
      <c r="C365" s="670" t="s">
        <v>2234</v>
      </c>
      <c r="D365" s="670" t="s">
        <v>2243</v>
      </c>
      <c r="E365" s="670" t="s">
        <v>2244</v>
      </c>
      <c r="F365" s="238">
        <v>23</v>
      </c>
      <c r="G365" s="238">
        <v>3933</v>
      </c>
      <c r="H365" s="238">
        <v>1</v>
      </c>
      <c r="I365" s="238">
        <v>171</v>
      </c>
      <c r="J365" s="238">
        <v>44</v>
      </c>
      <c r="K365" s="238">
        <v>5104</v>
      </c>
      <c r="L365" s="238">
        <v>1.2977370963640986</v>
      </c>
      <c r="M365" s="238">
        <v>116</v>
      </c>
      <c r="N365" s="238">
        <v>23</v>
      </c>
      <c r="O365" s="238">
        <v>2668</v>
      </c>
      <c r="P365" s="681">
        <v>0.67836257309941517</v>
      </c>
      <c r="Q365" s="712">
        <v>116</v>
      </c>
    </row>
    <row r="366" spans="1:17" ht="14.4" customHeight="1" x14ac:dyDescent="0.3">
      <c r="A366" s="679" t="s">
        <v>2800</v>
      </c>
      <c r="B366" s="670" t="s">
        <v>2230</v>
      </c>
      <c r="C366" s="670" t="s">
        <v>2234</v>
      </c>
      <c r="D366" s="670" t="s">
        <v>2253</v>
      </c>
      <c r="E366" s="670" t="s">
        <v>2254</v>
      </c>
      <c r="F366" s="238">
        <v>1</v>
      </c>
      <c r="G366" s="238">
        <v>0</v>
      </c>
      <c r="H366" s="238"/>
      <c r="I366" s="238">
        <v>0</v>
      </c>
      <c r="J366" s="238"/>
      <c r="K366" s="238"/>
      <c r="L366" s="238"/>
      <c r="M366" s="238"/>
      <c r="N366" s="238">
        <v>1</v>
      </c>
      <c r="O366" s="238">
        <v>0</v>
      </c>
      <c r="P366" s="681"/>
      <c r="Q366" s="712">
        <v>0</v>
      </c>
    </row>
    <row r="367" spans="1:17" ht="14.4" customHeight="1" x14ac:dyDescent="0.3">
      <c r="A367" s="679" t="s">
        <v>2800</v>
      </c>
      <c r="B367" s="670" t="s">
        <v>2230</v>
      </c>
      <c r="C367" s="670" t="s">
        <v>2234</v>
      </c>
      <c r="D367" s="670" t="s">
        <v>2255</v>
      </c>
      <c r="E367" s="670" t="s">
        <v>2256</v>
      </c>
      <c r="F367" s="238">
        <v>6</v>
      </c>
      <c r="G367" s="238">
        <v>2052</v>
      </c>
      <c r="H367" s="238">
        <v>1</v>
      </c>
      <c r="I367" s="238">
        <v>342</v>
      </c>
      <c r="J367" s="238">
        <v>5</v>
      </c>
      <c r="K367" s="238">
        <v>1160</v>
      </c>
      <c r="L367" s="238">
        <v>0.56530214424951264</v>
      </c>
      <c r="M367" s="238">
        <v>232</v>
      </c>
      <c r="N367" s="238">
        <v>23</v>
      </c>
      <c r="O367" s="238">
        <v>5336</v>
      </c>
      <c r="P367" s="681">
        <v>2.6003898635477585</v>
      </c>
      <c r="Q367" s="712">
        <v>232</v>
      </c>
    </row>
    <row r="368" spans="1:17" ht="14.4" customHeight="1" x14ac:dyDescent="0.3">
      <c r="A368" s="679" t="s">
        <v>2801</v>
      </c>
      <c r="B368" s="670" t="s">
        <v>2230</v>
      </c>
      <c r="C368" s="670" t="s">
        <v>2234</v>
      </c>
      <c r="D368" s="670" t="s">
        <v>2243</v>
      </c>
      <c r="E368" s="670" t="s">
        <v>2244</v>
      </c>
      <c r="F368" s="238">
        <v>1</v>
      </c>
      <c r="G368" s="238">
        <v>171</v>
      </c>
      <c r="H368" s="238">
        <v>1</v>
      </c>
      <c r="I368" s="238">
        <v>171</v>
      </c>
      <c r="J368" s="238">
        <v>1</v>
      </c>
      <c r="K368" s="238">
        <v>116</v>
      </c>
      <c r="L368" s="238">
        <v>0.67836257309941517</v>
      </c>
      <c r="M368" s="238">
        <v>116</v>
      </c>
      <c r="N368" s="238">
        <v>2</v>
      </c>
      <c r="O368" s="238">
        <v>232</v>
      </c>
      <c r="P368" s="681">
        <v>1.3567251461988303</v>
      </c>
      <c r="Q368" s="712">
        <v>116</v>
      </c>
    </row>
    <row r="369" spans="1:17" ht="14.4" customHeight="1" x14ac:dyDescent="0.3">
      <c r="A369" s="679" t="s">
        <v>2802</v>
      </c>
      <c r="B369" s="670" t="s">
        <v>2230</v>
      </c>
      <c r="C369" s="670" t="s">
        <v>2234</v>
      </c>
      <c r="D369" s="670" t="s">
        <v>2243</v>
      </c>
      <c r="E369" s="670" t="s">
        <v>2244</v>
      </c>
      <c r="F369" s="238"/>
      <c r="G369" s="238"/>
      <c r="H369" s="238"/>
      <c r="I369" s="238"/>
      <c r="J369" s="238">
        <v>6</v>
      </c>
      <c r="K369" s="238">
        <v>696</v>
      </c>
      <c r="L369" s="238"/>
      <c r="M369" s="238">
        <v>116</v>
      </c>
      <c r="N369" s="238">
        <v>2</v>
      </c>
      <c r="O369" s="238">
        <v>232</v>
      </c>
      <c r="P369" s="681"/>
      <c r="Q369" s="712">
        <v>116</v>
      </c>
    </row>
    <row r="370" spans="1:17" ht="14.4" customHeight="1" x14ac:dyDescent="0.3">
      <c r="A370" s="679" t="s">
        <v>2803</v>
      </c>
      <c r="B370" s="670" t="s">
        <v>2230</v>
      </c>
      <c r="C370" s="670" t="s">
        <v>2234</v>
      </c>
      <c r="D370" s="670" t="s">
        <v>2243</v>
      </c>
      <c r="E370" s="670" t="s">
        <v>2244</v>
      </c>
      <c r="F370" s="238">
        <v>1</v>
      </c>
      <c r="G370" s="238">
        <v>171</v>
      </c>
      <c r="H370" s="238">
        <v>1</v>
      </c>
      <c r="I370" s="238">
        <v>171</v>
      </c>
      <c r="J370" s="238"/>
      <c r="K370" s="238"/>
      <c r="L370" s="238"/>
      <c r="M370" s="238"/>
      <c r="N370" s="238"/>
      <c r="O370" s="238"/>
      <c r="P370" s="681"/>
      <c r="Q370" s="712"/>
    </row>
    <row r="371" spans="1:17" ht="14.4" customHeight="1" x14ac:dyDescent="0.3">
      <c r="A371" s="679" t="s">
        <v>2803</v>
      </c>
      <c r="B371" s="670" t="s">
        <v>2230</v>
      </c>
      <c r="C371" s="670" t="s">
        <v>2234</v>
      </c>
      <c r="D371" s="670" t="s">
        <v>2255</v>
      </c>
      <c r="E371" s="670" t="s">
        <v>2256</v>
      </c>
      <c r="F371" s="238"/>
      <c r="G371" s="238"/>
      <c r="H371" s="238"/>
      <c r="I371" s="238"/>
      <c r="J371" s="238">
        <v>1</v>
      </c>
      <c r="K371" s="238">
        <v>232</v>
      </c>
      <c r="L371" s="238"/>
      <c r="M371" s="238">
        <v>232</v>
      </c>
      <c r="N371" s="238"/>
      <c r="O371" s="238"/>
      <c r="P371" s="681"/>
      <c r="Q371" s="712"/>
    </row>
    <row r="372" spans="1:17" ht="14.4" customHeight="1" x14ac:dyDescent="0.3">
      <c r="A372" s="679" t="s">
        <v>2804</v>
      </c>
      <c r="B372" s="670" t="s">
        <v>2230</v>
      </c>
      <c r="C372" s="670" t="s">
        <v>2234</v>
      </c>
      <c r="D372" s="670" t="s">
        <v>2243</v>
      </c>
      <c r="E372" s="670" t="s">
        <v>2244</v>
      </c>
      <c r="F372" s="238">
        <v>2</v>
      </c>
      <c r="G372" s="238">
        <v>342</v>
      </c>
      <c r="H372" s="238">
        <v>1</v>
      </c>
      <c r="I372" s="238">
        <v>171</v>
      </c>
      <c r="J372" s="238">
        <v>1</v>
      </c>
      <c r="K372" s="238">
        <v>116</v>
      </c>
      <c r="L372" s="238">
        <v>0.33918128654970758</v>
      </c>
      <c r="M372" s="238">
        <v>116</v>
      </c>
      <c r="N372" s="238">
        <v>8</v>
      </c>
      <c r="O372" s="238">
        <v>928</v>
      </c>
      <c r="P372" s="681">
        <v>2.7134502923976607</v>
      </c>
      <c r="Q372" s="712">
        <v>116</v>
      </c>
    </row>
    <row r="373" spans="1:17" ht="14.4" customHeight="1" x14ac:dyDescent="0.3">
      <c r="A373" s="679" t="s">
        <v>2804</v>
      </c>
      <c r="B373" s="670" t="s">
        <v>2230</v>
      </c>
      <c r="C373" s="670" t="s">
        <v>2234</v>
      </c>
      <c r="D373" s="670" t="s">
        <v>2255</v>
      </c>
      <c r="E373" s="670" t="s">
        <v>2256</v>
      </c>
      <c r="F373" s="238">
        <v>1</v>
      </c>
      <c r="G373" s="238">
        <v>342</v>
      </c>
      <c r="H373" s="238">
        <v>1</v>
      </c>
      <c r="I373" s="238">
        <v>342</v>
      </c>
      <c r="J373" s="238"/>
      <c r="K373" s="238"/>
      <c r="L373" s="238"/>
      <c r="M373" s="238"/>
      <c r="N373" s="238">
        <v>3</v>
      </c>
      <c r="O373" s="238">
        <v>696</v>
      </c>
      <c r="P373" s="681">
        <v>2.0350877192982457</v>
      </c>
      <c r="Q373" s="712">
        <v>232</v>
      </c>
    </row>
    <row r="374" spans="1:17" ht="14.4" customHeight="1" x14ac:dyDescent="0.3">
      <c r="A374" s="679" t="s">
        <v>2805</v>
      </c>
      <c r="B374" s="670" t="s">
        <v>2230</v>
      </c>
      <c r="C374" s="670" t="s">
        <v>2234</v>
      </c>
      <c r="D374" s="670" t="s">
        <v>2255</v>
      </c>
      <c r="E374" s="670" t="s">
        <v>2256</v>
      </c>
      <c r="F374" s="238">
        <v>1</v>
      </c>
      <c r="G374" s="238">
        <v>342</v>
      </c>
      <c r="H374" s="238">
        <v>1</v>
      </c>
      <c r="I374" s="238">
        <v>342</v>
      </c>
      <c r="J374" s="238"/>
      <c r="K374" s="238"/>
      <c r="L374" s="238"/>
      <c r="M374" s="238"/>
      <c r="N374" s="238"/>
      <c r="O374" s="238"/>
      <c r="P374" s="681"/>
      <c r="Q374" s="712"/>
    </row>
    <row r="375" spans="1:17" ht="14.4" customHeight="1" x14ac:dyDescent="0.3">
      <c r="A375" s="679" t="s">
        <v>2806</v>
      </c>
      <c r="B375" s="670" t="s">
        <v>2230</v>
      </c>
      <c r="C375" s="670" t="s">
        <v>2234</v>
      </c>
      <c r="D375" s="670" t="s">
        <v>2243</v>
      </c>
      <c r="E375" s="670" t="s">
        <v>2244</v>
      </c>
      <c r="F375" s="238">
        <v>4</v>
      </c>
      <c r="G375" s="238">
        <v>684</v>
      </c>
      <c r="H375" s="238">
        <v>1</v>
      </c>
      <c r="I375" s="238">
        <v>171</v>
      </c>
      <c r="J375" s="238">
        <v>5</v>
      </c>
      <c r="K375" s="238">
        <v>580</v>
      </c>
      <c r="L375" s="238">
        <v>0.84795321637426901</v>
      </c>
      <c r="M375" s="238">
        <v>116</v>
      </c>
      <c r="N375" s="238">
        <v>2</v>
      </c>
      <c r="O375" s="238">
        <v>232</v>
      </c>
      <c r="P375" s="681">
        <v>0.33918128654970758</v>
      </c>
      <c r="Q375" s="712">
        <v>116</v>
      </c>
    </row>
    <row r="376" spans="1:17" ht="14.4" customHeight="1" x14ac:dyDescent="0.3">
      <c r="A376" s="679" t="s">
        <v>2806</v>
      </c>
      <c r="B376" s="670" t="s">
        <v>2230</v>
      </c>
      <c r="C376" s="670" t="s">
        <v>2234</v>
      </c>
      <c r="D376" s="670" t="s">
        <v>2253</v>
      </c>
      <c r="E376" s="670" t="s">
        <v>2254</v>
      </c>
      <c r="F376" s="238"/>
      <c r="G376" s="238"/>
      <c r="H376" s="238"/>
      <c r="I376" s="238"/>
      <c r="J376" s="238"/>
      <c r="K376" s="238"/>
      <c r="L376" s="238"/>
      <c r="M376" s="238"/>
      <c r="N376" s="238">
        <v>1</v>
      </c>
      <c r="O376" s="238">
        <v>0</v>
      </c>
      <c r="P376" s="681"/>
      <c r="Q376" s="712">
        <v>0</v>
      </c>
    </row>
    <row r="377" spans="1:17" ht="14.4" customHeight="1" x14ac:dyDescent="0.3">
      <c r="A377" s="679" t="s">
        <v>2806</v>
      </c>
      <c r="B377" s="670" t="s">
        <v>2230</v>
      </c>
      <c r="C377" s="670" t="s">
        <v>2234</v>
      </c>
      <c r="D377" s="670" t="s">
        <v>2255</v>
      </c>
      <c r="E377" s="670" t="s">
        <v>2256</v>
      </c>
      <c r="F377" s="238">
        <v>3</v>
      </c>
      <c r="G377" s="238">
        <v>1026</v>
      </c>
      <c r="H377" s="238">
        <v>1</v>
      </c>
      <c r="I377" s="238">
        <v>342</v>
      </c>
      <c r="J377" s="238">
        <v>2</v>
      </c>
      <c r="K377" s="238">
        <v>464</v>
      </c>
      <c r="L377" s="238">
        <v>0.45224171539961011</v>
      </c>
      <c r="M377" s="238">
        <v>232</v>
      </c>
      <c r="N377" s="238">
        <v>8</v>
      </c>
      <c r="O377" s="238">
        <v>1856</v>
      </c>
      <c r="P377" s="681">
        <v>1.8089668615984404</v>
      </c>
      <c r="Q377" s="712">
        <v>232</v>
      </c>
    </row>
    <row r="378" spans="1:17" ht="14.4" customHeight="1" x14ac:dyDescent="0.3">
      <c r="A378" s="679" t="s">
        <v>2807</v>
      </c>
      <c r="B378" s="670" t="s">
        <v>2230</v>
      </c>
      <c r="C378" s="670" t="s">
        <v>2234</v>
      </c>
      <c r="D378" s="670" t="s">
        <v>2243</v>
      </c>
      <c r="E378" s="670" t="s">
        <v>2244</v>
      </c>
      <c r="F378" s="238"/>
      <c r="G378" s="238"/>
      <c r="H378" s="238"/>
      <c r="I378" s="238"/>
      <c r="J378" s="238">
        <v>3</v>
      </c>
      <c r="K378" s="238">
        <v>348</v>
      </c>
      <c r="L378" s="238"/>
      <c r="M378" s="238">
        <v>116</v>
      </c>
      <c r="N378" s="238">
        <v>2</v>
      </c>
      <c r="O378" s="238">
        <v>232</v>
      </c>
      <c r="P378" s="681"/>
      <c r="Q378" s="712">
        <v>116</v>
      </c>
    </row>
    <row r="379" spans="1:17" ht="14.4" customHeight="1" x14ac:dyDescent="0.3">
      <c r="A379" s="679" t="s">
        <v>2807</v>
      </c>
      <c r="B379" s="670" t="s">
        <v>2230</v>
      </c>
      <c r="C379" s="670" t="s">
        <v>2234</v>
      </c>
      <c r="D379" s="670" t="s">
        <v>2255</v>
      </c>
      <c r="E379" s="670" t="s">
        <v>2256</v>
      </c>
      <c r="F379" s="238"/>
      <c r="G379" s="238"/>
      <c r="H379" s="238"/>
      <c r="I379" s="238"/>
      <c r="J379" s="238">
        <v>1</v>
      </c>
      <c r="K379" s="238">
        <v>232</v>
      </c>
      <c r="L379" s="238"/>
      <c r="M379" s="238">
        <v>232</v>
      </c>
      <c r="N379" s="238">
        <v>1</v>
      </c>
      <c r="O379" s="238">
        <v>232</v>
      </c>
      <c r="P379" s="681"/>
      <c r="Q379" s="712">
        <v>232</v>
      </c>
    </row>
    <row r="380" spans="1:17" ht="14.4" customHeight="1" x14ac:dyDescent="0.3">
      <c r="A380" s="679" t="s">
        <v>2808</v>
      </c>
      <c r="B380" s="670" t="s">
        <v>2230</v>
      </c>
      <c r="C380" s="670" t="s">
        <v>2234</v>
      </c>
      <c r="D380" s="670" t="s">
        <v>2243</v>
      </c>
      <c r="E380" s="670" t="s">
        <v>2244</v>
      </c>
      <c r="F380" s="238"/>
      <c r="G380" s="238"/>
      <c r="H380" s="238"/>
      <c r="I380" s="238"/>
      <c r="J380" s="238">
        <v>1</v>
      </c>
      <c r="K380" s="238">
        <v>116</v>
      </c>
      <c r="L380" s="238"/>
      <c r="M380" s="238">
        <v>116</v>
      </c>
      <c r="N380" s="238">
        <v>4</v>
      </c>
      <c r="O380" s="238">
        <v>464</v>
      </c>
      <c r="P380" s="681"/>
      <c r="Q380" s="712">
        <v>116</v>
      </c>
    </row>
    <row r="381" spans="1:17" ht="14.4" customHeight="1" x14ac:dyDescent="0.3">
      <c r="A381" s="679" t="s">
        <v>2809</v>
      </c>
      <c r="B381" s="670" t="s">
        <v>2230</v>
      </c>
      <c r="C381" s="670" t="s">
        <v>2234</v>
      </c>
      <c r="D381" s="670" t="s">
        <v>2243</v>
      </c>
      <c r="E381" s="670" t="s">
        <v>2244</v>
      </c>
      <c r="F381" s="238"/>
      <c r="G381" s="238"/>
      <c r="H381" s="238"/>
      <c r="I381" s="238"/>
      <c r="J381" s="238">
        <v>2</v>
      </c>
      <c r="K381" s="238">
        <v>232</v>
      </c>
      <c r="L381" s="238"/>
      <c r="M381" s="238">
        <v>116</v>
      </c>
      <c r="N381" s="238">
        <v>1</v>
      </c>
      <c r="O381" s="238">
        <v>116</v>
      </c>
      <c r="P381" s="681"/>
      <c r="Q381" s="712">
        <v>116</v>
      </c>
    </row>
    <row r="382" spans="1:17" ht="14.4" customHeight="1" x14ac:dyDescent="0.3">
      <c r="A382" s="679" t="s">
        <v>2809</v>
      </c>
      <c r="B382" s="670" t="s">
        <v>2230</v>
      </c>
      <c r="C382" s="670" t="s">
        <v>2234</v>
      </c>
      <c r="D382" s="670" t="s">
        <v>2255</v>
      </c>
      <c r="E382" s="670" t="s">
        <v>2256</v>
      </c>
      <c r="F382" s="238"/>
      <c r="G382" s="238"/>
      <c r="H382" s="238"/>
      <c r="I382" s="238"/>
      <c r="J382" s="238"/>
      <c r="K382" s="238"/>
      <c r="L382" s="238"/>
      <c r="M382" s="238"/>
      <c r="N382" s="238">
        <v>3</v>
      </c>
      <c r="O382" s="238">
        <v>696</v>
      </c>
      <c r="P382" s="681"/>
      <c r="Q382" s="712">
        <v>232</v>
      </c>
    </row>
    <row r="383" spans="1:17" ht="14.4" customHeight="1" thickBot="1" x14ac:dyDescent="0.35">
      <c r="A383" s="636" t="s">
        <v>2809</v>
      </c>
      <c r="B383" s="672" t="s">
        <v>2310</v>
      </c>
      <c r="C383" s="672" t="s">
        <v>2234</v>
      </c>
      <c r="D383" s="672" t="s">
        <v>2577</v>
      </c>
      <c r="E383" s="672" t="s">
        <v>2578</v>
      </c>
      <c r="F383" s="673">
        <v>2</v>
      </c>
      <c r="G383" s="673">
        <v>0</v>
      </c>
      <c r="H383" s="673"/>
      <c r="I383" s="673">
        <v>0</v>
      </c>
      <c r="J383" s="673"/>
      <c r="K383" s="673"/>
      <c r="L383" s="673"/>
      <c r="M383" s="673"/>
      <c r="N383" s="673"/>
      <c r="O383" s="673"/>
      <c r="P383" s="682"/>
      <c r="Q383" s="71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2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7" customWidth="1"/>
    <col min="2" max="4" width="7.88671875" style="367" customWidth="1"/>
    <col min="5" max="5" width="7.88671875" style="376" customWidth="1"/>
    <col min="6" max="8" width="7.88671875" style="367" customWidth="1"/>
    <col min="9" max="9" width="7.88671875" style="377" customWidth="1"/>
    <col min="10" max="13" width="7.88671875" style="367" customWidth="1"/>
    <col min="14" max="16384" width="9.33203125" style="367"/>
  </cols>
  <sheetData>
    <row r="1" spans="1:13" ht="18.600000000000001" customHeight="1" thickBot="1" x14ac:dyDescent="0.4">
      <c r="A1" s="549" t="s">
        <v>139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thickBot="1" x14ac:dyDescent="0.35">
      <c r="A2" s="389" t="s">
        <v>298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3" ht="14.4" customHeight="1" thickBot="1" x14ac:dyDescent="0.35">
      <c r="A3" s="550" t="s">
        <v>73</v>
      </c>
      <c r="B3" s="529" t="s">
        <v>74</v>
      </c>
      <c r="C3" s="530"/>
      <c r="D3" s="530"/>
      <c r="E3" s="531"/>
      <c r="F3" s="529" t="s">
        <v>242</v>
      </c>
      <c r="G3" s="530"/>
      <c r="H3" s="530"/>
      <c r="I3" s="531"/>
      <c r="J3" s="123"/>
      <c r="K3" s="124"/>
      <c r="L3" s="123"/>
      <c r="M3" s="125"/>
    </row>
    <row r="4" spans="1:13" ht="14.4" customHeight="1" thickBot="1" x14ac:dyDescent="0.35">
      <c r="A4" s="551"/>
      <c r="B4" s="126">
        <v>2012</v>
      </c>
      <c r="C4" s="127">
        <v>2013</v>
      </c>
      <c r="D4" s="127">
        <v>2014</v>
      </c>
      <c r="E4" s="128" t="s">
        <v>5</v>
      </c>
      <c r="F4" s="127">
        <v>2012</v>
      </c>
      <c r="G4" s="127">
        <v>2013</v>
      </c>
      <c r="H4" s="127">
        <v>2014</v>
      </c>
      <c r="I4" s="128" t="s">
        <v>5</v>
      </c>
      <c r="J4" s="123"/>
      <c r="K4" s="123"/>
      <c r="L4" s="129" t="s">
        <v>75</v>
      </c>
      <c r="M4" s="130" t="s">
        <v>76</v>
      </c>
    </row>
    <row r="5" spans="1:13" ht="14.4" hidden="1" customHeight="1" outlineLevel="1" x14ac:dyDescent="0.3">
      <c r="A5" s="118" t="s">
        <v>172</v>
      </c>
      <c r="B5" s="121">
        <v>677.88400000000001</v>
      </c>
      <c r="C5" s="114">
        <v>555.72699999999998</v>
      </c>
      <c r="D5" s="114">
        <v>487.02600000000001</v>
      </c>
      <c r="E5" s="131">
        <v>0.71845035433791027</v>
      </c>
      <c r="F5" s="132">
        <v>116</v>
      </c>
      <c r="G5" s="114">
        <v>107</v>
      </c>
      <c r="H5" s="114">
        <v>84</v>
      </c>
      <c r="I5" s="133">
        <v>0.72413793103448276</v>
      </c>
      <c r="J5" s="123"/>
      <c r="K5" s="123"/>
      <c r="L5" s="7">
        <f>D5-B5</f>
        <v>-190.858</v>
      </c>
      <c r="M5" s="8">
        <f>H5-F5</f>
        <v>-32</v>
      </c>
    </row>
    <row r="6" spans="1:13" ht="14.4" hidden="1" customHeight="1" outlineLevel="1" x14ac:dyDescent="0.3">
      <c r="A6" s="119" t="s">
        <v>173</v>
      </c>
      <c r="B6" s="122">
        <v>111.863</v>
      </c>
      <c r="C6" s="113">
        <v>117.245</v>
      </c>
      <c r="D6" s="113">
        <v>117.004</v>
      </c>
      <c r="E6" s="134">
        <v>1.0459580021991186</v>
      </c>
      <c r="F6" s="135">
        <v>24</v>
      </c>
      <c r="G6" s="113">
        <v>22</v>
      </c>
      <c r="H6" s="113">
        <v>23</v>
      </c>
      <c r="I6" s="136">
        <v>0.95833333333333337</v>
      </c>
      <c r="J6" s="123"/>
      <c r="K6" s="123"/>
      <c r="L6" s="5">
        <f t="shared" ref="L6:L11" si="0">D6-B6</f>
        <v>5.1410000000000053</v>
      </c>
      <c r="M6" s="6">
        <f t="shared" ref="M6:M13" si="1">H6-F6</f>
        <v>-1</v>
      </c>
    </row>
    <row r="7" spans="1:13" ht="14.4" hidden="1" customHeight="1" outlineLevel="1" x14ac:dyDescent="0.3">
      <c r="A7" s="119" t="s">
        <v>174</v>
      </c>
      <c r="B7" s="122">
        <v>339.32799999999997</v>
      </c>
      <c r="C7" s="113">
        <v>315.25</v>
      </c>
      <c r="D7" s="113">
        <v>331.27</v>
      </c>
      <c r="E7" s="134">
        <v>0.97625306488117691</v>
      </c>
      <c r="F7" s="135">
        <v>56</v>
      </c>
      <c r="G7" s="113">
        <v>57</v>
      </c>
      <c r="H7" s="113">
        <v>65</v>
      </c>
      <c r="I7" s="136">
        <v>1.1607142857142858</v>
      </c>
      <c r="J7" s="123"/>
      <c r="K7" s="123"/>
      <c r="L7" s="5">
        <f t="shared" si="0"/>
        <v>-8.0579999999999927</v>
      </c>
      <c r="M7" s="6">
        <f t="shared" si="1"/>
        <v>9</v>
      </c>
    </row>
    <row r="8" spans="1:13" ht="14.4" hidden="1" customHeight="1" outlineLevel="1" x14ac:dyDescent="0.3">
      <c r="A8" s="119" t="s">
        <v>175</v>
      </c>
      <c r="B8" s="122">
        <v>67.344999999999999</v>
      </c>
      <c r="C8" s="113">
        <v>69.555000000000007</v>
      </c>
      <c r="D8" s="113">
        <v>26.21</v>
      </c>
      <c r="E8" s="134">
        <v>0.38918999183309827</v>
      </c>
      <c r="F8" s="135">
        <v>10</v>
      </c>
      <c r="G8" s="113">
        <v>12</v>
      </c>
      <c r="H8" s="113">
        <v>5</v>
      </c>
      <c r="I8" s="136">
        <v>0.5</v>
      </c>
      <c r="J8" s="123"/>
      <c r="K8" s="123"/>
      <c r="L8" s="5">
        <f t="shared" si="0"/>
        <v>-41.134999999999998</v>
      </c>
      <c r="M8" s="6">
        <f t="shared" si="1"/>
        <v>-5</v>
      </c>
    </row>
    <row r="9" spans="1:13" ht="14.4" hidden="1" customHeight="1" outlineLevel="1" x14ac:dyDescent="0.3">
      <c r="A9" s="119" t="s">
        <v>176</v>
      </c>
      <c r="B9" s="122">
        <v>0</v>
      </c>
      <c r="C9" s="113">
        <v>0</v>
      </c>
      <c r="D9" s="113">
        <v>0</v>
      </c>
      <c r="E9" s="134" t="s">
        <v>508</v>
      </c>
      <c r="F9" s="135">
        <v>0</v>
      </c>
      <c r="G9" s="113">
        <v>0</v>
      </c>
      <c r="H9" s="113">
        <v>0</v>
      </c>
      <c r="I9" s="136" t="s">
        <v>508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177</v>
      </c>
      <c r="B10" s="122">
        <v>181.57</v>
      </c>
      <c r="C10" s="113">
        <v>137.678</v>
      </c>
      <c r="D10" s="113">
        <v>153.55099999999999</v>
      </c>
      <c r="E10" s="134">
        <v>0.84568485983367292</v>
      </c>
      <c r="F10" s="135">
        <v>22</v>
      </c>
      <c r="G10" s="113">
        <v>26</v>
      </c>
      <c r="H10" s="113">
        <v>30</v>
      </c>
      <c r="I10" s="136">
        <v>1.3636363636363635</v>
      </c>
      <c r="J10" s="123"/>
      <c r="K10" s="123"/>
      <c r="L10" s="5">
        <f t="shared" si="0"/>
        <v>-28.019000000000005</v>
      </c>
      <c r="M10" s="6">
        <f t="shared" si="1"/>
        <v>8</v>
      </c>
    </row>
    <row r="11" spans="1:13" ht="14.4" hidden="1" customHeight="1" outlineLevel="1" x14ac:dyDescent="0.3">
      <c r="A11" s="119" t="s">
        <v>178</v>
      </c>
      <c r="B11" s="122">
        <v>27.352</v>
      </c>
      <c r="C11" s="113">
        <v>47.942999999999998</v>
      </c>
      <c r="D11" s="113">
        <v>43.741</v>
      </c>
      <c r="E11" s="134">
        <v>1.5991883591693477</v>
      </c>
      <c r="F11" s="135">
        <v>6</v>
      </c>
      <c r="G11" s="113">
        <v>8</v>
      </c>
      <c r="H11" s="113">
        <v>8</v>
      </c>
      <c r="I11" s="136">
        <v>1.3333333333333333</v>
      </c>
      <c r="J11" s="123"/>
      <c r="K11" s="123"/>
      <c r="L11" s="5">
        <f t="shared" si="0"/>
        <v>16.388999999999999</v>
      </c>
      <c r="M11" s="6">
        <f t="shared" si="1"/>
        <v>2</v>
      </c>
    </row>
    <row r="12" spans="1:13" ht="14.4" hidden="1" customHeight="1" outlineLevel="1" thickBot="1" x14ac:dyDescent="0.35">
      <c r="A12" s="250" t="s">
        <v>241</v>
      </c>
      <c r="B12" s="251">
        <v>2.6230000000000002</v>
      </c>
      <c r="C12" s="252">
        <v>10.077</v>
      </c>
      <c r="D12" s="252">
        <v>0</v>
      </c>
      <c r="E12" s="253"/>
      <c r="F12" s="254">
        <v>1</v>
      </c>
      <c r="G12" s="252">
        <v>2</v>
      </c>
      <c r="H12" s="252">
        <v>0</v>
      </c>
      <c r="I12" s="255"/>
      <c r="J12" s="123"/>
      <c r="K12" s="123"/>
      <c r="L12" s="256">
        <f>D12-B12</f>
        <v>-2.6230000000000002</v>
      </c>
      <c r="M12" s="257">
        <f>H12-F12</f>
        <v>-1</v>
      </c>
    </row>
    <row r="13" spans="1:13" ht="14.4" customHeight="1" collapsed="1" thickBot="1" x14ac:dyDescent="0.35">
      <c r="A13" s="120" t="s">
        <v>6</v>
      </c>
      <c r="B13" s="115">
        <f>SUM(B5:B12)</f>
        <v>1407.9650000000001</v>
      </c>
      <c r="C13" s="116">
        <f>SUM(C5:C12)</f>
        <v>1253.4749999999999</v>
      </c>
      <c r="D13" s="116">
        <f>SUM(D5:D12)</f>
        <v>1158.8019999999999</v>
      </c>
      <c r="E13" s="137">
        <f>IF(OR(D13=0,B13=0),0,D13/B13)</f>
        <v>0.82303324301385317</v>
      </c>
      <c r="F13" s="138">
        <f>SUM(F5:F12)</f>
        <v>235</v>
      </c>
      <c r="G13" s="116">
        <f>SUM(G5:G12)</f>
        <v>234</v>
      </c>
      <c r="H13" s="116">
        <f>SUM(H5:H12)</f>
        <v>215</v>
      </c>
      <c r="I13" s="139">
        <f>IF(OR(H13=0,F13=0),0,H13/F13)</f>
        <v>0.91489361702127658</v>
      </c>
      <c r="J13" s="123"/>
      <c r="K13" s="123"/>
      <c r="L13" s="129">
        <f>D13-B13</f>
        <v>-249.16300000000024</v>
      </c>
      <c r="M13" s="140">
        <f t="shared" si="1"/>
        <v>-20</v>
      </c>
    </row>
    <row r="14" spans="1:13" ht="14.4" customHeight="1" x14ac:dyDescent="0.3">
      <c r="A14" s="141"/>
      <c r="B14" s="552"/>
      <c r="C14" s="552"/>
      <c r="D14" s="552"/>
      <c r="E14" s="552"/>
      <c r="F14" s="552"/>
      <c r="G14" s="552"/>
      <c r="H14" s="552"/>
      <c r="I14" s="552"/>
      <c r="J14" s="123"/>
      <c r="K14" s="123"/>
      <c r="L14" s="123"/>
      <c r="M14" s="125"/>
    </row>
    <row r="15" spans="1:13" ht="14.4" customHeight="1" thickBot="1" x14ac:dyDescent="0.35">
      <c r="A15" s="141"/>
      <c r="B15" s="369"/>
      <c r="C15" s="370"/>
      <c r="D15" s="370"/>
      <c r="E15" s="370"/>
      <c r="F15" s="369"/>
      <c r="G15" s="370"/>
      <c r="H15" s="370"/>
      <c r="I15" s="370"/>
      <c r="J15" s="123"/>
      <c r="K15" s="123"/>
      <c r="L15" s="123"/>
      <c r="M15" s="125"/>
    </row>
    <row r="16" spans="1:13" ht="14.4" customHeight="1" thickBot="1" x14ac:dyDescent="0.35">
      <c r="A16" s="558" t="s">
        <v>235</v>
      </c>
      <c r="B16" s="560" t="s">
        <v>74</v>
      </c>
      <c r="C16" s="561"/>
      <c r="D16" s="561"/>
      <c r="E16" s="562"/>
      <c r="F16" s="560" t="s">
        <v>242</v>
      </c>
      <c r="G16" s="561"/>
      <c r="H16" s="561"/>
      <c r="I16" s="562"/>
      <c r="J16" s="543" t="s">
        <v>183</v>
      </c>
      <c r="K16" s="544"/>
      <c r="L16" s="158"/>
      <c r="M16" s="158"/>
    </row>
    <row r="17" spans="1:13" ht="14.4" customHeight="1" thickBot="1" x14ac:dyDescent="0.35">
      <c r="A17" s="559"/>
      <c r="B17" s="142">
        <v>2012</v>
      </c>
      <c r="C17" s="143">
        <v>2013</v>
      </c>
      <c r="D17" s="143">
        <v>2014</v>
      </c>
      <c r="E17" s="144" t="s">
        <v>5</v>
      </c>
      <c r="F17" s="142">
        <v>2012</v>
      </c>
      <c r="G17" s="143">
        <v>2013</v>
      </c>
      <c r="H17" s="143">
        <v>2014</v>
      </c>
      <c r="I17" s="144" t="s">
        <v>5</v>
      </c>
      <c r="J17" s="545" t="s">
        <v>184</v>
      </c>
      <c r="K17" s="546"/>
      <c r="L17" s="145" t="s">
        <v>75</v>
      </c>
      <c r="M17" s="146" t="s">
        <v>76</v>
      </c>
    </row>
    <row r="18" spans="1:13" ht="14.4" hidden="1" customHeight="1" outlineLevel="1" x14ac:dyDescent="0.3">
      <c r="A18" s="118" t="s">
        <v>172</v>
      </c>
      <c r="B18" s="121">
        <v>677.88400000000001</v>
      </c>
      <c r="C18" s="114">
        <v>555.72699999999998</v>
      </c>
      <c r="D18" s="114">
        <v>487.02600000000001</v>
      </c>
      <c r="E18" s="131">
        <v>0.71845035433791027</v>
      </c>
      <c r="F18" s="121">
        <v>116</v>
      </c>
      <c r="G18" s="114">
        <v>107</v>
      </c>
      <c r="H18" s="114">
        <v>84</v>
      </c>
      <c r="I18" s="133">
        <v>0.72413793103448276</v>
      </c>
      <c r="J18" s="547">
        <f>0.97*0.976</f>
        <v>0.94672000000000001</v>
      </c>
      <c r="K18" s="548"/>
      <c r="L18" s="147">
        <f>D18-B18</f>
        <v>-190.858</v>
      </c>
      <c r="M18" s="148">
        <f>H18-F18</f>
        <v>-32</v>
      </c>
    </row>
    <row r="19" spans="1:13" ht="14.4" hidden="1" customHeight="1" outlineLevel="1" x14ac:dyDescent="0.3">
      <c r="A19" s="119" t="s">
        <v>173</v>
      </c>
      <c r="B19" s="122">
        <v>111.863</v>
      </c>
      <c r="C19" s="113">
        <v>117.245</v>
      </c>
      <c r="D19" s="113">
        <v>117.004</v>
      </c>
      <c r="E19" s="134">
        <v>1.0459580021991186</v>
      </c>
      <c r="F19" s="122">
        <v>24</v>
      </c>
      <c r="G19" s="113">
        <v>22</v>
      </c>
      <c r="H19" s="113">
        <v>23</v>
      </c>
      <c r="I19" s="136">
        <v>0.95833333333333337</v>
      </c>
      <c r="J19" s="547">
        <f>0.97*1.096</f>
        <v>1.0631200000000001</v>
      </c>
      <c r="K19" s="548"/>
      <c r="L19" s="149">
        <f t="shared" ref="L19:L26" si="2">D19-B19</f>
        <v>5.1410000000000053</v>
      </c>
      <c r="M19" s="150">
        <f t="shared" ref="M19:M26" si="3">H19-F19</f>
        <v>-1</v>
      </c>
    </row>
    <row r="20" spans="1:13" ht="14.4" hidden="1" customHeight="1" outlineLevel="1" x14ac:dyDescent="0.3">
      <c r="A20" s="119" t="s">
        <v>174</v>
      </c>
      <c r="B20" s="122">
        <v>339.32799999999997</v>
      </c>
      <c r="C20" s="113">
        <v>315.25</v>
      </c>
      <c r="D20" s="113">
        <v>331.27</v>
      </c>
      <c r="E20" s="134">
        <v>0.97625306488117691</v>
      </c>
      <c r="F20" s="122">
        <v>56</v>
      </c>
      <c r="G20" s="113">
        <v>57</v>
      </c>
      <c r="H20" s="113">
        <v>65</v>
      </c>
      <c r="I20" s="136">
        <v>1.1607142857142858</v>
      </c>
      <c r="J20" s="547">
        <f>0.97*1.047</f>
        <v>1.01559</v>
      </c>
      <c r="K20" s="548"/>
      <c r="L20" s="149">
        <f t="shared" si="2"/>
        <v>-8.0579999999999927</v>
      </c>
      <c r="M20" s="150">
        <f t="shared" si="3"/>
        <v>9</v>
      </c>
    </row>
    <row r="21" spans="1:13" ht="14.4" hidden="1" customHeight="1" outlineLevel="1" x14ac:dyDescent="0.3">
      <c r="A21" s="119" t="s">
        <v>175</v>
      </c>
      <c r="B21" s="122">
        <v>67.344999999999999</v>
      </c>
      <c r="C21" s="113">
        <v>69.555000000000007</v>
      </c>
      <c r="D21" s="113">
        <v>26.21</v>
      </c>
      <c r="E21" s="134">
        <v>0.38918999183309827</v>
      </c>
      <c r="F21" s="122">
        <v>10</v>
      </c>
      <c r="G21" s="113">
        <v>12</v>
      </c>
      <c r="H21" s="113">
        <v>5</v>
      </c>
      <c r="I21" s="136">
        <v>0.5</v>
      </c>
      <c r="J21" s="547">
        <f>0.97*1.091</f>
        <v>1.05827</v>
      </c>
      <c r="K21" s="548"/>
      <c r="L21" s="149">
        <f t="shared" si="2"/>
        <v>-41.134999999999998</v>
      </c>
      <c r="M21" s="150">
        <f t="shared" si="3"/>
        <v>-5</v>
      </c>
    </row>
    <row r="22" spans="1:13" ht="14.4" hidden="1" customHeight="1" outlineLevel="1" x14ac:dyDescent="0.3">
      <c r="A22" s="119" t="s">
        <v>176</v>
      </c>
      <c r="B22" s="122">
        <v>0</v>
      </c>
      <c r="C22" s="113">
        <v>0</v>
      </c>
      <c r="D22" s="113">
        <v>0</v>
      </c>
      <c r="E22" s="134" t="s">
        <v>508</v>
      </c>
      <c r="F22" s="122">
        <v>0</v>
      </c>
      <c r="G22" s="113">
        <v>0</v>
      </c>
      <c r="H22" s="113">
        <v>0</v>
      </c>
      <c r="I22" s="136" t="s">
        <v>508</v>
      </c>
      <c r="J22" s="547">
        <f>0.97*1</f>
        <v>0.97</v>
      </c>
      <c r="K22" s="548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177</v>
      </c>
      <c r="B23" s="122">
        <v>181.57</v>
      </c>
      <c r="C23" s="113">
        <v>137.678</v>
      </c>
      <c r="D23" s="113">
        <v>153.55099999999999</v>
      </c>
      <c r="E23" s="134">
        <v>0.84568485983367292</v>
      </c>
      <c r="F23" s="122">
        <v>22</v>
      </c>
      <c r="G23" s="113">
        <v>26</v>
      </c>
      <c r="H23" s="113">
        <v>30</v>
      </c>
      <c r="I23" s="136">
        <v>1.3636363636363635</v>
      </c>
      <c r="J23" s="547">
        <f>0.97*1.096</f>
        <v>1.0631200000000001</v>
      </c>
      <c r="K23" s="548"/>
      <c r="L23" s="149">
        <f t="shared" si="2"/>
        <v>-28.019000000000005</v>
      </c>
      <c r="M23" s="150">
        <f t="shared" si="3"/>
        <v>8</v>
      </c>
    </row>
    <row r="24" spans="1:13" ht="14.4" hidden="1" customHeight="1" outlineLevel="1" x14ac:dyDescent="0.3">
      <c r="A24" s="119" t="s">
        <v>178</v>
      </c>
      <c r="B24" s="122">
        <v>27.352</v>
      </c>
      <c r="C24" s="113">
        <v>47.942999999999998</v>
      </c>
      <c r="D24" s="113">
        <v>43.741</v>
      </c>
      <c r="E24" s="134">
        <v>1.5991883591693477</v>
      </c>
      <c r="F24" s="122">
        <v>6</v>
      </c>
      <c r="G24" s="113">
        <v>8</v>
      </c>
      <c r="H24" s="113">
        <v>8</v>
      </c>
      <c r="I24" s="136">
        <v>1.3333333333333333</v>
      </c>
      <c r="J24" s="547">
        <f>0.97*0.989</f>
        <v>0.95933000000000002</v>
      </c>
      <c r="K24" s="548"/>
      <c r="L24" s="149">
        <f t="shared" si="2"/>
        <v>16.388999999999999</v>
      </c>
      <c r="M24" s="150">
        <f t="shared" si="3"/>
        <v>2</v>
      </c>
    </row>
    <row r="25" spans="1:13" ht="14.4" hidden="1" customHeight="1" outlineLevel="1" thickBot="1" x14ac:dyDescent="0.35">
      <c r="A25" s="250" t="s">
        <v>241</v>
      </c>
      <c r="B25" s="251">
        <v>2.6230000000000002</v>
      </c>
      <c r="C25" s="252">
        <v>10.077</v>
      </c>
      <c r="D25" s="252">
        <v>0</v>
      </c>
      <c r="E25" s="253"/>
      <c r="F25" s="251">
        <v>1</v>
      </c>
      <c r="G25" s="252">
        <v>2</v>
      </c>
      <c r="H25" s="252">
        <v>0</v>
      </c>
      <c r="I25" s="255"/>
      <c r="J25" s="371"/>
      <c r="K25" s="372"/>
      <c r="L25" s="258">
        <f>D25-B25</f>
        <v>-2.6230000000000002</v>
      </c>
      <c r="M25" s="259">
        <f>H25-F25</f>
        <v>-1</v>
      </c>
    </row>
    <row r="26" spans="1:13" ht="14.4" customHeight="1" collapsed="1" thickBot="1" x14ac:dyDescent="0.35">
      <c r="A26" s="151" t="s">
        <v>6</v>
      </c>
      <c r="B26" s="152">
        <f>SUM(B18:B25)</f>
        <v>1407.9650000000001</v>
      </c>
      <c r="C26" s="153">
        <f>SUM(C18:C25)</f>
        <v>1253.4749999999999</v>
      </c>
      <c r="D26" s="153">
        <f>SUM(D18:D25)</f>
        <v>1158.8019999999999</v>
      </c>
      <c r="E26" s="154">
        <f>IF(OR(D26=0,B26=0),0,D26/B26)</f>
        <v>0.82303324301385317</v>
      </c>
      <c r="F26" s="152">
        <f>SUM(F18:F25)</f>
        <v>235</v>
      </c>
      <c r="G26" s="153">
        <f>SUM(G18:G25)</f>
        <v>234</v>
      </c>
      <c r="H26" s="153">
        <f>SUM(H18:H25)</f>
        <v>215</v>
      </c>
      <c r="I26" s="155">
        <f>IF(OR(H26=0,F26=0),0,H26/F26)</f>
        <v>0.91489361702127658</v>
      </c>
      <c r="J26" s="123"/>
      <c r="K26" s="123"/>
      <c r="L26" s="145">
        <f t="shared" si="2"/>
        <v>-249.16300000000024</v>
      </c>
      <c r="M26" s="156">
        <f t="shared" si="3"/>
        <v>-20</v>
      </c>
    </row>
    <row r="27" spans="1:13" ht="14.4" customHeight="1" x14ac:dyDescent="0.3">
      <c r="A27" s="157"/>
      <c r="B27" s="552" t="s">
        <v>237</v>
      </c>
      <c r="C27" s="563"/>
      <c r="D27" s="563"/>
      <c r="E27" s="563"/>
      <c r="F27" s="552" t="s">
        <v>238</v>
      </c>
      <c r="G27" s="563"/>
      <c r="H27" s="563"/>
      <c r="I27" s="563"/>
      <c r="J27" s="158"/>
      <c r="K27" s="158"/>
      <c r="L27" s="158"/>
      <c r="M27" s="159"/>
    </row>
    <row r="28" spans="1:13" ht="14.4" customHeight="1" thickBot="1" x14ac:dyDescent="0.35">
      <c r="A28" s="157"/>
      <c r="B28" s="369"/>
      <c r="C28" s="370"/>
      <c r="D28" s="370"/>
      <c r="E28" s="370"/>
      <c r="F28" s="369"/>
      <c r="G28" s="370"/>
      <c r="H28" s="370"/>
      <c r="I28" s="370"/>
      <c r="J28" s="158"/>
      <c r="K28" s="158"/>
      <c r="L28" s="158"/>
      <c r="M28" s="159"/>
    </row>
    <row r="29" spans="1:13" ht="14.4" customHeight="1" thickBot="1" x14ac:dyDescent="0.35">
      <c r="A29" s="553" t="s">
        <v>236</v>
      </c>
      <c r="B29" s="555" t="s">
        <v>74</v>
      </c>
      <c r="C29" s="556"/>
      <c r="D29" s="556"/>
      <c r="E29" s="557"/>
      <c r="F29" s="556" t="s">
        <v>242</v>
      </c>
      <c r="G29" s="556"/>
      <c r="H29" s="556"/>
      <c r="I29" s="557"/>
      <c r="J29" s="158"/>
      <c r="K29" s="158"/>
      <c r="L29" s="158"/>
      <c r="M29" s="159"/>
    </row>
    <row r="30" spans="1:13" ht="14.4" customHeight="1" thickBot="1" x14ac:dyDescent="0.35">
      <c r="A30" s="554"/>
      <c r="B30" s="160">
        <v>2012</v>
      </c>
      <c r="C30" s="161">
        <v>2013</v>
      </c>
      <c r="D30" s="161">
        <v>2014</v>
      </c>
      <c r="E30" s="162" t="s">
        <v>5</v>
      </c>
      <c r="F30" s="161">
        <v>2012</v>
      </c>
      <c r="G30" s="161">
        <v>2013</v>
      </c>
      <c r="H30" s="161">
        <v>2014</v>
      </c>
      <c r="I30" s="162" t="s">
        <v>5</v>
      </c>
      <c r="J30" s="158"/>
      <c r="K30" s="158"/>
      <c r="L30" s="163" t="s">
        <v>75</v>
      </c>
      <c r="M30" s="164" t="s">
        <v>76</v>
      </c>
    </row>
    <row r="31" spans="1:13" ht="14.4" hidden="1" customHeight="1" outlineLevel="1" x14ac:dyDescent="0.3">
      <c r="A31" s="118" t="s">
        <v>172</v>
      </c>
      <c r="B31" s="121">
        <v>0</v>
      </c>
      <c r="C31" s="114">
        <v>0</v>
      </c>
      <c r="D31" s="114">
        <v>0</v>
      </c>
      <c r="E31" s="131" t="s">
        <v>508</v>
      </c>
      <c r="F31" s="132">
        <v>0</v>
      </c>
      <c r="G31" s="114">
        <v>0</v>
      </c>
      <c r="H31" s="114">
        <v>0</v>
      </c>
      <c r="I31" s="133" t="s">
        <v>508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173</v>
      </c>
      <c r="B32" s="122">
        <v>0</v>
      </c>
      <c r="C32" s="113">
        <v>0</v>
      </c>
      <c r="D32" s="113">
        <v>0</v>
      </c>
      <c r="E32" s="134" t="s">
        <v>508</v>
      </c>
      <c r="F32" s="135">
        <v>0</v>
      </c>
      <c r="G32" s="113">
        <v>0</v>
      </c>
      <c r="H32" s="113">
        <v>0</v>
      </c>
      <c r="I32" s="136" t="s">
        <v>508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174</v>
      </c>
      <c r="B33" s="122">
        <v>0</v>
      </c>
      <c r="C33" s="113">
        <v>0</v>
      </c>
      <c r="D33" s="113">
        <v>0</v>
      </c>
      <c r="E33" s="134" t="s">
        <v>508</v>
      </c>
      <c r="F33" s="135">
        <v>0</v>
      </c>
      <c r="G33" s="113">
        <v>0</v>
      </c>
      <c r="H33" s="113">
        <v>0</v>
      </c>
      <c r="I33" s="136" t="s">
        <v>508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175</v>
      </c>
      <c r="B34" s="122">
        <v>0</v>
      </c>
      <c r="C34" s="113">
        <v>0</v>
      </c>
      <c r="D34" s="113">
        <v>0</v>
      </c>
      <c r="E34" s="134" t="s">
        <v>508</v>
      </c>
      <c r="F34" s="135">
        <v>0</v>
      </c>
      <c r="G34" s="113">
        <v>0</v>
      </c>
      <c r="H34" s="113">
        <v>0</v>
      </c>
      <c r="I34" s="136" t="s">
        <v>508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176</v>
      </c>
      <c r="B35" s="122">
        <v>0</v>
      </c>
      <c r="C35" s="113">
        <v>0</v>
      </c>
      <c r="D35" s="113">
        <v>0</v>
      </c>
      <c r="E35" s="134" t="s">
        <v>508</v>
      </c>
      <c r="F35" s="135">
        <v>0</v>
      </c>
      <c r="G35" s="113">
        <v>0</v>
      </c>
      <c r="H35" s="113">
        <v>0</v>
      </c>
      <c r="I35" s="136" t="s">
        <v>508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177</v>
      </c>
      <c r="B36" s="122">
        <v>0</v>
      </c>
      <c r="C36" s="113">
        <v>0</v>
      </c>
      <c r="D36" s="113">
        <v>0</v>
      </c>
      <c r="E36" s="134" t="s">
        <v>508</v>
      </c>
      <c r="F36" s="135">
        <v>0</v>
      </c>
      <c r="G36" s="113">
        <v>0</v>
      </c>
      <c r="H36" s="113">
        <v>0</v>
      </c>
      <c r="I36" s="136" t="s">
        <v>508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178</v>
      </c>
      <c r="B37" s="122">
        <v>0</v>
      </c>
      <c r="C37" s="113">
        <v>0</v>
      </c>
      <c r="D37" s="113">
        <v>0</v>
      </c>
      <c r="E37" s="134" t="s">
        <v>508</v>
      </c>
      <c r="F37" s="135">
        <v>0</v>
      </c>
      <c r="G37" s="113">
        <v>0</v>
      </c>
      <c r="H37" s="113">
        <v>0</v>
      </c>
      <c r="I37" s="136" t="s">
        <v>508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50" t="s">
        <v>241</v>
      </c>
      <c r="B38" s="251">
        <v>0</v>
      </c>
      <c r="C38" s="252">
        <v>0</v>
      </c>
      <c r="D38" s="252">
        <v>0</v>
      </c>
      <c r="E38" s="253"/>
      <c r="F38" s="254">
        <v>0</v>
      </c>
      <c r="G38" s="252">
        <v>0</v>
      </c>
      <c r="H38" s="252">
        <v>0</v>
      </c>
      <c r="I38" s="255"/>
      <c r="J38" s="158"/>
      <c r="K38" s="158"/>
      <c r="L38" s="258">
        <f>D38-B38</f>
        <v>0</v>
      </c>
      <c r="M38" s="259">
        <f>H38-F38</f>
        <v>0</v>
      </c>
    </row>
    <row r="39" spans="1:13" ht="14.4" customHeight="1" collapsed="1" thickBot="1" x14ac:dyDescent="0.35">
      <c r="A39" s="165" t="s">
        <v>6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3"/>
      <c r="B40" s="373"/>
      <c r="C40" s="373"/>
      <c r="D40" s="373"/>
      <c r="E40" s="374"/>
      <c r="F40" s="373"/>
      <c r="G40" s="373"/>
      <c r="H40" s="373"/>
      <c r="I40" s="375"/>
      <c r="J40" s="373"/>
      <c r="K40" s="373"/>
      <c r="L40" s="373"/>
      <c r="M40" s="373"/>
    </row>
    <row r="41" spans="1:13" ht="14.4" customHeight="1" x14ac:dyDescent="0.3">
      <c r="A41" s="268" t="s">
        <v>239</v>
      </c>
      <c r="B41" s="373"/>
      <c r="C41" s="373"/>
      <c r="D41" s="373"/>
      <c r="E41" s="374"/>
      <c r="F41" s="373"/>
      <c r="G41" s="373"/>
      <c r="H41" s="373"/>
      <c r="I41" s="375"/>
      <c r="J41" s="373"/>
      <c r="K41" s="373"/>
      <c r="L41" s="373"/>
      <c r="M41" s="373"/>
    </row>
    <row r="42" spans="1:13" ht="14.4" customHeight="1" x14ac:dyDescent="0.3">
      <c r="A42" s="249" t="s">
        <v>240</v>
      </c>
      <c r="B42" s="373"/>
      <c r="C42" s="373"/>
      <c r="D42" s="373"/>
      <c r="E42" s="374"/>
      <c r="F42" s="373"/>
      <c r="G42" s="373"/>
      <c r="H42" s="373"/>
      <c r="I42" s="375"/>
      <c r="J42" s="373"/>
      <c r="K42" s="373"/>
      <c r="L42" s="373"/>
      <c r="M42" s="373"/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7" t="s">
        <v>118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x14ac:dyDescent="0.3">
      <c r="A2" s="389" t="s">
        <v>298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8"/>
      <c r="C3" s="378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8"/>
      <c r="C4" s="378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8"/>
      <c r="C5" s="378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8"/>
      <c r="C6" s="378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8"/>
      <c r="C7" s="378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8"/>
      <c r="C8" s="378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8"/>
      <c r="C9" s="378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8"/>
      <c r="C10" s="378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8"/>
      <c r="C11" s="378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8"/>
      <c r="C12" s="378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8"/>
      <c r="C13" s="378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8"/>
      <c r="C14" s="378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8"/>
      <c r="C15" s="378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8"/>
      <c r="C16" s="378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8"/>
      <c r="C17" s="378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8"/>
      <c r="C18" s="378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8"/>
      <c r="C19" s="378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8"/>
      <c r="C20" s="378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8"/>
      <c r="C21" s="378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8"/>
      <c r="C22" s="378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8"/>
      <c r="C23" s="378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8"/>
      <c r="C24" s="378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8"/>
      <c r="C25" s="378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8"/>
      <c r="C26" s="378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8"/>
      <c r="C27" s="378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8"/>
      <c r="C28" s="378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8"/>
      <c r="C29" s="378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8"/>
      <c r="C30" s="378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4" t="s">
        <v>86</v>
      </c>
      <c r="C31" s="565"/>
      <c r="D31" s="565"/>
      <c r="E31" s="566"/>
      <c r="F31" s="171" t="s">
        <v>86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70</v>
      </c>
      <c r="B32" s="172" t="s">
        <v>89</v>
      </c>
      <c r="C32" s="173" t="s">
        <v>90</v>
      </c>
      <c r="D32" s="173" t="s">
        <v>91</v>
      </c>
      <c r="E32" s="174" t="s">
        <v>5</v>
      </c>
      <c r="F32" s="175" t="s">
        <v>92</v>
      </c>
      <c r="G32" s="379"/>
      <c r="H32" s="379" t="s">
        <v>119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106</v>
      </c>
      <c r="B33" s="206">
        <v>838.96</v>
      </c>
      <c r="C33" s="206">
        <v>566</v>
      </c>
      <c r="D33" s="84">
        <f>IF(C33="","",C33-B33)</f>
        <v>-272.96000000000004</v>
      </c>
      <c r="E33" s="85">
        <f>IF(C33="","",C33/B33)</f>
        <v>0.67464479832173163</v>
      </c>
      <c r="F33" s="86">
        <v>46.95</v>
      </c>
      <c r="G33" s="379">
        <v>0</v>
      </c>
      <c r="H33" s="380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107</v>
      </c>
      <c r="B34" s="207">
        <v>2046.97</v>
      </c>
      <c r="C34" s="207">
        <v>1382</v>
      </c>
      <c r="D34" s="87">
        <f t="shared" ref="D34:D45" si="0">IF(C34="","",C34-B34)</f>
        <v>-664.97</v>
      </c>
      <c r="E34" s="88">
        <f t="shared" ref="E34:E45" si="1">IF(C34="","",C34/B34)</f>
        <v>0.67514423758042375</v>
      </c>
      <c r="F34" s="89">
        <v>97.51</v>
      </c>
      <c r="G34" s="379">
        <v>1</v>
      </c>
      <c r="H34" s="380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108</v>
      </c>
      <c r="B35" s="207"/>
      <c r="C35" s="207"/>
      <c r="D35" s="87" t="str">
        <f t="shared" si="0"/>
        <v/>
      </c>
      <c r="E35" s="88" t="str">
        <f t="shared" si="1"/>
        <v/>
      </c>
      <c r="F35" s="89"/>
      <c r="G35" s="381"/>
      <c r="H35" s="381"/>
      <c r="I35" s="80"/>
      <c r="J35" s="80"/>
      <c r="K35" s="80"/>
      <c r="L35" s="80"/>
      <c r="M35" s="80"/>
    </row>
    <row r="36" spans="1:13" ht="14.4" customHeight="1" x14ac:dyDescent="0.3">
      <c r="A36" s="177" t="s">
        <v>109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81"/>
      <c r="H36" s="381"/>
      <c r="I36" s="80"/>
      <c r="J36" s="80"/>
      <c r="K36" s="80"/>
      <c r="L36" s="80"/>
      <c r="M36" s="80"/>
    </row>
    <row r="37" spans="1:13" ht="14.4" customHeight="1" x14ac:dyDescent="0.3">
      <c r="A37" s="177" t="s">
        <v>110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81"/>
      <c r="H37" s="381"/>
      <c r="I37" s="80"/>
      <c r="J37" s="80"/>
      <c r="K37" s="80"/>
      <c r="L37" s="80"/>
      <c r="M37" s="80"/>
    </row>
    <row r="38" spans="1:13" ht="14.4" customHeight="1" x14ac:dyDescent="0.3">
      <c r="A38" s="177" t="s">
        <v>111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81"/>
      <c r="H38" s="381"/>
      <c r="I38" s="80"/>
      <c r="J38" s="80"/>
      <c r="K38" s="80"/>
      <c r="L38" s="80"/>
      <c r="M38" s="80"/>
    </row>
    <row r="39" spans="1:13" ht="14.4" customHeight="1" x14ac:dyDescent="0.3">
      <c r="A39" s="177" t="s">
        <v>112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81"/>
      <c r="H39" s="381"/>
      <c r="I39" s="80"/>
      <c r="J39" s="80"/>
      <c r="K39" s="80"/>
      <c r="L39" s="80"/>
      <c r="M39" s="80"/>
    </row>
    <row r="40" spans="1:13" ht="14.4" customHeight="1" x14ac:dyDescent="0.3">
      <c r="A40" s="177" t="s">
        <v>113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81"/>
      <c r="H40" s="381"/>
      <c r="I40" s="80"/>
      <c r="J40" s="80"/>
      <c r="K40" s="80"/>
      <c r="L40" s="80"/>
      <c r="M40" s="80"/>
    </row>
    <row r="41" spans="1:13" ht="14.4" customHeight="1" x14ac:dyDescent="0.3">
      <c r="A41" s="177" t="s">
        <v>114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81"/>
      <c r="H41" s="381"/>
      <c r="I41" s="80"/>
      <c r="J41" s="80"/>
      <c r="K41" s="80"/>
      <c r="L41" s="80"/>
      <c r="M41" s="80"/>
    </row>
    <row r="42" spans="1:13" ht="14.4" customHeight="1" x14ac:dyDescent="0.3">
      <c r="A42" s="177" t="s">
        <v>115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81"/>
      <c r="H42" s="381"/>
      <c r="I42" s="80"/>
      <c r="J42" s="80"/>
      <c r="K42" s="80"/>
      <c r="L42" s="80"/>
      <c r="M42" s="80"/>
    </row>
    <row r="43" spans="1:13" ht="14.4" customHeight="1" x14ac:dyDescent="0.3">
      <c r="A43" s="177" t="s">
        <v>116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81"/>
      <c r="H43" s="381"/>
      <c r="I43" s="80"/>
      <c r="J43" s="80"/>
      <c r="K43" s="80"/>
      <c r="L43" s="80"/>
      <c r="M43" s="80"/>
    </row>
    <row r="44" spans="1:13" ht="14.4" customHeight="1" x14ac:dyDescent="0.3">
      <c r="A44" s="177" t="s">
        <v>117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81"/>
      <c r="H44" s="381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120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81"/>
      <c r="H45" s="381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3" customWidth="1"/>
    <col min="3" max="3" width="5.88671875" style="223" customWidth="1"/>
    <col min="4" max="4" width="7.6640625" style="223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3" customWidth="1"/>
    <col min="20" max="20" width="9.6640625" style="223" customWidth="1"/>
    <col min="21" max="21" width="7.6640625" style="223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7" customFormat="1" ht="18.600000000000001" customHeight="1" thickBot="1" x14ac:dyDescent="0.4">
      <c r="A1" s="520" t="s">
        <v>2906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</row>
    <row r="2" spans="1:23" ht="14.4" customHeight="1" thickBot="1" x14ac:dyDescent="0.35">
      <c r="A2" s="389" t="s">
        <v>298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2"/>
      <c r="Q2" s="382"/>
      <c r="R2" s="382"/>
      <c r="S2" s="383"/>
      <c r="T2" s="383"/>
      <c r="U2" s="383"/>
      <c r="V2" s="382"/>
      <c r="W2" s="384"/>
    </row>
    <row r="3" spans="1:23" s="94" customFormat="1" ht="14.4" customHeight="1" x14ac:dyDescent="0.3">
      <c r="A3" s="573" t="s">
        <v>78</v>
      </c>
      <c r="B3" s="574">
        <v>2012</v>
      </c>
      <c r="C3" s="575"/>
      <c r="D3" s="576"/>
      <c r="E3" s="574">
        <v>2013</v>
      </c>
      <c r="F3" s="575"/>
      <c r="G3" s="576"/>
      <c r="H3" s="574">
        <v>2014</v>
      </c>
      <c r="I3" s="575"/>
      <c r="J3" s="576"/>
      <c r="K3" s="577" t="s">
        <v>79</v>
      </c>
      <c r="L3" s="569" t="s">
        <v>80</v>
      </c>
      <c r="M3" s="569" t="s">
        <v>81</v>
      </c>
      <c r="N3" s="569" t="s">
        <v>82</v>
      </c>
      <c r="O3" s="276" t="s">
        <v>83</v>
      </c>
      <c r="P3" s="570" t="s">
        <v>84</v>
      </c>
      <c r="Q3" s="571" t="s">
        <v>85</v>
      </c>
      <c r="R3" s="572"/>
      <c r="S3" s="567" t="s">
        <v>86</v>
      </c>
      <c r="T3" s="568"/>
      <c r="U3" s="568"/>
      <c r="V3" s="568"/>
      <c r="W3" s="224" t="s">
        <v>86</v>
      </c>
    </row>
    <row r="4" spans="1:23" s="95" customFormat="1" ht="14.4" customHeight="1" thickBot="1" x14ac:dyDescent="0.35">
      <c r="A4" s="775"/>
      <c r="B4" s="776" t="s">
        <v>87</v>
      </c>
      <c r="C4" s="777" t="s">
        <v>75</v>
      </c>
      <c r="D4" s="778" t="s">
        <v>88</v>
      </c>
      <c r="E4" s="776" t="s">
        <v>87</v>
      </c>
      <c r="F4" s="777" t="s">
        <v>75</v>
      </c>
      <c r="G4" s="778" t="s">
        <v>88</v>
      </c>
      <c r="H4" s="776" t="s">
        <v>87</v>
      </c>
      <c r="I4" s="777" t="s">
        <v>75</v>
      </c>
      <c r="J4" s="778" t="s">
        <v>88</v>
      </c>
      <c r="K4" s="779"/>
      <c r="L4" s="780"/>
      <c r="M4" s="780"/>
      <c r="N4" s="780"/>
      <c r="O4" s="781"/>
      <c r="P4" s="782"/>
      <c r="Q4" s="783" t="s">
        <v>76</v>
      </c>
      <c r="R4" s="784" t="s">
        <v>75</v>
      </c>
      <c r="S4" s="785" t="s">
        <v>89</v>
      </c>
      <c r="T4" s="786" t="s">
        <v>90</v>
      </c>
      <c r="U4" s="786" t="s">
        <v>91</v>
      </c>
      <c r="V4" s="787" t="s">
        <v>5</v>
      </c>
      <c r="W4" s="788" t="s">
        <v>92</v>
      </c>
    </row>
    <row r="5" spans="1:23" ht="14.4" customHeight="1" x14ac:dyDescent="0.3">
      <c r="A5" s="819" t="s">
        <v>2811</v>
      </c>
      <c r="B5" s="789"/>
      <c r="C5" s="790"/>
      <c r="D5" s="791"/>
      <c r="E5" s="792"/>
      <c r="F5" s="793"/>
      <c r="G5" s="794"/>
      <c r="H5" s="795">
        <v>1</v>
      </c>
      <c r="I5" s="796">
        <v>18.32</v>
      </c>
      <c r="J5" s="797">
        <v>16</v>
      </c>
      <c r="K5" s="798">
        <v>18.32</v>
      </c>
      <c r="L5" s="799">
        <v>11</v>
      </c>
      <c r="M5" s="799">
        <v>75</v>
      </c>
      <c r="N5" s="800">
        <v>25.1</v>
      </c>
      <c r="O5" s="799" t="s">
        <v>2812</v>
      </c>
      <c r="P5" s="801" t="s">
        <v>2813</v>
      </c>
      <c r="Q5" s="802">
        <f>H5-B5</f>
        <v>1</v>
      </c>
      <c r="R5" s="802">
        <f>I5-C5</f>
        <v>18.32</v>
      </c>
      <c r="S5" s="789">
        <f>IF(H5=0,"",H5*N5)</f>
        <v>25.1</v>
      </c>
      <c r="T5" s="789">
        <f>IF(H5=0,"",H5*J5)</f>
        <v>16</v>
      </c>
      <c r="U5" s="789">
        <f>IF(H5=0,"",T5-S5)</f>
        <v>-9.1000000000000014</v>
      </c>
      <c r="V5" s="803">
        <f>IF(H5=0,"",T5/S5)</f>
        <v>0.63745019920318724</v>
      </c>
      <c r="W5" s="804"/>
    </row>
    <row r="6" spans="1:23" ht="14.4" customHeight="1" x14ac:dyDescent="0.3">
      <c r="A6" s="820" t="s">
        <v>2814</v>
      </c>
      <c r="B6" s="768"/>
      <c r="C6" s="769"/>
      <c r="D6" s="770"/>
      <c r="E6" s="771">
        <v>1</v>
      </c>
      <c r="F6" s="750">
        <v>9.98</v>
      </c>
      <c r="G6" s="751">
        <v>13</v>
      </c>
      <c r="H6" s="752">
        <v>1</v>
      </c>
      <c r="I6" s="753">
        <v>9.98</v>
      </c>
      <c r="J6" s="754">
        <v>7</v>
      </c>
      <c r="K6" s="755">
        <v>9.98</v>
      </c>
      <c r="L6" s="756">
        <v>5</v>
      </c>
      <c r="M6" s="756">
        <v>43</v>
      </c>
      <c r="N6" s="757">
        <v>14.23</v>
      </c>
      <c r="O6" s="756" t="s">
        <v>2812</v>
      </c>
      <c r="P6" s="772" t="s">
        <v>2815</v>
      </c>
      <c r="Q6" s="758">
        <f t="shared" ref="Q6:R51" si="0">H6-B6</f>
        <v>1</v>
      </c>
      <c r="R6" s="758">
        <f t="shared" si="0"/>
        <v>9.98</v>
      </c>
      <c r="S6" s="768">
        <f t="shared" ref="S6:S51" si="1">IF(H6=0,"",H6*N6)</f>
        <v>14.23</v>
      </c>
      <c r="T6" s="768">
        <f t="shared" ref="T6:T51" si="2">IF(H6=0,"",H6*J6)</f>
        <v>7</v>
      </c>
      <c r="U6" s="768">
        <f t="shared" ref="U6:U51" si="3">IF(H6=0,"",T6-S6)</f>
        <v>-7.23</v>
      </c>
      <c r="V6" s="773">
        <f t="shared" ref="V6:V51" si="4">IF(H6=0,"",T6/S6)</f>
        <v>0.49191848208011241</v>
      </c>
      <c r="W6" s="759"/>
    </row>
    <row r="7" spans="1:23" ht="14.4" customHeight="1" x14ac:dyDescent="0.3">
      <c r="A7" s="821" t="s">
        <v>2816</v>
      </c>
      <c r="B7" s="805">
        <v>1</v>
      </c>
      <c r="C7" s="806">
        <v>11.53</v>
      </c>
      <c r="D7" s="774">
        <v>12</v>
      </c>
      <c r="E7" s="807"/>
      <c r="F7" s="808"/>
      <c r="G7" s="760"/>
      <c r="H7" s="809"/>
      <c r="I7" s="810"/>
      <c r="J7" s="761"/>
      <c r="K7" s="811">
        <v>11.49</v>
      </c>
      <c r="L7" s="812">
        <v>6</v>
      </c>
      <c r="M7" s="812">
        <v>53</v>
      </c>
      <c r="N7" s="813">
        <v>17.510000000000002</v>
      </c>
      <c r="O7" s="812" t="s">
        <v>2812</v>
      </c>
      <c r="P7" s="814" t="s">
        <v>2817</v>
      </c>
      <c r="Q7" s="815">
        <f t="shared" si="0"/>
        <v>-1</v>
      </c>
      <c r="R7" s="815">
        <f t="shared" si="0"/>
        <v>-11.53</v>
      </c>
      <c r="S7" s="805" t="str">
        <f t="shared" si="1"/>
        <v/>
      </c>
      <c r="T7" s="805" t="str">
        <f t="shared" si="2"/>
        <v/>
      </c>
      <c r="U7" s="805" t="str">
        <f t="shared" si="3"/>
        <v/>
      </c>
      <c r="V7" s="816" t="str">
        <f t="shared" si="4"/>
        <v/>
      </c>
      <c r="W7" s="762"/>
    </row>
    <row r="8" spans="1:23" ht="14.4" customHeight="1" x14ac:dyDescent="0.3">
      <c r="A8" s="820" t="s">
        <v>2818</v>
      </c>
      <c r="B8" s="768"/>
      <c r="C8" s="769"/>
      <c r="D8" s="770"/>
      <c r="E8" s="752">
        <v>1</v>
      </c>
      <c r="F8" s="753">
        <v>50.61</v>
      </c>
      <c r="G8" s="754">
        <v>51</v>
      </c>
      <c r="H8" s="756"/>
      <c r="I8" s="750"/>
      <c r="J8" s="751"/>
      <c r="K8" s="755">
        <v>50.61</v>
      </c>
      <c r="L8" s="756">
        <v>22</v>
      </c>
      <c r="M8" s="756">
        <v>149</v>
      </c>
      <c r="N8" s="757">
        <v>49.56</v>
      </c>
      <c r="O8" s="756" t="s">
        <v>2812</v>
      </c>
      <c r="P8" s="772" t="s">
        <v>2819</v>
      </c>
      <c r="Q8" s="758">
        <f t="shared" si="0"/>
        <v>0</v>
      </c>
      <c r="R8" s="758">
        <f t="shared" si="0"/>
        <v>0</v>
      </c>
      <c r="S8" s="768" t="str">
        <f t="shared" si="1"/>
        <v/>
      </c>
      <c r="T8" s="768" t="str">
        <f t="shared" si="2"/>
        <v/>
      </c>
      <c r="U8" s="768" t="str">
        <f t="shared" si="3"/>
        <v/>
      </c>
      <c r="V8" s="773" t="str">
        <f t="shared" si="4"/>
        <v/>
      </c>
      <c r="W8" s="759"/>
    </row>
    <row r="9" spans="1:23" ht="14.4" customHeight="1" x14ac:dyDescent="0.3">
      <c r="A9" s="820" t="s">
        <v>2820</v>
      </c>
      <c r="B9" s="768"/>
      <c r="C9" s="769"/>
      <c r="D9" s="770"/>
      <c r="E9" s="752">
        <v>1</v>
      </c>
      <c r="F9" s="753">
        <v>38.4</v>
      </c>
      <c r="G9" s="754">
        <v>50</v>
      </c>
      <c r="H9" s="756"/>
      <c r="I9" s="750"/>
      <c r="J9" s="751"/>
      <c r="K9" s="755">
        <v>38.4</v>
      </c>
      <c r="L9" s="756">
        <v>22</v>
      </c>
      <c r="M9" s="756">
        <v>138</v>
      </c>
      <c r="N9" s="757">
        <v>46.15</v>
      </c>
      <c r="O9" s="756" t="s">
        <v>2812</v>
      </c>
      <c r="P9" s="772" t="s">
        <v>2821</v>
      </c>
      <c r="Q9" s="758">
        <f t="shared" si="0"/>
        <v>0</v>
      </c>
      <c r="R9" s="758">
        <f t="shared" si="0"/>
        <v>0</v>
      </c>
      <c r="S9" s="768" t="str">
        <f t="shared" si="1"/>
        <v/>
      </c>
      <c r="T9" s="768" t="str">
        <f t="shared" si="2"/>
        <v/>
      </c>
      <c r="U9" s="768" t="str">
        <f t="shared" si="3"/>
        <v/>
      </c>
      <c r="V9" s="773" t="str">
        <f t="shared" si="4"/>
        <v/>
      </c>
      <c r="W9" s="759"/>
    </row>
    <row r="10" spans="1:23" ht="14.4" customHeight="1" x14ac:dyDescent="0.3">
      <c r="A10" s="820" t="s">
        <v>2822</v>
      </c>
      <c r="B10" s="763">
        <v>2</v>
      </c>
      <c r="C10" s="764">
        <v>58.91</v>
      </c>
      <c r="D10" s="765">
        <v>27</v>
      </c>
      <c r="E10" s="771"/>
      <c r="F10" s="750"/>
      <c r="G10" s="751"/>
      <c r="H10" s="756">
        <v>1</v>
      </c>
      <c r="I10" s="750">
        <v>28.42</v>
      </c>
      <c r="J10" s="751">
        <v>16</v>
      </c>
      <c r="K10" s="755">
        <v>30.58</v>
      </c>
      <c r="L10" s="756">
        <v>11</v>
      </c>
      <c r="M10" s="756">
        <v>98</v>
      </c>
      <c r="N10" s="757">
        <v>32.64</v>
      </c>
      <c r="O10" s="756" t="s">
        <v>2812</v>
      </c>
      <c r="P10" s="772" t="s">
        <v>2823</v>
      </c>
      <c r="Q10" s="758">
        <f t="shared" si="0"/>
        <v>-1</v>
      </c>
      <c r="R10" s="758">
        <f t="shared" si="0"/>
        <v>-30.489999999999995</v>
      </c>
      <c r="S10" s="768">
        <f t="shared" si="1"/>
        <v>32.64</v>
      </c>
      <c r="T10" s="768">
        <f t="shared" si="2"/>
        <v>16</v>
      </c>
      <c r="U10" s="768">
        <f t="shared" si="3"/>
        <v>-16.64</v>
      </c>
      <c r="V10" s="773">
        <f t="shared" si="4"/>
        <v>0.49019607843137253</v>
      </c>
      <c r="W10" s="759"/>
    </row>
    <row r="11" spans="1:23" ht="14.4" customHeight="1" x14ac:dyDescent="0.3">
      <c r="A11" s="820" t="s">
        <v>2824</v>
      </c>
      <c r="B11" s="768">
        <v>2</v>
      </c>
      <c r="C11" s="769">
        <v>30.67</v>
      </c>
      <c r="D11" s="770">
        <v>9.5</v>
      </c>
      <c r="E11" s="771">
        <v>2</v>
      </c>
      <c r="F11" s="750">
        <v>34.880000000000003</v>
      </c>
      <c r="G11" s="751">
        <v>19.5</v>
      </c>
      <c r="H11" s="752">
        <v>4</v>
      </c>
      <c r="I11" s="753">
        <v>61.35</v>
      </c>
      <c r="J11" s="754">
        <v>17</v>
      </c>
      <c r="K11" s="755">
        <v>15.34</v>
      </c>
      <c r="L11" s="756">
        <v>6</v>
      </c>
      <c r="M11" s="756">
        <v>51</v>
      </c>
      <c r="N11" s="757">
        <v>17.12</v>
      </c>
      <c r="O11" s="756" t="s">
        <v>2812</v>
      </c>
      <c r="P11" s="772" t="s">
        <v>2825</v>
      </c>
      <c r="Q11" s="758">
        <f t="shared" si="0"/>
        <v>2</v>
      </c>
      <c r="R11" s="758">
        <f t="shared" si="0"/>
        <v>30.68</v>
      </c>
      <c r="S11" s="768">
        <f t="shared" si="1"/>
        <v>68.48</v>
      </c>
      <c r="T11" s="768">
        <f t="shared" si="2"/>
        <v>68</v>
      </c>
      <c r="U11" s="768">
        <f t="shared" si="3"/>
        <v>-0.48000000000000398</v>
      </c>
      <c r="V11" s="773">
        <f t="shared" si="4"/>
        <v>0.99299065420560739</v>
      </c>
      <c r="W11" s="759">
        <v>15</v>
      </c>
    </row>
    <row r="12" spans="1:23" ht="14.4" customHeight="1" x14ac:dyDescent="0.3">
      <c r="A12" s="821" t="s">
        <v>2826</v>
      </c>
      <c r="B12" s="805"/>
      <c r="C12" s="806"/>
      <c r="D12" s="774"/>
      <c r="E12" s="807">
        <v>1</v>
      </c>
      <c r="F12" s="808">
        <v>15.34</v>
      </c>
      <c r="G12" s="760">
        <v>15</v>
      </c>
      <c r="H12" s="809"/>
      <c r="I12" s="810"/>
      <c r="J12" s="761"/>
      <c r="K12" s="811">
        <v>15.34</v>
      </c>
      <c r="L12" s="812">
        <v>6</v>
      </c>
      <c r="M12" s="812">
        <v>51</v>
      </c>
      <c r="N12" s="813">
        <v>17.12</v>
      </c>
      <c r="O12" s="812" t="s">
        <v>2812</v>
      </c>
      <c r="P12" s="814" t="s">
        <v>2827</v>
      </c>
      <c r="Q12" s="815">
        <f t="shared" si="0"/>
        <v>0</v>
      </c>
      <c r="R12" s="815">
        <f t="shared" si="0"/>
        <v>0</v>
      </c>
      <c r="S12" s="805" t="str">
        <f t="shared" si="1"/>
        <v/>
      </c>
      <c r="T12" s="805" t="str">
        <f t="shared" si="2"/>
        <v/>
      </c>
      <c r="U12" s="805" t="str">
        <f t="shared" si="3"/>
        <v/>
      </c>
      <c r="V12" s="816" t="str">
        <f t="shared" si="4"/>
        <v/>
      </c>
      <c r="W12" s="762"/>
    </row>
    <row r="13" spans="1:23" ht="14.4" customHeight="1" x14ac:dyDescent="0.3">
      <c r="A13" s="821" t="s">
        <v>2828</v>
      </c>
      <c r="B13" s="805">
        <v>2</v>
      </c>
      <c r="C13" s="806">
        <v>39.21</v>
      </c>
      <c r="D13" s="774">
        <v>10</v>
      </c>
      <c r="E13" s="807">
        <v>2</v>
      </c>
      <c r="F13" s="808">
        <v>39.21</v>
      </c>
      <c r="G13" s="760">
        <v>19.5</v>
      </c>
      <c r="H13" s="809">
        <v>1</v>
      </c>
      <c r="I13" s="810">
        <v>19.600000000000001</v>
      </c>
      <c r="J13" s="761">
        <v>10</v>
      </c>
      <c r="K13" s="811">
        <v>19.600000000000001</v>
      </c>
      <c r="L13" s="812">
        <v>8</v>
      </c>
      <c r="M13" s="812">
        <v>69</v>
      </c>
      <c r="N13" s="813">
        <v>23.12</v>
      </c>
      <c r="O13" s="812" t="s">
        <v>2812</v>
      </c>
      <c r="P13" s="814" t="s">
        <v>2829</v>
      </c>
      <c r="Q13" s="815">
        <f t="shared" si="0"/>
        <v>-1</v>
      </c>
      <c r="R13" s="815">
        <f t="shared" si="0"/>
        <v>-19.61</v>
      </c>
      <c r="S13" s="805">
        <f t="shared" si="1"/>
        <v>23.12</v>
      </c>
      <c r="T13" s="805">
        <f t="shared" si="2"/>
        <v>10</v>
      </c>
      <c r="U13" s="805">
        <f t="shared" si="3"/>
        <v>-13.120000000000001</v>
      </c>
      <c r="V13" s="816">
        <f t="shared" si="4"/>
        <v>0.43252595155709339</v>
      </c>
      <c r="W13" s="762"/>
    </row>
    <row r="14" spans="1:23" ht="14.4" customHeight="1" x14ac:dyDescent="0.3">
      <c r="A14" s="820" t="s">
        <v>2830</v>
      </c>
      <c r="B14" s="763">
        <v>1</v>
      </c>
      <c r="C14" s="764">
        <v>29.18</v>
      </c>
      <c r="D14" s="765">
        <v>9</v>
      </c>
      <c r="E14" s="771"/>
      <c r="F14" s="750"/>
      <c r="G14" s="751"/>
      <c r="H14" s="756"/>
      <c r="I14" s="750"/>
      <c r="J14" s="751"/>
      <c r="K14" s="755">
        <v>28.39</v>
      </c>
      <c r="L14" s="756">
        <v>4</v>
      </c>
      <c r="M14" s="756">
        <v>35</v>
      </c>
      <c r="N14" s="757">
        <v>11.56</v>
      </c>
      <c r="O14" s="756" t="s">
        <v>2812</v>
      </c>
      <c r="P14" s="772" t="s">
        <v>2831</v>
      </c>
      <c r="Q14" s="758">
        <f t="shared" si="0"/>
        <v>-1</v>
      </c>
      <c r="R14" s="758">
        <f t="shared" si="0"/>
        <v>-29.18</v>
      </c>
      <c r="S14" s="768" t="str">
        <f t="shared" si="1"/>
        <v/>
      </c>
      <c r="T14" s="768" t="str">
        <f t="shared" si="2"/>
        <v/>
      </c>
      <c r="U14" s="768" t="str">
        <f t="shared" si="3"/>
        <v/>
      </c>
      <c r="V14" s="773" t="str">
        <f t="shared" si="4"/>
        <v/>
      </c>
      <c r="W14" s="759"/>
    </row>
    <row r="15" spans="1:23" ht="14.4" customHeight="1" x14ac:dyDescent="0.3">
      <c r="A15" s="820" t="s">
        <v>2832</v>
      </c>
      <c r="B15" s="768">
        <v>41</v>
      </c>
      <c r="C15" s="769">
        <v>266.25</v>
      </c>
      <c r="D15" s="770">
        <v>9</v>
      </c>
      <c r="E15" s="752">
        <v>51</v>
      </c>
      <c r="F15" s="753">
        <v>324.36</v>
      </c>
      <c r="G15" s="754">
        <v>8.1999999999999993</v>
      </c>
      <c r="H15" s="756">
        <v>48</v>
      </c>
      <c r="I15" s="750">
        <v>302.16000000000003</v>
      </c>
      <c r="J15" s="751">
        <v>7.7</v>
      </c>
      <c r="K15" s="755">
        <v>6.4</v>
      </c>
      <c r="L15" s="756">
        <v>4</v>
      </c>
      <c r="M15" s="756">
        <v>34</v>
      </c>
      <c r="N15" s="757">
        <v>11.47</v>
      </c>
      <c r="O15" s="756" t="s">
        <v>2812</v>
      </c>
      <c r="P15" s="772" t="s">
        <v>2833</v>
      </c>
      <c r="Q15" s="758">
        <f t="shared" si="0"/>
        <v>7</v>
      </c>
      <c r="R15" s="758">
        <f t="shared" si="0"/>
        <v>35.910000000000025</v>
      </c>
      <c r="S15" s="768">
        <f t="shared" si="1"/>
        <v>550.56000000000006</v>
      </c>
      <c r="T15" s="768">
        <f t="shared" si="2"/>
        <v>369.6</v>
      </c>
      <c r="U15" s="768">
        <f t="shared" si="3"/>
        <v>-180.96000000000004</v>
      </c>
      <c r="V15" s="773">
        <f t="shared" si="4"/>
        <v>0.67131647776809067</v>
      </c>
      <c r="W15" s="759">
        <v>42</v>
      </c>
    </row>
    <row r="16" spans="1:23" ht="14.4" customHeight="1" x14ac:dyDescent="0.3">
      <c r="A16" s="821" t="s">
        <v>2834</v>
      </c>
      <c r="B16" s="805">
        <v>4</v>
      </c>
      <c r="C16" s="806">
        <v>32.83</v>
      </c>
      <c r="D16" s="774">
        <v>10.3</v>
      </c>
      <c r="E16" s="809">
        <v>2</v>
      </c>
      <c r="F16" s="810">
        <v>16.420000000000002</v>
      </c>
      <c r="G16" s="761">
        <v>11.5</v>
      </c>
      <c r="H16" s="812"/>
      <c r="I16" s="808"/>
      <c r="J16" s="760"/>
      <c r="K16" s="811">
        <v>8.2100000000000009</v>
      </c>
      <c r="L16" s="812">
        <v>5</v>
      </c>
      <c r="M16" s="812">
        <v>44</v>
      </c>
      <c r="N16" s="813">
        <v>14.75</v>
      </c>
      <c r="O16" s="812" t="s">
        <v>2812</v>
      </c>
      <c r="P16" s="814" t="s">
        <v>2835</v>
      </c>
      <c r="Q16" s="815">
        <f t="shared" si="0"/>
        <v>-4</v>
      </c>
      <c r="R16" s="815">
        <f t="shared" si="0"/>
        <v>-32.83</v>
      </c>
      <c r="S16" s="805" t="str">
        <f t="shared" si="1"/>
        <v/>
      </c>
      <c r="T16" s="805" t="str">
        <f t="shared" si="2"/>
        <v/>
      </c>
      <c r="U16" s="805" t="str">
        <f t="shared" si="3"/>
        <v/>
      </c>
      <c r="V16" s="816" t="str">
        <f t="shared" si="4"/>
        <v/>
      </c>
      <c r="W16" s="762"/>
    </row>
    <row r="17" spans="1:23" ht="14.4" customHeight="1" x14ac:dyDescent="0.3">
      <c r="A17" s="821" t="s">
        <v>2836</v>
      </c>
      <c r="B17" s="805">
        <v>4</v>
      </c>
      <c r="C17" s="806">
        <v>47.69</v>
      </c>
      <c r="D17" s="774">
        <v>17.8</v>
      </c>
      <c r="E17" s="809"/>
      <c r="F17" s="810"/>
      <c r="G17" s="761"/>
      <c r="H17" s="812">
        <v>3</v>
      </c>
      <c r="I17" s="808">
        <v>28.09</v>
      </c>
      <c r="J17" s="760">
        <v>7.3</v>
      </c>
      <c r="K17" s="811">
        <v>11.06</v>
      </c>
      <c r="L17" s="812">
        <v>5</v>
      </c>
      <c r="M17" s="812">
        <v>46</v>
      </c>
      <c r="N17" s="813">
        <v>15.21</v>
      </c>
      <c r="O17" s="812" t="s">
        <v>2812</v>
      </c>
      <c r="P17" s="814" t="s">
        <v>2837</v>
      </c>
      <c r="Q17" s="815">
        <f t="shared" si="0"/>
        <v>-1</v>
      </c>
      <c r="R17" s="815">
        <f t="shared" si="0"/>
        <v>-19.599999999999998</v>
      </c>
      <c r="S17" s="805">
        <f t="shared" si="1"/>
        <v>45.63</v>
      </c>
      <c r="T17" s="805">
        <f t="shared" si="2"/>
        <v>21.9</v>
      </c>
      <c r="U17" s="805">
        <f t="shared" si="3"/>
        <v>-23.730000000000004</v>
      </c>
      <c r="V17" s="816">
        <f t="shared" si="4"/>
        <v>0.47994740302432604</v>
      </c>
      <c r="W17" s="762"/>
    </row>
    <row r="18" spans="1:23" ht="14.4" customHeight="1" x14ac:dyDescent="0.3">
      <c r="A18" s="820" t="s">
        <v>2838</v>
      </c>
      <c r="B18" s="768">
        <v>2</v>
      </c>
      <c r="C18" s="769">
        <v>13.58</v>
      </c>
      <c r="D18" s="770">
        <v>6.5</v>
      </c>
      <c r="E18" s="771">
        <v>1</v>
      </c>
      <c r="F18" s="750">
        <v>4.47</v>
      </c>
      <c r="G18" s="751">
        <v>7</v>
      </c>
      <c r="H18" s="752">
        <v>3</v>
      </c>
      <c r="I18" s="753">
        <v>13.4</v>
      </c>
      <c r="J18" s="766">
        <v>13</v>
      </c>
      <c r="K18" s="755">
        <v>4.47</v>
      </c>
      <c r="L18" s="756">
        <v>4</v>
      </c>
      <c r="M18" s="756">
        <v>32</v>
      </c>
      <c r="N18" s="757">
        <v>10.59</v>
      </c>
      <c r="O18" s="756" t="s">
        <v>2812</v>
      </c>
      <c r="P18" s="772" t="s">
        <v>2839</v>
      </c>
      <c r="Q18" s="758">
        <f t="shared" si="0"/>
        <v>1</v>
      </c>
      <c r="R18" s="758">
        <f t="shared" si="0"/>
        <v>-0.17999999999999972</v>
      </c>
      <c r="S18" s="768">
        <f t="shared" si="1"/>
        <v>31.77</v>
      </c>
      <c r="T18" s="768">
        <f t="shared" si="2"/>
        <v>39</v>
      </c>
      <c r="U18" s="768">
        <f t="shared" si="3"/>
        <v>7.23</v>
      </c>
      <c r="V18" s="773">
        <f t="shared" si="4"/>
        <v>1.2275731822474032</v>
      </c>
      <c r="W18" s="759">
        <v>11</v>
      </c>
    </row>
    <row r="19" spans="1:23" ht="14.4" customHeight="1" x14ac:dyDescent="0.3">
      <c r="A19" s="820" t="s">
        <v>2840</v>
      </c>
      <c r="B19" s="768">
        <v>3</v>
      </c>
      <c r="C19" s="769">
        <v>11.51</v>
      </c>
      <c r="D19" s="770">
        <v>4.3</v>
      </c>
      <c r="E19" s="771">
        <v>3</v>
      </c>
      <c r="F19" s="750">
        <v>13.76</v>
      </c>
      <c r="G19" s="751">
        <v>5.7</v>
      </c>
      <c r="H19" s="752">
        <v>3</v>
      </c>
      <c r="I19" s="753">
        <v>19.34</v>
      </c>
      <c r="J19" s="754">
        <v>6</v>
      </c>
      <c r="K19" s="755">
        <v>3.26</v>
      </c>
      <c r="L19" s="756">
        <v>2</v>
      </c>
      <c r="M19" s="756">
        <v>22</v>
      </c>
      <c r="N19" s="757">
        <v>7.4</v>
      </c>
      <c r="O19" s="756" t="s">
        <v>2812</v>
      </c>
      <c r="P19" s="772" t="s">
        <v>2841</v>
      </c>
      <c r="Q19" s="758">
        <f t="shared" si="0"/>
        <v>0</v>
      </c>
      <c r="R19" s="758">
        <f t="shared" si="0"/>
        <v>7.83</v>
      </c>
      <c r="S19" s="768">
        <f t="shared" si="1"/>
        <v>22.200000000000003</v>
      </c>
      <c r="T19" s="768">
        <f t="shared" si="2"/>
        <v>18</v>
      </c>
      <c r="U19" s="768">
        <f t="shared" si="3"/>
        <v>-4.2000000000000028</v>
      </c>
      <c r="V19" s="773">
        <f t="shared" si="4"/>
        <v>0.81081081081081074</v>
      </c>
      <c r="W19" s="759">
        <v>1</v>
      </c>
    </row>
    <row r="20" spans="1:23" ht="14.4" customHeight="1" x14ac:dyDescent="0.3">
      <c r="A20" s="820" t="s">
        <v>2842</v>
      </c>
      <c r="B20" s="768">
        <v>4</v>
      </c>
      <c r="C20" s="769">
        <v>2.97</v>
      </c>
      <c r="D20" s="770">
        <v>3.8</v>
      </c>
      <c r="E20" s="771">
        <v>11</v>
      </c>
      <c r="F20" s="750">
        <v>8.1999999999999993</v>
      </c>
      <c r="G20" s="751">
        <v>2.9</v>
      </c>
      <c r="H20" s="752">
        <v>11</v>
      </c>
      <c r="I20" s="753">
        <v>8.1999999999999993</v>
      </c>
      <c r="J20" s="754">
        <v>3.2</v>
      </c>
      <c r="K20" s="755">
        <v>0.74</v>
      </c>
      <c r="L20" s="756">
        <v>1</v>
      </c>
      <c r="M20" s="756">
        <v>10</v>
      </c>
      <c r="N20" s="757">
        <v>3.48</v>
      </c>
      <c r="O20" s="756" t="s">
        <v>2812</v>
      </c>
      <c r="P20" s="772" t="s">
        <v>2843</v>
      </c>
      <c r="Q20" s="758">
        <f t="shared" si="0"/>
        <v>7</v>
      </c>
      <c r="R20" s="758">
        <f t="shared" si="0"/>
        <v>5.2299999999999986</v>
      </c>
      <c r="S20" s="768">
        <f t="shared" si="1"/>
        <v>38.28</v>
      </c>
      <c r="T20" s="768">
        <f t="shared" si="2"/>
        <v>35.200000000000003</v>
      </c>
      <c r="U20" s="768">
        <f t="shared" si="3"/>
        <v>-3.0799999999999983</v>
      </c>
      <c r="V20" s="773">
        <f t="shared" si="4"/>
        <v>0.91954022988505757</v>
      </c>
      <c r="W20" s="759">
        <v>4</v>
      </c>
    </row>
    <row r="21" spans="1:23" ht="14.4" customHeight="1" x14ac:dyDescent="0.3">
      <c r="A21" s="820" t="s">
        <v>2844</v>
      </c>
      <c r="B21" s="768">
        <v>2</v>
      </c>
      <c r="C21" s="769">
        <v>3.77</v>
      </c>
      <c r="D21" s="770">
        <v>3.5</v>
      </c>
      <c r="E21" s="771">
        <v>1</v>
      </c>
      <c r="F21" s="750">
        <v>1.89</v>
      </c>
      <c r="G21" s="751">
        <v>2</v>
      </c>
      <c r="H21" s="752">
        <v>3</v>
      </c>
      <c r="I21" s="753">
        <v>5.66</v>
      </c>
      <c r="J21" s="754">
        <v>3</v>
      </c>
      <c r="K21" s="755">
        <v>1.89</v>
      </c>
      <c r="L21" s="756">
        <v>2</v>
      </c>
      <c r="M21" s="756">
        <v>21</v>
      </c>
      <c r="N21" s="757">
        <v>6.93</v>
      </c>
      <c r="O21" s="756" t="s">
        <v>2812</v>
      </c>
      <c r="P21" s="772" t="s">
        <v>2845</v>
      </c>
      <c r="Q21" s="758">
        <f t="shared" si="0"/>
        <v>1</v>
      </c>
      <c r="R21" s="758">
        <f t="shared" si="0"/>
        <v>1.8900000000000001</v>
      </c>
      <c r="S21" s="768">
        <f t="shared" si="1"/>
        <v>20.79</v>
      </c>
      <c r="T21" s="768">
        <f t="shared" si="2"/>
        <v>9</v>
      </c>
      <c r="U21" s="768">
        <f t="shared" si="3"/>
        <v>-11.79</v>
      </c>
      <c r="V21" s="773">
        <f t="shared" si="4"/>
        <v>0.4329004329004329</v>
      </c>
      <c r="W21" s="759"/>
    </row>
    <row r="22" spans="1:23" ht="14.4" customHeight="1" x14ac:dyDescent="0.3">
      <c r="A22" s="820" t="s">
        <v>2846</v>
      </c>
      <c r="B22" s="763">
        <v>1</v>
      </c>
      <c r="C22" s="764">
        <v>0.84</v>
      </c>
      <c r="D22" s="765">
        <v>2</v>
      </c>
      <c r="E22" s="771"/>
      <c r="F22" s="750"/>
      <c r="G22" s="751"/>
      <c r="H22" s="756">
        <v>1</v>
      </c>
      <c r="I22" s="750">
        <v>0.84</v>
      </c>
      <c r="J22" s="766">
        <v>8</v>
      </c>
      <c r="K22" s="755">
        <v>0.84</v>
      </c>
      <c r="L22" s="756">
        <v>2</v>
      </c>
      <c r="M22" s="756">
        <v>22</v>
      </c>
      <c r="N22" s="757">
        <v>7.44</v>
      </c>
      <c r="O22" s="756" t="s">
        <v>2812</v>
      </c>
      <c r="P22" s="772" t="s">
        <v>2847</v>
      </c>
      <c r="Q22" s="758">
        <f t="shared" si="0"/>
        <v>0</v>
      </c>
      <c r="R22" s="758">
        <f t="shared" si="0"/>
        <v>0</v>
      </c>
      <c r="S22" s="768">
        <f t="shared" si="1"/>
        <v>7.44</v>
      </c>
      <c r="T22" s="768">
        <f t="shared" si="2"/>
        <v>8</v>
      </c>
      <c r="U22" s="768">
        <f t="shared" si="3"/>
        <v>0.55999999999999961</v>
      </c>
      <c r="V22" s="773">
        <f t="shared" si="4"/>
        <v>1.075268817204301</v>
      </c>
      <c r="W22" s="759">
        <v>1</v>
      </c>
    </row>
    <row r="23" spans="1:23" ht="14.4" customHeight="1" x14ac:dyDescent="0.3">
      <c r="A23" s="821" t="s">
        <v>2848</v>
      </c>
      <c r="B23" s="817">
        <v>1</v>
      </c>
      <c r="C23" s="818">
        <v>1.34</v>
      </c>
      <c r="D23" s="767">
        <v>5</v>
      </c>
      <c r="E23" s="807"/>
      <c r="F23" s="808"/>
      <c r="G23" s="760"/>
      <c r="H23" s="812"/>
      <c r="I23" s="808"/>
      <c r="J23" s="760"/>
      <c r="K23" s="811">
        <v>1.34</v>
      </c>
      <c r="L23" s="812">
        <v>4</v>
      </c>
      <c r="M23" s="812">
        <v>35</v>
      </c>
      <c r="N23" s="813">
        <v>11.68</v>
      </c>
      <c r="O23" s="812" t="s">
        <v>2812</v>
      </c>
      <c r="P23" s="814" t="s">
        <v>2849</v>
      </c>
      <c r="Q23" s="815">
        <f t="shared" si="0"/>
        <v>-1</v>
      </c>
      <c r="R23" s="815">
        <f t="shared" si="0"/>
        <v>-1.34</v>
      </c>
      <c r="S23" s="805" t="str">
        <f t="shared" si="1"/>
        <v/>
      </c>
      <c r="T23" s="805" t="str">
        <f t="shared" si="2"/>
        <v/>
      </c>
      <c r="U23" s="805" t="str">
        <f t="shared" si="3"/>
        <v/>
      </c>
      <c r="V23" s="816" t="str">
        <f t="shared" si="4"/>
        <v/>
      </c>
      <c r="W23" s="762"/>
    </row>
    <row r="24" spans="1:23" ht="14.4" customHeight="1" x14ac:dyDescent="0.3">
      <c r="A24" s="820" t="s">
        <v>2850</v>
      </c>
      <c r="B24" s="768"/>
      <c r="C24" s="769"/>
      <c r="D24" s="770"/>
      <c r="E24" s="752">
        <v>2</v>
      </c>
      <c r="F24" s="753">
        <v>2.58</v>
      </c>
      <c r="G24" s="754">
        <v>2.5</v>
      </c>
      <c r="H24" s="756">
        <v>1</v>
      </c>
      <c r="I24" s="750">
        <v>1.54</v>
      </c>
      <c r="J24" s="751">
        <v>7</v>
      </c>
      <c r="K24" s="755">
        <v>1.54</v>
      </c>
      <c r="L24" s="756">
        <v>3</v>
      </c>
      <c r="M24" s="756">
        <v>28</v>
      </c>
      <c r="N24" s="757">
        <v>9.43</v>
      </c>
      <c r="O24" s="756" t="s">
        <v>2812</v>
      </c>
      <c r="P24" s="772" t="s">
        <v>2851</v>
      </c>
      <c r="Q24" s="758">
        <f t="shared" si="0"/>
        <v>1</v>
      </c>
      <c r="R24" s="758">
        <f t="shared" si="0"/>
        <v>1.54</v>
      </c>
      <c r="S24" s="768">
        <f t="shared" si="1"/>
        <v>9.43</v>
      </c>
      <c r="T24" s="768">
        <f t="shared" si="2"/>
        <v>7</v>
      </c>
      <c r="U24" s="768">
        <f t="shared" si="3"/>
        <v>-2.4299999999999997</v>
      </c>
      <c r="V24" s="773">
        <f t="shared" si="4"/>
        <v>0.74231177094379641</v>
      </c>
      <c r="W24" s="759"/>
    </row>
    <row r="25" spans="1:23" ht="14.4" customHeight="1" x14ac:dyDescent="0.3">
      <c r="A25" s="820" t="s">
        <v>2852</v>
      </c>
      <c r="B25" s="768">
        <v>1</v>
      </c>
      <c r="C25" s="769">
        <v>0.64</v>
      </c>
      <c r="D25" s="770">
        <v>4</v>
      </c>
      <c r="E25" s="771"/>
      <c r="F25" s="750"/>
      <c r="G25" s="751"/>
      <c r="H25" s="752">
        <v>1</v>
      </c>
      <c r="I25" s="753">
        <v>0.64</v>
      </c>
      <c r="J25" s="754">
        <v>4</v>
      </c>
      <c r="K25" s="755">
        <v>0.64</v>
      </c>
      <c r="L25" s="756">
        <v>3</v>
      </c>
      <c r="M25" s="756">
        <v>23</v>
      </c>
      <c r="N25" s="757">
        <v>7.73</v>
      </c>
      <c r="O25" s="756" t="s">
        <v>2812</v>
      </c>
      <c r="P25" s="772" t="s">
        <v>2853</v>
      </c>
      <c r="Q25" s="758">
        <f t="shared" si="0"/>
        <v>0</v>
      </c>
      <c r="R25" s="758">
        <f t="shared" si="0"/>
        <v>0</v>
      </c>
      <c r="S25" s="768">
        <f t="shared" si="1"/>
        <v>7.73</v>
      </c>
      <c r="T25" s="768">
        <f t="shared" si="2"/>
        <v>4</v>
      </c>
      <c r="U25" s="768">
        <f t="shared" si="3"/>
        <v>-3.7300000000000004</v>
      </c>
      <c r="V25" s="773">
        <f t="shared" si="4"/>
        <v>0.51746442432082795</v>
      </c>
      <c r="W25" s="759"/>
    </row>
    <row r="26" spans="1:23" ht="14.4" customHeight="1" x14ac:dyDescent="0.3">
      <c r="A26" s="820" t="s">
        <v>2854</v>
      </c>
      <c r="B26" s="763">
        <v>1</v>
      </c>
      <c r="C26" s="764">
        <v>0.54</v>
      </c>
      <c r="D26" s="765">
        <v>3</v>
      </c>
      <c r="E26" s="771">
        <v>1</v>
      </c>
      <c r="F26" s="750">
        <v>0.54</v>
      </c>
      <c r="G26" s="751">
        <v>2</v>
      </c>
      <c r="H26" s="756"/>
      <c r="I26" s="750"/>
      <c r="J26" s="751"/>
      <c r="K26" s="755">
        <v>0.54</v>
      </c>
      <c r="L26" s="756">
        <v>2</v>
      </c>
      <c r="M26" s="756">
        <v>22</v>
      </c>
      <c r="N26" s="757">
        <v>7.22</v>
      </c>
      <c r="O26" s="756" t="s">
        <v>2812</v>
      </c>
      <c r="P26" s="772" t="s">
        <v>2855</v>
      </c>
      <c r="Q26" s="758">
        <f t="shared" si="0"/>
        <v>-1</v>
      </c>
      <c r="R26" s="758">
        <f t="shared" si="0"/>
        <v>-0.54</v>
      </c>
      <c r="S26" s="768" t="str">
        <f t="shared" si="1"/>
        <v/>
      </c>
      <c r="T26" s="768" t="str">
        <f t="shared" si="2"/>
        <v/>
      </c>
      <c r="U26" s="768" t="str">
        <f t="shared" si="3"/>
        <v/>
      </c>
      <c r="V26" s="773" t="str">
        <f t="shared" si="4"/>
        <v/>
      </c>
      <c r="W26" s="759"/>
    </row>
    <row r="27" spans="1:23" ht="14.4" customHeight="1" x14ac:dyDescent="0.3">
      <c r="A27" s="821" t="s">
        <v>2856</v>
      </c>
      <c r="B27" s="817">
        <v>1</v>
      </c>
      <c r="C27" s="818">
        <v>0.61</v>
      </c>
      <c r="D27" s="767">
        <v>11</v>
      </c>
      <c r="E27" s="807"/>
      <c r="F27" s="808"/>
      <c r="G27" s="760"/>
      <c r="H27" s="812"/>
      <c r="I27" s="808"/>
      <c r="J27" s="760"/>
      <c r="K27" s="811">
        <v>0.61</v>
      </c>
      <c r="L27" s="812">
        <v>3</v>
      </c>
      <c r="M27" s="812">
        <v>25</v>
      </c>
      <c r="N27" s="813">
        <v>8.48</v>
      </c>
      <c r="O27" s="812" t="s">
        <v>2812</v>
      </c>
      <c r="P27" s="814" t="s">
        <v>2857</v>
      </c>
      <c r="Q27" s="815">
        <f t="shared" si="0"/>
        <v>-1</v>
      </c>
      <c r="R27" s="815">
        <f t="shared" si="0"/>
        <v>-0.61</v>
      </c>
      <c r="S27" s="805" t="str">
        <f t="shared" si="1"/>
        <v/>
      </c>
      <c r="T27" s="805" t="str">
        <f t="shared" si="2"/>
        <v/>
      </c>
      <c r="U27" s="805" t="str">
        <f t="shared" si="3"/>
        <v/>
      </c>
      <c r="V27" s="816" t="str">
        <f t="shared" si="4"/>
        <v/>
      </c>
      <c r="W27" s="762"/>
    </row>
    <row r="28" spans="1:23" ht="14.4" customHeight="1" x14ac:dyDescent="0.3">
      <c r="A28" s="820" t="s">
        <v>2858</v>
      </c>
      <c r="B28" s="763">
        <v>10</v>
      </c>
      <c r="C28" s="764">
        <v>10.69</v>
      </c>
      <c r="D28" s="765">
        <v>5.4</v>
      </c>
      <c r="E28" s="771">
        <v>9</v>
      </c>
      <c r="F28" s="750">
        <v>9.6199999999999992</v>
      </c>
      <c r="G28" s="751">
        <v>6.1</v>
      </c>
      <c r="H28" s="756">
        <v>8</v>
      </c>
      <c r="I28" s="750">
        <v>8.58</v>
      </c>
      <c r="J28" s="751">
        <v>4.5</v>
      </c>
      <c r="K28" s="755">
        <v>1.07</v>
      </c>
      <c r="L28" s="756">
        <v>2</v>
      </c>
      <c r="M28" s="756">
        <v>21</v>
      </c>
      <c r="N28" s="757">
        <v>7.06</v>
      </c>
      <c r="O28" s="756" t="s">
        <v>2812</v>
      </c>
      <c r="P28" s="772" t="s">
        <v>2859</v>
      </c>
      <c r="Q28" s="758">
        <f t="shared" si="0"/>
        <v>-2</v>
      </c>
      <c r="R28" s="758">
        <f t="shared" si="0"/>
        <v>-2.1099999999999994</v>
      </c>
      <c r="S28" s="768">
        <f t="shared" si="1"/>
        <v>56.48</v>
      </c>
      <c r="T28" s="768">
        <f t="shared" si="2"/>
        <v>36</v>
      </c>
      <c r="U28" s="768">
        <f t="shared" si="3"/>
        <v>-20.479999999999997</v>
      </c>
      <c r="V28" s="773">
        <f t="shared" si="4"/>
        <v>0.63739376770538247</v>
      </c>
      <c r="W28" s="759">
        <v>2</v>
      </c>
    </row>
    <row r="29" spans="1:23" ht="14.4" customHeight="1" x14ac:dyDescent="0.3">
      <c r="A29" s="821" t="s">
        <v>2860</v>
      </c>
      <c r="B29" s="817">
        <v>2</v>
      </c>
      <c r="C29" s="818">
        <v>3.47</v>
      </c>
      <c r="D29" s="767">
        <v>5.5</v>
      </c>
      <c r="E29" s="807"/>
      <c r="F29" s="808"/>
      <c r="G29" s="760"/>
      <c r="H29" s="812">
        <v>3</v>
      </c>
      <c r="I29" s="808">
        <v>5.21</v>
      </c>
      <c r="J29" s="760">
        <v>5</v>
      </c>
      <c r="K29" s="811">
        <v>1.74</v>
      </c>
      <c r="L29" s="812">
        <v>3</v>
      </c>
      <c r="M29" s="812">
        <v>31</v>
      </c>
      <c r="N29" s="813">
        <v>10.3</v>
      </c>
      <c r="O29" s="812" t="s">
        <v>2812</v>
      </c>
      <c r="P29" s="814" t="s">
        <v>2861</v>
      </c>
      <c r="Q29" s="815">
        <f t="shared" si="0"/>
        <v>1</v>
      </c>
      <c r="R29" s="815">
        <f t="shared" si="0"/>
        <v>1.7399999999999998</v>
      </c>
      <c r="S29" s="805">
        <f t="shared" si="1"/>
        <v>30.900000000000002</v>
      </c>
      <c r="T29" s="805">
        <f t="shared" si="2"/>
        <v>15</v>
      </c>
      <c r="U29" s="805">
        <f t="shared" si="3"/>
        <v>-15.900000000000002</v>
      </c>
      <c r="V29" s="816">
        <f t="shared" si="4"/>
        <v>0.48543689320388345</v>
      </c>
      <c r="W29" s="762"/>
    </row>
    <row r="30" spans="1:23" ht="14.4" customHeight="1" x14ac:dyDescent="0.3">
      <c r="A30" s="820" t="s">
        <v>2862</v>
      </c>
      <c r="B30" s="768">
        <v>3</v>
      </c>
      <c r="C30" s="769">
        <v>1.59</v>
      </c>
      <c r="D30" s="770">
        <v>3</v>
      </c>
      <c r="E30" s="752">
        <v>5</v>
      </c>
      <c r="F30" s="753">
        <v>2.59</v>
      </c>
      <c r="G30" s="754">
        <v>2.6</v>
      </c>
      <c r="H30" s="756">
        <v>3</v>
      </c>
      <c r="I30" s="750">
        <v>1.62</v>
      </c>
      <c r="J30" s="751">
        <v>2.2999999999999998</v>
      </c>
      <c r="K30" s="755">
        <v>0.51</v>
      </c>
      <c r="L30" s="756">
        <v>1</v>
      </c>
      <c r="M30" s="756">
        <v>12</v>
      </c>
      <c r="N30" s="757">
        <v>4.16</v>
      </c>
      <c r="O30" s="756" t="s">
        <v>2812</v>
      </c>
      <c r="P30" s="772" t="s">
        <v>2863</v>
      </c>
      <c r="Q30" s="758">
        <f t="shared" si="0"/>
        <v>0</v>
      </c>
      <c r="R30" s="758">
        <f t="shared" si="0"/>
        <v>3.0000000000000027E-2</v>
      </c>
      <c r="S30" s="768">
        <f t="shared" si="1"/>
        <v>12.48</v>
      </c>
      <c r="T30" s="768">
        <f t="shared" si="2"/>
        <v>6.8999999999999995</v>
      </c>
      <c r="U30" s="768">
        <f t="shared" si="3"/>
        <v>-5.580000000000001</v>
      </c>
      <c r="V30" s="773">
        <f t="shared" si="4"/>
        <v>0.55288461538461531</v>
      </c>
      <c r="W30" s="759"/>
    </row>
    <row r="31" spans="1:23" ht="14.4" customHeight="1" x14ac:dyDescent="0.3">
      <c r="A31" s="820" t="s">
        <v>2864</v>
      </c>
      <c r="B31" s="768"/>
      <c r="C31" s="769"/>
      <c r="D31" s="770"/>
      <c r="E31" s="752">
        <v>1</v>
      </c>
      <c r="F31" s="753">
        <v>2.09</v>
      </c>
      <c r="G31" s="754">
        <v>20</v>
      </c>
      <c r="H31" s="756"/>
      <c r="I31" s="750"/>
      <c r="J31" s="751"/>
      <c r="K31" s="755">
        <v>1.44</v>
      </c>
      <c r="L31" s="756">
        <v>4</v>
      </c>
      <c r="M31" s="756">
        <v>34</v>
      </c>
      <c r="N31" s="757">
        <v>11.31</v>
      </c>
      <c r="O31" s="756" t="s">
        <v>2812</v>
      </c>
      <c r="P31" s="772" t="s">
        <v>2865</v>
      </c>
      <c r="Q31" s="758">
        <f t="shared" si="0"/>
        <v>0</v>
      </c>
      <c r="R31" s="758">
        <f t="shared" si="0"/>
        <v>0</v>
      </c>
      <c r="S31" s="768" t="str">
        <f t="shared" si="1"/>
        <v/>
      </c>
      <c r="T31" s="768" t="str">
        <f t="shared" si="2"/>
        <v/>
      </c>
      <c r="U31" s="768" t="str">
        <f t="shared" si="3"/>
        <v/>
      </c>
      <c r="V31" s="773" t="str">
        <f t="shared" si="4"/>
        <v/>
      </c>
      <c r="W31" s="759"/>
    </row>
    <row r="32" spans="1:23" ht="14.4" customHeight="1" x14ac:dyDescent="0.3">
      <c r="A32" s="820" t="s">
        <v>2866</v>
      </c>
      <c r="B32" s="763">
        <v>62</v>
      </c>
      <c r="C32" s="764">
        <v>482.71</v>
      </c>
      <c r="D32" s="765">
        <v>7.1</v>
      </c>
      <c r="E32" s="771">
        <v>60</v>
      </c>
      <c r="F32" s="750">
        <v>466.47</v>
      </c>
      <c r="G32" s="751">
        <v>6.4</v>
      </c>
      <c r="H32" s="756">
        <v>58</v>
      </c>
      <c r="I32" s="750">
        <v>459.27</v>
      </c>
      <c r="J32" s="751">
        <v>5.7</v>
      </c>
      <c r="K32" s="755">
        <v>8.15</v>
      </c>
      <c r="L32" s="756">
        <v>3</v>
      </c>
      <c r="M32" s="756">
        <v>28</v>
      </c>
      <c r="N32" s="757">
        <v>9.4</v>
      </c>
      <c r="O32" s="756" t="s">
        <v>2812</v>
      </c>
      <c r="P32" s="772" t="s">
        <v>2867</v>
      </c>
      <c r="Q32" s="758">
        <f t="shared" si="0"/>
        <v>-4</v>
      </c>
      <c r="R32" s="758">
        <f t="shared" si="0"/>
        <v>-23.439999999999998</v>
      </c>
      <c r="S32" s="768">
        <f t="shared" si="1"/>
        <v>545.20000000000005</v>
      </c>
      <c r="T32" s="768">
        <f t="shared" si="2"/>
        <v>330.6</v>
      </c>
      <c r="U32" s="768">
        <f t="shared" si="3"/>
        <v>-214.60000000000002</v>
      </c>
      <c r="V32" s="773">
        <f t="shared" si="4"/>
        <v>0.6063829787234043</v>
      </c>
      <c r="W32" s="759">
        <v>1</v>
      </c>
    </row>
    <row r="33" spans="1:23" ht="14.4" customHeight="1" x14ac:dyDescent="0.3">
      <c r="A33" s="821" t="s">
        <v>2868</v>
      </c>
      <c r="B33" s="817">
        <v>9</v>
      </c>
      <c r="C33" s="818">
        <v>77.63</v>
      </c>
      <c r="D33" s="767">
        <v>7.3</v>
      </c>
      <c r="E33" s="807">
        <v>1</v>
      </c>
      <c r="F33" s="808">
        <v>8.82</v>
      </c>
      <c r="G33" s="760">
        <v>11</v>
      </c>
      <c r="H33" s="812">
        <v>3</v>
      </c>
      <c r="I33" s="808">
        <v>25.54</v>
      </c>
      <c r="J33" s="760">
        <v>5.7</v>
      </c>
      <c r="K33" s="811">
        <v>8.92</v>
      </c>
      <c r="L33" s="812">
        <v>3</v>
      </c>
      <c r="M33" s="812">
        <v>31</v>
      </c>
      <c r="N33" s="813">
        <v>10.27</v>
      </c>
      <c r="O33" s="812" t="s">
        <v>2812</v>
      </c>
      <c r="P33" s="814" t="s">
        <v>2869</v>
      </c>
      <c r="Q33" s="815">
        <f t="shared" si="0"/>
        <v>-6</v>
      </c>
      <c r="R33" s="815">
        <f t="shared" si="0"/>
        <v>-52.089999999999996</v>
      </c>
      <c r="S33" s="805">
        <f t="shared" si="1"/>
        <v>30.81</v>
      </c>
      <c r="T33" s="805">
        <f t="shared" si="2"/>
        <v>17.100000000000001</v>
      </c>
      <c r="U33" s="805">
        <f t="shared" si="3"/>
        <v>-13.709999999999997</v>
      </c>
      <c r="V33" s="816">
        <f t="shared" si="4"/>
        <v>0.55501460564751715</v>
      </c>
      <c r="W33" s="762"/>
    </row>
    <row r="34" spans="1:23" ht="14.4" customHeight="1" x14ac:dyDescent="0.3">
      <c r="A34" s="820" t="s">
        <v>2870</v>
      </c>
      <c r="B34" s="768"/>
      <c r="C34" s="769"/>
      <c r="D34" s="770"/>
      <c r="E34" s="752">
        <v>1</v>
      </c>
      <c r="F34" s="753">
        <v>4.5599999999999996</v>
      </c>
      <c r="G34" s="754">
        <v>8</v>
      </c>
      <c r="H34" s="756"/>
      <c r="I34" s="750"/>
      <c r="J34" s="751"/>
      <c r="K34" s="755">
        <v>4.5599999999999996</v>
      </c>
      <c r="L34" s="756">
        <v>4</v>
      </c>
      <c r="M34" s="756">
        <v>33</v>
      </c>
      <c r="N34" s="757">
        <v>11.16</v>
      </c>
      <c r="O34" s="756" t="s">
        <v>2812</v>
      </c>
      <c r="P34" s="772" t="s">
        <v>2871</v>
      </c>
      <c r="Q34" s="758">
        <f t="shared" si="0"/>
        <v>0</v>
      </c>
      <c r="R34" s="758">
        <f t="shared" si="0"/>
        <v>0</v>
      </c>
      <c r="S34" s="768" t="str">
        <f t="shared" si="1"/>
        <v/>
      </c>
      <c r="T34" s="768" t="str">
        <f t="shared" si="2"/>
        <v/>
      </c>
      <c r="U34" s="768" t="str">
        <f t="shared" si="3"/>
        <v/>
      </c>
      <c r="V34" s="773" t="str">
        <f t="shared" si="4"/>
        <v/>
      </c>
      <c r="W34" s="759"/>
    </row>
    <row r="35" spans="1:23" ht="14.4" customHeight="1" x14ac:dyDescent="0.3">
      <c r="A35" s="821" t="s">
        <v>2872</v>
      </c>
      <c r="B35" s="805">
        <v>1</v>
      </c>
      <c r="C35" s="806">
        <v>8.0299999999999994</v>
      </c>
      <c r="D35" s="774">
        <v>4</v>
      </c>
      <c r="E35" s="809"/>
      <c r="F35" s="810"/>
      <c r="G35" s="761"/>
      <c r="H35" s="812"/>
      <c r="I35" s="808"/>
      <c r="J35" s="760"/>
      <c r="K35" s="811">
        <v>9.8000000000000007</v>
      </c>
      <c r="L35" s="812">
        <v>5</v>
      </c>
      <c r="M35" s="812">
        <v>43</v>
      </c>
      <c r="N35" s="813">
        <v>14.42</v>
      </c>
      <c r="O35" s="812" t="s">
        <v>2812</v>
      </c>
      <c r="P35" s="814" t="s">
        <v>2873</v>
      </c>
      <c r="Q35" s="815">
        <f t="shared" si="0"/>
        <v>-1</v>
      </c>
      <c r="R35" s="815">
        <f t="shared" si="0"/>
        <v>-8.0299999999999994</v>
      </c>
      <c r="S35" s="805" t="str">
        <f t="shared" si="1"/>
        <v/>
      </c>
      <c r="T35" s="805" t="str">
        <f t="shared" si="2"/>
        <v/>
      </c>
      <c r="U35" s="805" t="str">
        <f t="shared" si="3"/>
        <v/>
      </c>
      <c r="V35" s="816" t="str">
        <f t="shared" si="4"/>
        <v/>
      </c>
      <c r="W35" s="762"/>
    </row>
    <row r="36" spans="1:23" ht="14.4" customHeight="1" x14ac:dyDescent="0.3">
      <c r="A36" s="820" t="s">
        <v>2874</v>
      </c>
      <c r="B36" s="768">
        <v>58</v>
      </c>
      <c r="C36" s="769">
        <v>152.13</v>
      </c>
      <c r="D36" s="770">
        <v>6.3</v>
      </c>
      <c r="E36" s="752">
        <v>68</v>
      </c>
      <c r="F36" s="753">
        <v>178.36</v>
      </c>
      <c r="G36" s="754">
        <v>6.5</v>
      </c>
      <c r="H36" s="756">
        <v>48</v>
      </c>
      <c r="I36" s="750">
        <v>125.9</v>
      </c>
      <c r="J36" s="751">
        <v>5.9</v>
      </c>
      <c r="K36" s="755">
        <v>2.62</v>
      </c>
      <c r="L36" s="756">
        <v>3</v>
      </c>
      <c r="M36" s="756">
        <v>25</v>
      </c>
      <c r="N36" s="757">
        <v>8.41</v>
      </c>
      <c r="O36" s="756" t="s">
        <v>2812</v>
      </c>
      <c r="P36" s="772" t="s">
        <v>2875</v>
      </c>
      <c r="Q36" s="758">
        <f t="shared" si="0"/>
        <v>-10</v>
      </c>
      <c r="R36" s="758">
        <f t="shared" si="0"/>
        <v>-26.22999999999999</v>
      </c>
      <c r="S36" s="768">
        <f t="shared" si="1"/>
        <v>403.68</v>
      </c>
      <c r="T36" s="768">
        <f t="shared" si="2"/>
        <v>283.20000000000005</v>
      </c>
      <c r="U36" s="768">
        <f t="shared" si="3"/>
        <v>-120.47999999999996</v>
      </c>
      <c r="V36" s="773">
        <f t="shared" si="4"/>
        <v>0.70154577883472069</v>
      </c>
      <c r="W36" s="759">
        <v>6</v>
      </c>
    </row>
    <row r="37" spans="1:23" ht="14.4" customHeight="1" x14ac:dyDescent="0.3">
      <c r="A37" s="821" t="s">
        <v>2876</v>
      </c>
      <c r="B37" s="805">
        <v>2</v>
      </c>
      <c r="C37" s="806">
        <v>7.27</v>
      </c>
      <c r="D37" s="774">
        <v>6.5</v>
      </c>
      <c r="E37" s="809"/>
      <c r="F37" s="810"/>
      <c r="G37" s="761"/>
      <c r="H37" s="812"/>
      <c r="I37" s="808"/>
      <c r="J37" s="760"/>
      <c r="K37" s="811">
        <v>3.63</v>
      </c>
      <c r="L37" s="812">
        <v>3</v>
      </c>
      <c r="M37" s="812">
        <v>29</v>
      </c>
      <c r="N37" s="813">
        <v>9.76</v>
      </c>
      <c r="O37" s="812" t="s">
        <v>2812</v>
      </c>
      <c r="P37" s="814" t="s">
        <v>2877</v>
      </c>
      <c r="Q37" s="815">
        <f t="shared" si="0"/>
        <v>-2</v>
      </c>
      <c r="R37" s="815">
        <f t="shared" si="0"/>
        <v>-7.27</v>
      </c>
      <c r="S37" s="805" t="str">
        <f t="shared" si="1"/>
        <v/>
      </c>
      <c r="T37" s="805" t="str">
        <f t="shared" si="2"/>
        <v/>
      </c>
      <c r="U37" s="805" t="str">
        <f t="shared" si="3"/>
        <v/>
      </c>
      <c r="V37" s="816" t="str">
        <f t="shared" si="4"/>
        <v/>
      </c>
      <c r="W37" s="762"/>
    </row>
    <row r="38" spans="1:23" ht="14.4" customHeight="1" x14ac:dyDescent="0.3">
      <c r="A38" s="820" t="s">
        <v>2878</v>
      </c>
      <c r="B38" s="763">
        <v>2</v>
      </c>
      <c r="C38" s="764">
        <v>1.52</v>
      </c>
      <c r="D38" s="765">
        <v>4.5</v>
      </c>
      <c r="E38" s="771"/>
      <c r="F38" s="750"/>
      <c r="G38" s="751"/>
      <c r="H38" s="756"/>
      <c r="I38" s="750"/>
      <c r="J38" s="751"/>
      <c r="K38" s="755">
        <v>0.76</v>
      </c>
      <c r="L38" s="756">
        <v>1</v>
      </c>
      <c r="M38" s="756">
        <v>13</v>
      </c>
      <c r="N38" s="757">
        <v>4.3099999999999996</v>
      </c>
      <c r="O38" s="756" t="s">
        <v>2812</v>
      </c>
      <c r="P38" s="772" t="s">
        <v>2879</v>
      </c>
      <c r="Q38" s="758">
        <f t="shared" si="0"/>
        <v>-2</v>
      </c>
      <c r="R38" s="758">
        <f t="shared" si="0"/>
        <v>-1.52</v>
      </c>
      <c r="S38" s="768" t="str">
        <f t="shared" si="1"/>
        <v/>
      </c>
      <c r="T38" s="768" t="str">
        <f t="shared" si="2"/>
        <v/>
      </c>
      <c r="U38" s="768" t="str">
        <f t="shared" si="3"/>
        <v/>
      </c>
      <c r="V38" s="773" t="str">
        <f t="shared" si="4"/>
        <v/>
      </c>
      <c r="W38" s="759"/>
    </row>
    <row r="39" spans="1:23" ht="14.4" customHeight="1" x14ac:dyDescent="0.3">
      <c r="A39" s="820" t="s">
        <v>2880</v>
      </c>
      <c r="B39" s="768">
        <v>3</v>
      </c>
      <c r="C39" s="769">
        <v>1.48</v>
      </c>
      <c r="D39" s="770">
        <v>3.3</v>
      </c>
      <c r="E39" s="752">
        <v>7</v>
      </c>
      <c r="F39" s="753">
        <v>3.45</v>
      </c>
      <c r="G39" s="754">
        <v>3.1</v>
      </c>
      <c r="H39" s="756">
        <v>4</v>
      </c>
      <c r="I39" s="750">
        <v>2.0099999999999998</v>
      </c>
      <c r="J39" s="751">
        <v>4.5</v>
      </c>
      <c r="K39" s="755">
        <v>0.49</v>
      </c>
      <c r="L39" s="756">
        <v>2</v>
      </c>
      <c r="M39" s="756">
        <v>21</v>
      </c>
      <c r="N39" s="757">
        <v>7.12</v>
      </c>
      <c r="O39" s="756" t="s">
        <v>2812</v>
      </c>
      <c r="P39" s="772" t="s">
        <v>2881</v>
      </c>
      <c r="Q39" s="758">
        <f t="shared" si="0"/>
        <v>1</v>
      </c>
      <c r="R39" s="758">
        <f t="shared" si="0"/>
        <v>0.5299999999999998</v>
      </c>
      <c r="S39" s="768">
        <f t="shared" si="1"/>
        <v>28.48</v>
      </c>
      <c r="T39" s="768">
        <f t="shared" si="2"/>
        <v>18</v>
      </c>
      <c r="U39" s="768">
        <f t="shared" si="3"/>
        <v>-10.48</v>
      </c>
      <c r="V39" s="773">
        <f t="shared" si="4"/>
        <v>0.6320224719101124</v>
      </c>
      <c r="W39" s="759">
        <v>3</v>
      </c>
    </row>
    <row r="40" spans="1:23" ht="14.4" customHeight="1" x14ac:dyDescent="0.3">
      <c r="A40" s="820" t="s">
        <v>2882</v>
      </c>
      <c r="B40" s="768"/>
      <c r="C40" s="769"/>
      <c r="D40" s="770"/>
      <c r="E40" s="771"/>
      <c r="F40" s="750"/>
      <c r="G40" s="751"/>
      <c r="H40" s="752">
        <v>1</v>
      </c>
      <c r="I40" s="753">
        <v>0.5</v>
      </c>
      <c r="J40" s="754">
        <v>2</v>
      </c>
      <c r="K40" s="755">
        <v>0.47</v>
      </c>
      <c r="L40" s="756">
        <v>1</v>
      </c>
      <c r="M40" s="756">
        <v>13</v>
      </c>
      <c r="N40" s="757">
        <v>4.3600000000000003</v>
      </c>
      <c r="O40" s="756" t="s">
        <v>2812</v>
      </c>
      <c r="P40" s="772" t="s">
        <v>2883</v>
      </c>
      <c r="Q40" s="758">
        <f t="shared" si="0"/>
        <v>1</v>
      </c>
      <c r="R40" s="758">
        <f t="shared" si="0"/>
        <v>0.5</v>
      </c>
      <c r="S40" s="768">
        <f t="shared" si="1"/>
        <v>4.3600000000000003</v>
      </c>
      <c r="T40" s="768">
        <f t="shared" si="2"/>
        <v>2</v>
      </c>
      <c r="U40" s="768">
        <f t="shared" si="3"/>
        <v>-2.3600000000000003</v>
      </c>
      <c r="V40" s="773">
        <f t="shared" si="4"/>
        <v>0.4587155963302752</v>
      </c>
      <c r="W40" s="759"/>
    </row>
    <row r="41" spans="1:23" ht="14.4" customHeight="1" x14ac:dyDescent="0.3">
      <c r="A41" s="820" t="s">
        <v>2884</v>
      </c>
      <c r="B41" s="763">
        <v>3</v>
      </c>
      <c r="C41" s="764">
        <v>14.78</v>
      </c>
      <c r="D41" s="765">
        <v>17.3</v>
      </c>
      <c r="E41" s="771"/>
      <c r="F41" s="750"/>
      <c r="G41" s="751"/>
      <c r="H41" s="756">
        <v>2</v>
      </c>
      <c r="I41" s="750">
        <v>9.64</v>
      </c>
      <c r="J41" s="766">
        <v>14.5</v>
      </c>
      <c r="K41" s="755">
        <v>4.82</v>
      </c>
      <c r="L41" s="756">
        <v>3</v>
      </c>
      <c r="M41" s="756">
        <v>30</v>
      </c>
      <c r="N41" s="757">
        <v>10.07</v>
      </c>
      <c r="O41" s="756" t="s">
        <v>2812</v>
      </c>
      <c r="P41" s="772" t="s">
        <v>2885</v>
      </c>
      <c r="Q41" s="758">
        <f t="shared" si="0"/>
        <v>-1</v>
      </c>
      <c r="R41" s="758">
        <f t="shared" si="0"/>
        <v>-5.1399999999999988</v>
      </c>
      <c r="S41" s="768">
        <f t="shared" si="1"/>
        <v>20.14</v>
      </c>
      <c r="T41" s="768">
        <f t="shared" si="2"/>
        <v>29</v>
      </c>
      <c r="U41" s="768">
        <f t="shared" si="3"/>
        <v>8.86</v>
      </c>
      <c r="V41" s="773">
        <f t="shared" si="4"/>
        <v>1.4399205561072492</v>
      </c>
      <c r="W41" s="759">
        <v>9</v>
      </c>
    </row>
    <row r="42" spans="1:23" ht="14.4" customHeight="1" x14ac:dyDescent="0.3">
      <c r="A42" s="820" t="s">
        <v>2886</v>
      </c>
      <c r="B42" s="768"/>
      <c r="C42" s="769"/>
      <c r="D42" s="770"/>
      <c r="E42" s="771"/>
      <c r="F42" s="750"/>
      <c r="G42" s="751"/>
      <c r="H42" s="752">
        <v>1</v>
      </c>
      <c r="I42" s="753">
        <v>0.91</v>
      </c>
      <c r="J42" s="766">
        <v>9</v>
      </c>
      <c r="K42" s="755">
        <v>0.91</v>
      </c>
      <c r="L42" s="756">
        <v>2</v>
      </c>
      <c r="M42" s="756">
        <v>15</v>
      </c>
      <c r="N42" s="757">
        <v>5.13</v>
      </c>
      <c r="O42" s="756" t="s">
        <v>2812</v>
      </c>
      <c r="P42" s="772" t="s">
        <v>2887</v>
      </c>
      <c r="Q42" s="758">
        <f t="shared" si="0"/>
        <v>1</v>
      </c>
      <c r="R42" s="758">
        <f t="shared" si="0"/>
        <v>0.91</v>
      </c>
      <c r="S42" s="768">
        <f t="shared" si="1"/>
        <v>5.13</v>
      </c>
      <c r="T42" s="768">
        <f t="shared" si="2"/>
        <v>9</v>
      </c>
      <c r="U42" s="768">
        <f t="shared" si="3"/>
        <v>3.87</v>
      </c>
      <c r="V42" s="773">
        <f t="shared" si="4"/>
        <v>1.7543859649122808</v>
      </c>
      <c r="W42" s="759">
        <v>4</v>
      </c>
    </row>
    <row r="43" spans="1:23" ht="14.4" customHeight="1" x14ac:dyDescent="0.3">
      <c r="A43" s="821" t="s">
        <v>2888</v>
      </c>
      <c r="B43" s="805">
        <v>1</v>
      </c>
      <c r="C43" s="806">
        <v>1.82</v>
      </c>
      <c r="D43" s="774">
        <v>19</v>
      </c>
      <c r="E43" s="807"/>
      <c r="F43" s="808"/>
      <c r="G43" s="760"/>
      <c r="H43" s="809"/>
      <c r="I43" s="810"/>
      <c r="J43" s="761"/>
      <c r="K43" s="811">
        <v>1.82</v>
      </c>
      <c r="L43" s="812">
        <v>3</v>
      </c>
      <c r="M43" s="812">
        <v>29</v>
      </c>
      <c r="N43" s="813">
        <v>9.66</v>
      </c>
      <c r="O43" s="812" t="s">
        <v>2812</v>
      </c>
      <c r="P43" s="814" t="s">
        <v>2889</v>
      </c>
      <c r="Q43" s="815">
        <f t="shared" si="0"/>
        <v>-1</v>
      </c>
      <c r="R43" s="815">
        <f t="shared" si="0"/>
        <v>-1.82</v>
      </c>
      <c r="S43" s="805" t="str">
        <f t="shared" si="1"/>
        <v/>
      </c>
      <c r="T43" s="805" t="str">
        <f t="shared" si="2"/>
        <v/>
      </c>
      <c r="U43" s="805" t="str">
        <f t="shared" si="3"/>
        <v/>
      </c>
      <c r="V43" s="816" t="str">
        <f t="shared" si="4"/>
        <v/>
      </c>
      <c r="W43" s="762"/>
    </row>
    <row r="44" spans="1:23" ht="14.4" customHeight="1" x14ac:dyDescent="0.3">
      <c r="A44" s="820" t="s">
        <v>2890</v>
      </c>
      <c r="B44" s="763">
        <v>1</v>
      </c>
      <c r="C44" s="764">
        <v>7.58</v>
      </c>
      <c r="D44" s="765">
        <v>9</v>
      </c>
      <c r="E44" s="771"/>
      <c r="F44" s="750"/>
      <c r="G44" s="751"/>
      <c r="H44" s="756"/>
      <c r="I44" s="750"/>
      <c r="J44" s="751"/>
      <c r="K44" s="755">
        <v>6.39</v>
      </c>
      <c r="L44" s="756">
        <v>5</v>
      </c>
      <c r="M44" s="756">
        <v>46</v>
      </c>
      <c r="N44" s="757">
        <v>15.47</v>
      </c>
      <c r="O44" s="756" t="s">
        <v>2812</v>
      </c>
      <c r="P44" s="772" t="s">
        <v>2891</v>
      </c>
      <c r="Q44" s="758">
        <f t="shared" si="0"/>
        <v>-1</v>
      </c>
      <c r="R44" s="758">
        <f t="shared" si="0"/>
        <v>-7.58</v>
      </c>
      <c r="S44" s="768" t="str">
        <f t="shared" si="1"/>
        <v/>
      </c>
      <c r="T44" s="768" t="str">
        <f t="shared" si="2"/>
        <v/>
      </c>
      <c r="U44" s="768" t="str">
        <f t="shared" si="3"/>
        <v/>
      </c>
      <c r="V44" s="773" t="str">
        <f t="shared" si="4"/>
        <v/>
      </c>
      <c r="W44" s="759"/>
    </row>
    <row r="45" spans="1:23" ht="14.4" customHeight="1" x14ac:dyDescent="0.3">
      <c r="A45" s="821" t="s">
        <v>2892</v>
      </c>
      <c r="B45" s="817">
        <v>1</v>
      </c>
      <c r="C45" s="818">
        <v>12.27</v>
      </c>
      <c r="D45" s="767">
        <v>60</v>
      </c>
      <c r="E45" s="807"/>
      <c r="F45" s="808"/>
      <c r="G45" s="760"/>
      <c r="H45" s="812"/>
      <c r="I45" s="808"/>
      <c r="J45" s="760"/>
      <c r="K45" s="811">
        <v>11.16</v>
      </c>
      <c r="L45" s="812">
        <v>6</v>
      </c>
      <c r="M45" s="812">
        <v>56</v>
      </c>
      <c r="N45" s="813">
        <v>18.7</v>
      </c>
      <c r="O45" s="812" t="s">
        <v>2812</v>
      </c>
      <c r="P45" s="814" t="s">
        <v>2893</v>
      </c>
      <c r="Q45" s="815">
        <f t="shared" si="0"/>
        <v>-1</v>
      </c>
      <c r="R45" s="815">
        <f t="shared" si="0"/>
        <v>-12.27</v>
      </c>
      <c r="S45" s="805" t="str">
        <f t="shared" si="1"/>
        <v/>
      </c>
      <c r="T45" s="805" t="str">
        <f t="shared" si="2"/>
        <v/>
      </c>
      <c r="U45" s="805" t="str">
        <f t="shared" si="3"/>
        <v/>
      </c>
      <c r="V45" s="816" t="str">
        <f t="shared" si="4"/>
        <v/>
      </c>
      <c r="W45" s="762"/>
    </row>
    <row r="46" spans="1:23" ht="14.4" customHeight="1" x14ac:dyDescent="0.3">
      <c r="A46" s="820" t="s">
        <v>2894</v>
      </c>
      <c r="B46" s="763">
        <v>1</v>
      </c>
      <c r="C46" s="764">
        <v>8.64</v>
      </c>
      <c r="D46" s="765">
        <v>14</v>
      </c>
      <c r="E46" s="771"/>
      <c r="F46" s="750"/>
      <c r="G46" s="751"/>
      <c r="H46" s="756"/>
      <c r="I46" s="750"/>
      <c r="J46" s="751"/>
      <c r="K46" s="755">
        <v>8.64</v>
      </c>
      <c r="L46" s="756">
        <v>7</v>
      </c>
      <c r="M46" s="756">
        <v>62</v>
      </c>
      <c r="N46" s="757">
        <v>20.82</v>
      </c>
      <c r="O46" s="756" t="s">
        <v>2812</v>
      </c>
      <c r="P46" s="772" t="s">
        <v>2895</v>
      </c>
      <c r="Q46" s="758">
        <f t="shared" si="0"/>
        <v>-1</v>
      </c>
      <c r="R46" s="758">
        <f t="shared" si="0"/>
        <v>-8.64</v>
      </c>
      <c r="S46" s="768" t="str">
        <f t="shared" si="1"/>
        <v/>
      </c>
      <c r="T46" s="768" t="str">
        <f t="shared" si="2"/>
        <v/>
      </c>
      <c r="U46" s="768" t="str">
        <f t="shared" si="3"/>
        <v/>
      </c>
      <c r="V46" s="773" t="str">
        <f t="shared" si="4"/>
        <v/>
      </c>
      <c r="W46" s="759"/>
    </row>
    <row r="47" spans="1:23" ht="14.4" customHeight="1" x14ac:dyDescent="0.3">
      <c r="A47" s="820" t="s">
        <v>2896</v>
      </c>
      <c r="B47" s="763">
        <v>1</v>
      </c>
      <c r="C47" s="764">
        <v>39.11</v>
      </c>
      <c r="D47" s="765">
        <v>21</v>
      </c>
      <c r="E47" s="771"/>
      <c r="F47" s="750"/>
      <c r="G47" s="751"/>
      <c r="H47" s="756"/>
      <c r="I47" s="750"/>
      <c r="J47" s="751"/>
      <c r="K47" s="755">
        <v>39.11</v>
      </c>
      <c r="L47" s="756">
        <v>12</v>
      </c>
      <c r="M47" s="756">
        <v>107</v>
      </c>
      <c r="N47" s="757">
        <v>35.67</v>
      </c>
      <c r="O47" s="756" t="s">
        <v>2812</v>
      </c>
      <c r="P47" s="772" t="s">
        <v>2897</v>
      </c>
      <c r="Q47" s="758">
        <f t="shared" si="0"/>
        <v>-1</v>
      </c>
      <c r="R47" s="758">
        <f t="shared" si="0"/>
        <v>-39.11</v>
      </c>
      <c r="S47" s="768" t="str">
        <f t="shared" si="1"/>
        <v/>
      </c>
      <c r="T47" s="768" t="str">
        <f t="shared" si="2"/>
        <v/>
      </c>
      <c r="U47" s="768" t="str">
        <f t="shared" si="3"/>
        <v/>
      </c>
      <c r="V47" s="773" t="str">
        <f t="shared" si="4"/>
        <v/>
      </c>
      <c r="W47" s="759"/>
    </row>
    <row r="48" spans="1:23" ht="14.4" customHeight="1" x14ac:dyDescent="0.3">
      <c r="A48" s="820" t="s">
        <v>2898</v>
      </c>
      <c r="B48" s="763">
        <v>1</v>
      </c>
      <c r="C48" s="764">
        <v>23.8</v>
      </c>
      <c r="D48" s="765">
        <v>16</v>
      </c>
      <c r="E48" s="771"/>
      <c r="F48" s="750"/>
      <c r="G48" s="751"/>
      <c r="H48" s="756"/>
      <c r="I48" s="750"/>
      <c r="J48" s="751"/>
      <c r="K48" s="755">
        <v>23.8</v>
      </c>
      <c r="L48" s="756">
        <v>7</v>
      </c>
      <c r="M48" s="756">
        <v>60</v>
      </c>
      <c r="N48" s="757">
        <v>20.05</v>
      </c>
      <c r="O48" s="756" t="s">
        <v>2812</v>
      </c>
      <c r="P48" s="772" t="s">
        <v>2899</v>
      </c>
      <c r="Q48" s="758">
        <f t="shared" si="0"/>
        <v>-1</v>
      </c>
      <c r="R48" s="758">
        <f t="shared" si="0"/>
        <v>-23.8</v>
      </c>
      <c r="S48" s="768" t="str">
        <f t="shared" si="1"/>
        <v/>
      </c>
      <c r="T48" s="768" t="str">
        <f t="shared" si="2"/>
        <v/>
      </c>
      <c r="U48" s="768" t="str">
        <f t="shared" si="3"/>
        <v/>
      </c>
      <c r="V48" s="773" t="str">
        <f t="shared" si="4"/>
        <v/>
      </c>
      <c r="W48" s="759"/>
    </row>
    <row r="49" spans="1:23" ht="14.4" customHeight="1" x14ac:dyDescent="0.3">
      <c r="A49" s="820" t="s">
        <v>2900</v>
      </c>
      <c r="B49" s="768"/>
      <c r="C49" s="769"/>
      <c r="D49" s="770"/>
      <c r="E49" s="752">
        <v>1</v>
      </c>
      <c r="F49" s="753">
        <v>16.2</v>
      </c>
      <c r="G49" s="754">
        <v>13</v>
      </c>
      <c r="H49" s="756"/>
      <c r="I49" s="750"/>
      <c r="J49" s="751"/>
      <c r="K49" s="755">
        <v>17.87</v>
      </c>
      <c r="L49" s="756">
        <v>7</v>
      </c>
      <c r="M49" s="756">
        <v>60</v>
      </c>
      <c r="N49" s="757">
        <v>19.850000000000001</v>
      </c>
      <c r="O49" s="756" t="s">
        <v>2812</v>
      </c>
      <c r="P49" s="772" t="s">
        <v>2901</v>
      </c>
      <c r="Q49" s="758">
        <f t="shared" si="0"/>
        <v>0</v>
      </c>
      <c r="R49" s="758">
        <f t="shared" si="0"/>
        <v>0</v>
      </c>
      <c r="S49" s="768" t="str">
        <f t="shared" si="1"/>
        <v/>
      </c>
      <c r="T49" s="768" t="str">
        <f t="shared" si="2"/>
        <v/>
      </c>
      <c r="U49" s="768" t="str">
        <f t="shared" si="3"/>
        <v/>
      </c>
      <c r="V49" s="773" t="str">
        <f t="shared" si="4"/>
        <v/>
      </c>
      <c r="W49" s="759"/>
    </row>
    <row r="50" spans="1:23" ht="14.4" customHeight="1" x14ac:dyDescent="0.3">
      <c r="A50" s="820" t="s">
        <v>2902</v>
      </c>
      <c r="B50" s="768">
        <v>1</v>
      </c>
      <c r="C50" s="769">
        <v>1.36</v>
      </c>
      <c r="D50" s="770">
        <v>4</v>
      </c>
      <c r="E50" s="771"/>
      <c r="F50" s="750"/>
      <c r="G50" s="751"/>
      <c r="H50" s="752">
        <v>1</v>
      </c>
      <c r="I50" s="753">
        <v>1.36</v>
      </c>
      <c r="J50" s="754">
        <v>5</v>
      </c>
      <c r="K50" s="755">
        <v>1.36</v>
      </c>
      <c r="L50" s="756">
        <v>2</v>
      </c>
      <c r="M50" s="756">
        <v>19</v>
      </c>
      <c r="N50" s="757">
        <v>6.35</v>
      </c>
      <c r="O50" s="756" t="s">
        <v>2812</v>
      </c>
      <c r="P50" s="772" t="s">
        <v>2903</v>
      </c>
      <c r="Q50" s="758">
        <f t="shared" si="0"/>
        <v>0</v>
      </c>
      <c r="R50" s="758">
        <f t="shared" si="0"/>
        <v>0</v>
      </c>
      <c r="S50" s="768">
        <f t="shared" si="1"/>
        <v>6.35</v>
      </c>
      <c r="T50" s="768">
        <f t="shared" si="2"/>
        <v>5</v>
      </c>
      <c r="U50" s="768">
        <f t="shared" si="3"/>
        <v>-1.3499999999999996</v>
      </c>
      <c r="V50" s="773">
        <f t="shared" si="4"/>
        <v>0.78740157480314965</v>
      </c>
      <c r="W50" s="759"/>
    </row>
    <row r="51" spans="1:23" ht="14.4" customHeight="1" thickBot="1" x14ac:dyDescent="0.35">
      <c r="A51" s="822" t="s">
        <v>2904</v>
      </c>
      <c r="B51" s="823"/>
      <c r="C51" s="824"/>
      <c r="D51" s="825"/>
      <c r="E51" s="826">
        <v>1</v>
      </c>
      <c r="F51" s="827">
        <v>0.68</v>
      </c>
      <c r="G51" s="828">
        <v>2</v>
      </c>
      <c r="H51" s="829">
        <v>1</v>
      </c>
      <c r="I51" s="830">
        <v>0.68</v>
      </c>
      <c r="J51" s="831">
        <v>2</v>
      </c>
      <c r="K51" s="832">
        <v>0.68</v>
      </c>
      <c r="L51" s="833">
        <v>2</v>
      </c>
      <c r="M51" s="833">
        <v>17</v>
      </c>
      <c r="N51" s="834">
        <v>5.56</v>
      </c>
      <c r="O51" s="833" t="s">
        <v>2812</v>
      </c>
      <c r="P51" s="835" t="s">
        <v>2905</v>
      </c>
      <c r="Q51" s="836">
        <f t="shared" si="0"/>
        <v>1</v>
      </c>
      <c r="R51" s="836">
        <f t="shared" si="0"/>
        <v>0.68</v>
      </c>
      <c r="S51" s="823">
        <f t="shared" si="1"/>
        <v>5.56</v>
      </c>
      <c r="T51" s="823">
        <f t="shared" si="2"/>
        <v>2</v>
      </c>
      <c r="U51" s="823">
        <f t="shared" si="3"/>
        <v>-3.5599999999999996</v>
      </c>
      <c r="V51" s="837">
        <f t="shared" si="4"/>
        <v>0.35971223021582738</v>
      </c>
      <c r="W51" s="838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2:Q1048576">
    <cfRule type="cellIs" dxfId="12" priority="9" stopIfTrue="1" operator="lessThan">
      <formula>0</formula>
    </cfRule>
  </conditionalFormatting>
  <conditionalFormatting sqref="U52:U1048576">
    <cfRule type="cellIs" dxfId="11" priority="8" stopIfTrue="1" operator="greaterThan">
      <formula>0</formula>
    </cfRule>
  </conditionalFormatting>
  <conditionalFormatting sqref="V52:V1048576">
    <cfRule type="cellIs" dxfId="10" priority="7" stopIfTrue="1" operator="greaterThan">
      <formula>1</formula>
    </cfRule>
  </conditionalFormatting>
  <conditionalFormatting sqref="V52:V1048576">
    <cfRule type="cellIs" dxfId="9" priority="4" stopIfTrue="1" operator="greaterThan">
      <formula>1</formula>
    </cfRule>
  </conditionalFormatting>
  <conditionalFormatting sqref="U52:U1048576">
    <cfRule type="cellIs" dxfId="8" priority="5" stopIfTrue="1" operator="greaterThan">
      <formula>0</formula>
    </cfRule>
  </conditionalFormatting>
  <conditionalFormatting sqref="Q52:Q1048576">
    <cfRule type="cellIs" dxfId="7" priority="6" stopIfTrue="1" operator="lessThan">
      <formula>0</formula>
    </cfRule>
  </conditionalFormatting>
  <conditionalFormatting sqref="V5:V51">
    <cfRule type="cellIs" dxfId="6" priority="1" stopIfTrue="1" operator="greaterThan">
      <formula>1</formula>
    </cfRule>
  </conditionalFormatting>
  <conditionalFormatting sqref="U5:U51">
    <cfRule type="cellIs" dxfId="5" priority="2" stopIfTrue="1" operator="greaterThan">
      <formula>0</formula>
    </cfRule>
  </conditionalFormatting>
  <conditionalFormatting sqref="Q5:Q5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60" customWidth="1"/>
    <col min="2" max="2" width="7.77734375" style="225" customWidth="1"/>
    <col min="3" max="3" width="7.21875" style="260" hidden="1" customWidth="1"/>
    <col min="4" max="4" width="7.77734375" style="225" customWidth="1"/>
    <col min="5" max="5" width="7.2187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7.21875" style="260" hidden="1" customWidth="1"/>
    <col min="10" max="10" width="7.77734375" style="225" customWidth="1"/>
    <col min="11" max="11" width="7.21875" style="260" hidden="1" customWidth="1"/>
    <col min="12" max="12" width="7.77734375" style="225" customWidth="1"/>
    <col min="13" max="13" width="7.77734375" style="346" customWidth="1"/>
    <col min="14" max="16384" width="8.88671875" style="260"/>
  </cols>
  <sheetData>
    <row r="1" spans="1:13" ht="18.600000000000001" customHeight="1" thickBot="1" x14ac:dyDescent="0.4">
      <c r="A1" s="471" t="s">
        <v>162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</row>
    <row r="3" spans="1:13" ht="14.4" customHeight="1" thickBot="1" x14ac:dyDescent="0.35">
      <c r="A3" s="356" t="s">
        <v>163</v>
      </c>
      <c r="B3" s="357">
        <f>SUBTOTAL(9,B6:B1048576)</f>
        <v>2148039</v>
      </c>
      <c r="C3" s="358">
        <f t="shared" ref="C3:L3" si="0">SUBTOTAL(9,C6:C1048576)</f>
        <v>9</v>
      </c>
      <c r="D3" s="358">
        <f t="shared" si="0"/>
        <v>2771176</v>
      </c>
      <c r="E3" s="358">
        <f t="shared" si="0"/>
        <v>9.0589027058242646</v>
      </c>
      <c r="F3" s="358">
        <f t="shared" si="0"/>
        <v>2578161</v>
      </c>
      <c r="G3" s="361">
        <f>IF(B3&lt;&gt;0,F3/B3,"")</f>
        <v>1.200239381128555</v>
      </c>
      <c r="H3" s="357">
        <f t="shared" si="0"/>
        <v>293652.50999999995</v>
      </c>
      <c r="I3" s="358">
        <f t="shared" si="0"/>
        <v>1</v>
      </c>
      <c r="J3" s="358">
        <f t="shared" si="0"/>
        <v>923030.82999999984</v>
      </c>
      <c r="K3" s="358">
        <f t="shared" si="0"/>
        <v>3.1432758058155197</v>
      </c>
      <c r="L3" s="358">
        <f t="shared" si="0"/>
        <v>1427742.3399999999</v>
      </c>
      <c r="M3" s="359">
        <f>IF(H3&lt;&gt;0,L3/H3,"")</f>
        <v>4.8620130643528299</v>
      </c>
    </row>
    <row r="4" spans="1:13" ht="14.4" customHeight="1" x14ac:dyDescent="0.3">
      <c r="A4" s="578" t="s">
        <v>121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</row>
    <row r="5" spans="1:13" s="344" customFormat="1" ht="14.4" customHeight="1" thickBot="1" x14ac:dyDescent="0.35">
      <c r="A5" s="839"/>
      <c r="B5" s="840">
        <v>2012</v>
      </c>
      <c r="C5" s="841"/>
      <c r="D5" s="841">
        <v>2013</v>
      </c>
      <c r="E5" s="841"/>
      <c r="F5" s="841">
        <v>2014</v>
      </c>
      <c r="G5" s="730" t="s">
        <v>5</v>
      </c>
      <c r="H5" s="840">
        <v>2012</v>
      </c>
      <c r="I5" s="841"/>
      <c r="J5" s="841">
        <v>2013</v>
      </c>
      <c r="K5" s="841"/>
      <c r="L5" s="841">
        <v>2014</v>
      </c>
      <c r="M5" s="730" t="s">
        <v>5</v>
      </c>
    </row>
    <row r="6" spans="1:13" ht="14.4" customHeight="1" x14ac:dyDescent="0.3">
      <c r="A6" s="715" t="s">
        <v>2281</v>
      </c>
      <c r="B6" s="731">
        <v>81164</v>
      </c>
      <c r="C6" s="696">
        <v>1</v>
      </c>
      <c r="D6" s="731">
        <v>87552</v>
      </c>
      <c r="E6" s="696">
        <v>1.0787048445123453</v>
      </c>
      <c r="F6" s="731">
        <v>77910</v>
      </c>
      <c r="G6" s="701">
        <v>0.9599083337440244</v>
      </c>
      <c r="H6" s="731"/>
      <c r="I6" s="696"/>
      <c r="J6" s="731"/>
      <c r="K6" s="696"/>
      <c r="L6" s="731"/>
      <c r="M6" s="241"/>
    </row>
    <row r="7" spans="1:13" ht="14.4" customHeight="1" x14ac:dyDescent="0.3">
      <c r="A7" s="716" t="s">
        <v>2285</v>
      </c>
      <c r="B7" s="745">
        <v>783095</v>
      </c>
      <c r="C7" s="670">
        <v>1</v>
      </c>
      <c r="D7" s="745">
        <v>1064418</v>
      </c>
      <c r="E7" s="670">
        <v>1.3592450468972475</v>
      </c>
      <c r="F7" s="745">
        <v>168066</v>
      </c>
      <c r="G7" s="681">
        <v>0.21461763898377592</v>
      </c>
      <c r="H7" s="745"/>
      <c r="I7" s="670"/>
      <c r="J7" s="745"/>
      <c r="K7" s="670"/>
      <c r="L7" s="745"/>
      <c r="M7" s="242"/>
    </row>
    <row r="8" spans="1:13" ht="14.4" customHeight="1" x14ac:dyDescent="0.3">
      <c r="A8" s="716" t="s">
        <v>2288</v>
      </c>
      <c r="B8" s="745">
        <v>2221</v>
      </c>
      <c r="C8" s="670">
        <v>1</v>
      </c>
      <c r="D8" s="745"/>
      <c r="E8" s="670"/>
      <c r="F8" s="745"/>
      <c r="G8" s="681"/>
      <c r="H8" s="745"/>
      <c r="I8" s="670"/>
      <c r="J8" s="745"/>
      <c r="K8" s="670"/>
      <c r="L8" s="745"/>
      <c r="M8" s="242"/>
    </row>
    <row r="9" spans="1:13" ht="14.4" customHeight="1" x14ac:dyDescent="0.3">
      <c r="A9" s="716" t="s">
        <v>2296</v>
      </c>
      <c r="B9" s="745">
        <v>25683</v>
      </c>
      <c r="C9" s="670">
        <v>1</v>
      </c>
      <c r="D9" s="745">
        <v>28785</v>
      </c>
      <c r="E9" s="670">
        <v>1.1207802826772573</v>
      </c>
      <c r="F9" s="745">
        <v>21206</v>
      </c>
      <c r="G9" s="681">
        <v>0.82568235797998679</v>
      </c>
      <c r="H9" s="745"/>
      <c r="I9" s="670"/>
      <c r="J9" s="745"/>
      <c r="K9" s="670"/>
      <c r="L9" s="745"/>
      <c r="M9" s="242"/>
    </row>
    <row r="10" spans="1:13" ht="14.4" customHeight="1" x14ac:dyDescent="0.3">
      <c r="A10" s="716" t="s">
        <v>2907</v>
      </c>
      <c r="B10" s="745">
        <v>122226</v>
      </c>
      <c r="C10" s="670">
        <v>1</v>
      </c>
      <c r="D10" s="745">
        <v>120929</v>
      </c>
      <c r="E10" s="670">
        <v>0.98938850980969684</v>
      </c>
      <c r="F10" s="745">
        <v>118250</v>
      </c>
      <c r="G10" s="681">
        <v>0.96747009637883918</v>
      </c>
      <c r="H10" s="745"/>
      <c r="I10" s="670"/>
      <c r="J10" s="745"/>
      <c r="K10" s="670"/>
      <c r="L10" s="745"/>
      <c r="M10" s="242"/>
    </row>
    <row r="11" spans="1:13" ht="14.4" customHeight="1" x14ac:dyDescent="0.3">
      <c r="A11" s="716" t="s">
        <v>2908</v>
      </c>
      <c r="B11" s="745">
        <v>803995</v>
      </c>
      <c r="C11" s="670">
        <v>1</v>
      </c>
      <c r="D11" s="745">
        <v>1125971</v>
      </c>
      <c r="E11" s="670">
        <v>1.4004701521775633</v>
      </c>
      <c r="F11" s="745">
        <v>1147430</v>
      </c>
      <c r="G11" s="681">
        <v>1.4271606166705018</v>
      </c>
      <c r="H11" s="745">
        <v>293652.50999999995</v>
      </c>
      <c r="I11" s="670">
        <v>1</v>
      </c>
      <c r="J11" s="745">
        <v>923030.82999999984</v>
      </c>
      <c r="K11" s="670">
        <v>3.1432758058155197</v>
      </c>
      <c r="L11" s="745">
        <v>1427742.3399999999</v>
      </c>
      <c r="M11" s="242">
        <v>4.8620130643528299</v>
      </c>
    </row>
    <row r="12" spans="1:13" ht="14.4" customHeight="1" x14ac:dyDescent="0.3">
      <c r="A12" s="716" t="s">
        <v>2909</v>
      </c>
      <c r="B12" s="745">
        <v>100942</v>
      </c>
      <c r="C12" s="670">
        <v>1</v>
      </c>
      <c r="D12" s="745">
        <v>105942</v>
      </c>
      <c r="E12" s="670">
        <v>1.0495333954151889</v>
      </c>
      <c r="F12" s="745">
        <v>113476</v>
      </c>
      <c r="G12" s="681">
        <v>1.1241703156267955</v>
      </c>
      <c r="H12" s="745"/>
      <c r="I12" s="670"/>
      <c r="J12" s="745"/>
      <c r="K12" s="670"/>
      <c r="L12" s="745"/>
      <c r="M12" s="242"/>
    </row>
    <row r="13" spans="1:13" ht="14.4" customHeight="1" x14ac:dyDescent="0.3">
      <c r="A13" s="716" t="s">
        <v>2910</v>
      </c>
      <c r="B13" s="745">
        <v>159844</v>
      </c>
      <c r="C13" s="670">
        <v>1</v>
      </c>
      <c r="D13" s="745">
        <v>168067</v>
      </c>
      <c r="E13" s="670">
        <v>1.0514439078101148</v>
      </c>
      <c r="F13" s="745">
        <v>220489</v>
      </c>
      <c r="G13" s="681">
        <v>1.3794011661369836</v>
      </c>
      <c r="H13" s="745"/>
      <c r="I13" s="670"/>
      <c r="J13" s="745"/>
      <c r="K13" s="670"/>
      <c r="L13" s="745"/>
      <c r="M13" s="242"/>
    </row>
    <row r="14" spans="1:13" ht="14.4" customHeight="1" x14ac:dyDescent="0.3">
      <c r="A14" s="716" t="s">
        <v>2911</v>
      </c>
      <c r="B14" s="745">
        <v>68869</v>
      </c>
      <c r="C14" s="670">
        <v>1</v>
      </c>
      <c r="D14" s="745">
        <v>69512</v>
      </c>
      <c r="E14" s="670">
        <v>1.0093365665248515</v>
      </c>
      <c r="F14" s="745">
        <v>66102</v>
      </c>
      <c r="G14" s="681">
        <v>0.9598222712686405</v>
      </c>
      <c r="H14" s="745"/>
      <c r="I14" s="670"/>
      <c r="J14" s="745"/>
      <c r="K14" s="670"/>
      <c r="L14" s="745"/>
      <c r="M14" s="242"/>
    </row>
    <row r="15" spans="1:13" ht="14.4" customHeight="1" thickBot="1" x14ac:dyDescent="0.35">
      <c r="A15" s="733" t="s">
        <v>2912</v>
      </c>
      <c r="B15" s="732"/>
      <c r="C15" s="672"/>
      <c r="D15" s="732"/>
      <c r="E15" s="672"/>
      <c r="F15" s="732">
        <v>645232</v>
      </c>
      <c r="G15" s="682"/>
      <c r="H15" s="732"/>
      <c r="I15" s="672"/>
      <c r="J15" s="732"/>
      <c r="K15" s="672"/>
      <c r="L15" s="732"/>
      <c r="M15" s="68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4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71" t="s">
        <v>3372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298</v>
      </c>
      <c r="B2" s="230"/>
      <c r="C2" s="230"/>
      <c r="D2" s="230"/>
      <c r="E2" s="230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3"/>
      <c r="Q2" s="366"/>
    </row>
    <row r="3" spans="1:17" ht="14.4" customHeight="1" thickBot="1" x14ac:dyDescent="0.35">
      <c r="E3" s="112" t="s">
        <v>163</v>
      </c>
      <c r="F3" s="217">
        <f t="shared" ref="F3:O3" si="0">SUBTOTAL(9,F6:F1048576)</f>
        <v>6368.2</v>
      </c>
      <c r="G3" s="221">
        <f t="shared" si="0"/>
        <v>2441691.5100000002</v>
      </c>
      <c r="H3" s="222"/>
      <c r="I3" s="222"/>
      <c r="J3" s="217">
        <f t="shared" si="0"/>
        <v>6612.8600000000006</v>
      </c>
      <c r="K3" s="221">
        <f t="shared" si="0"/>
        <v>3694206.8299999996</v>
      </c>
      <c r="L3" s="222"/>
      <c r="M3" s="222"/>
      <c r="N3" s="217">
        <f t="shared" si="0"/>
        <v>6388.9699999999993</v>
      </c>
      <c r="O3" s="221">
        <f t="shared" si="0"/>
        <v>4005903.34</v>
      </c>
      <c r="P3" s="181">
        <f>IF(G3=0,"",O3/G3)</f>
        <v>1.6406263131905634</v>
      </c>
      <c r="Q3" s="219">
        <f>IF(N3=0,"",O3/N3)</f>
        <v>627.00299735325109</v>
      </c>
    </row>
    <row r="4" spans="1:17" ht="14.4" customHeight="1" x14ac:dyDescent="0.3">
      <c r="A4" s="534" t="s">
        <v>77</v>
      </c>
      <c r="B4" s="533" t="s">
        <v>122</v>
      </c>
      <c r="C4" s="534" t="s">
        <v>123</v>
      </c>
      <c r="D4" s="535" t="s">
        <v>93</v>
      </c>
      <c r="E4" s="536" t="s">
        <v>14</v>
      </c>
      <c r="F4" s="540">
        <v>2012</v>
      </c>
      <c r="G4" s="541"/>
      <c r="H4" s="220"/>
      <c r="I4" s="220"/>
      <c r="J4" s="540">
        <v>2013</v>
      </c>
      <c r="K4" s="541"/>
      <c r="L4" s="220"/>
      <c r="M4" s="220"/>
      <c r="N4" s="540">
        <v>2014</v>
      </c>
      <c r="O4" s="541"/>
      <c r="P4" s="542" t="s">
        <v>5</v>
      </c>
      <c r="Q4" s="532" t="s">
        <v>125</v>
      </c>
    </row>
    <row r="5" spans="1:17" ht="14.4" customHeight="1" thickBot="1" x14ac:dyDescent="0.35">
      <c r="A5" s="737"/>
      <c r="B5" s="736"/>
      <c r="C5" s="737"/>
      <c r="D5" s="738"/>
      <c r="E5" s="739"/>
      <c r="F5" s="746" t="s">
        <v>94</v>
      </c>
      <c r="G5" s="747" t="s">
        <v>17</v>
      </c>
      <c r="H5" s="748"/>
      <c r="I5" s="748"/>
      <c r="J5" s="746" t="s">
        <v>94</v>
      </c>
      <c r="K5" s="747" t="s">
        <v>17</v>
      </c>
      <c r="L5" s="748"/>
      <c r="M5" s="748"/>
      <c r="N5" s="746" t="s">
        <v>94</v>
      </c>
      <c r="O5" s="747" t="s">
        <v>17</v>
      </c>
      <c r="P5" s="749"/>
      <c r="Q5" s="744"/>
    </row>
    <row r="6" spans="1:17" ht="14.4" customHeight="1" x14ac:dyDescent="0.3">
      <c r="A6" s="695" t="s">
        <v>507</v>
      </c>
      <c r="B6" s="696" t="s">
        <v>2310</v>
      </c>
      <c r="C6" s="696" t="s">
        <v>2234</v>
      </c>
      <c r="D6" s="696" t="s">
        <v>2575</v>
      </c>
      <c r="E6" s="696" t="s">
        <v>2576</v>
      </c>
      <c r="F6" s="235">
        <v>110</v>
      </c>
      <c r="G6" s="235">
        <v>81164</v>
      </c>
      <c r="H6" s="235">
        <v>1</v>
      </c>
      <c r="I6" s="235">
        <v>737.85454545454547</v>
      </c>
      <c r="J6" s="235">
        <v>73</v>
      </c>
      <c r="K6" s="235">
        <v>54162</v>
      </c>
      <c r="L6" s="235">
        <v>0.66731555862204917</v>
      </c>
      <c r="M6" s="235">
        <v>741.94520547945206</v>
      </c>
      <c r="N6" s="235"/>
      <c r="O6" s="235"/>
      <c r="P6" s="701"/>
      <c r="Q6" s="711"/>
    </row>
    <row r="7" spans="1:17" ht="14.4" customHeight="1" x14ac:dyDescent="0.3">
      <c r="A7" s="679" t="s">
        <v>507</v>
      </c>
      <c r="B7" s="670" t="s">
        <v>2792</v>
      </c>
      <c r="C7" s="670" t="s">
        <v>2234</v>
      </c>
      <c r="D7" s="670" t="s">
        <v>2575</v>
      </c>
      <c r="E7" s="670" t="s">
        <v>2576</v>
      </c>
      <c r="F7" s="238"/>
      <c r="G7" s="238"/>
      <c r="H7" s="238"/>
      <c r="I7" s="238"/>
      <c r="J7" s="238">
        <v>45</v>
      </c>
      <c r="K7" s="238">
        <v>33390</v>
      </c>
      <c r="L7" s="238"/>
      <c r="M7" s="238">
        <v>742</v>
      </c>
      <c r="N7" s="238">
        <v>105</v>
      </c>
      <c r="O7" s="238">
        <v>77910</v>
      </c>
      <c r="P7" s="681"/>
      <c r="Q7" s="712">
        <v>742</v>
      </c>
    </row>
    <row r="8" spans="1:17" ht="14.4" customHeight="1" x14ac:dyDescent="0.3">
      <c r="A8" s="679" t="s">
        <v>2796</v>
      </c>
      <c r="B8" s="670" t="s">
        <v>2913</v>
      </c>
      <c r="C8" s="670" t="s">
        <v>2234</v>
      </c>
      <c r="D8" s="670" t="s">
        <v>2914</v>
      </c>
      <c r="E8" s="670" t="s">
        <v>2915</v>
      </c>
      <c r="F8" s="238">
        <v>5</v>
      </c>
      <c r="G8" s="238">
        <v>6180</v>
      </c>
      <c r="H8" s="238">
        <v>1</v>
      </c>
      <c r="I8" s="238">
        <v>1236</v>
      </c>
      <c r="J8" s="238"/>
      <c r="K8" s="238"/>
      <c r="L8" s="238"/>
      <c r="M8" s="238"/>
      <c r="N8" s="238"/>
      <c r="O8" s="238"/>
      <c r="P8" s="681"/>
      <c r="Q8" s="712"/>
    </row>
    <row r="9" spans="1:17" ht="14.4" customHeight="1" x14ac:dyDescent="0.3">
      <c r="A9" s="679" t="s">
        <v>2796</v>
      </c>
      <c r="B9" s="670" t="s">
        <v>2913</v>
      </c>
      <c r="C9" s="670" t="s">
        <v>2234</v>
      </c>
      <c r="D9" s="670" t="s">
        <v>2916</v>
      </c>
      <c r="E9" s="670" t="s">
        <v>2917</v>
      </c>
      <c r="F9" s="238">
        <v>80</v>
      </c>
      <c r="G9" s="238">
        <v>743600</v>
      </c>
      <c r="H9" s="238">
        <v>1</v>
      </c>
      <c r="I9" s="238">
        <v>9295</v>
      </c>
      <c r="J9" s="238">
        <v>114</v>
      </c>
      <c r="K9" s="238">
        <v>1064418</v>
      </c>
      <c r="L9" s="238">
        <v>1.431438945669715</v>
      </c>
      <c r="M9" s="238">
        <v>9337</v>
      </c>
      <c r="N9" s="238">
        <v>18</v>
      </c>
      <c r="O9" s="238">
        <v>168066</v>
      </c>
      <c r="P9" s="681">
        <v>0.22601667563206024</v>
      </c>
      <c r="Q9" s="712">
        <v>9337</v>
      </c>
    </row>
    <row r="10" spans="1:17" ht="14.4" customHeight="1" x14ac:dyDescent="0.3">
      <c r="A10" s="679" t="s">
        <v>2796</v>
      </c>
      <c r="B10" s="670" t="s">
        <v>2913</v>
      </c>
      <c r="C10" s="670" t="s">
        <v>2234</v>
      </c>
      <c r="D10" s="670" t="s">
        <v>2918</v>
      </c>
      <c r="E10" s="670" t="s">
        <v>2919</v>
      </c>
      <c r="F10" s="238">
        <v>15</v>
      </c>
      <c r="G10" s="238">
        <v>33315</v>
      </c>
      <c r="H10" s="238">
        <v>1</v>
      </c>
      <c r="I10" s="238">
        <v>2221</v>
      </c>
      <c r="J10" s="238"/>
      <c r="K10" s="238"/>
      <c r="L10" s="238"/>
      <c r="M10" s="238"/>
      <c r="N10" s="238"/>
      <c r="O10" s="238"/>
      <c r="P10" s="681"/>
      <c r="Q10" s="712"/>
    </row>
    <row r="11" spans="1:17" ht="14.4" customHeight="1" x14ac:dyDescent="0.3">
      <c r="A11" s="679" t="s">
        <v>2799</v>
      </c>
      <c r="B11" s="670" t="s">
        <v>2920</v>
      </c>
      <c r="C11" s="670" t="s">
        <v>2234</v>
      </c>
      <c r="D11" s="670" t="s">
        <v>2921</v>
      </c>
      <c r="E11" s="670" t="s">
        <v>2922</v>
      </c>
      <c r="F11" s="238">
        <v>2</v>
      </c>
      <c r="G11" s="238">
        <v>908</v>
      </c>
      <c r="H11" s="238">
        <v>1</v>
      </c>
      <c r="I11" s="238">
        <v>454</v>
      </c>
      <c r="J11" s="238"/>
      <c r="K11" s="238"/>
      <c r="L11" s="238"/>
      <c r="M11" s="238"/>
      <c r="N11" s="238"/>
      <c r="O11" s="238"/>
      <c r="P11" s="681"/>
      <c r="Q11" s="712"/>
    </row>
    <row r="12" spans="1:17" ht="14.4" customHeight="1" x14ac:dyDescent="0.3">
      <c r="A12" s="679" t="s">
        <v>2799</v>
      </c>
      <c r="B12" s="670" t="s">
        <v>2920</v>
      </c>
      <c r="C12" s="670" t="s">
        <v>2234</v>
      </c>
      <c r="D12" s="670" t="s">
        <v>2923</v>
      </c>
      <c r="E12" s="670" t="s">
        <v>2924</v>
      </c>
      <c r="F12" s="238">
        <v>8</v>
      </c>
      <c r="G12" s="238">
        <v>624</v>
      </c>
      <c r="H12" s="238">
        <v>1</v>
      </c>
      <c r="I12" s="238">
        <v>78</v>
      </c>
      <c r="J12" s="238"/>
      <c r="K12" s="238"/>
      <c r="L12" s="238"/>
      <c r="M12" s="238"/>
      <c r="N12" s="238"/>
      <c r="O12" s="238"/>
      <c r="P12" s="681"/>
      <c r="Q12" s="712"/>
    </row>
    <row r="13" spans="1:17" ht="14.4" customHeight="1" x14ac:dyDescent="0.3">
      <c r="A13" s="679" t="s">
        <v>2799</v>
      </c>
      <c r="B13" s="670" t="s">
        <v>2920</v>
      </c>
      <c r="C13" s="670" t="s">
        <v>2234</v>
      </c>
      <c r="D13" s="670" t="s">
        <v>2925</v>
      </c>
      <c r="E13" s="670" t="s">
        <v>2926</v>
      </c>
      <c r="F13" s="238">
        <v>2</v>
      </c>
      <c r="G13" s="238">
        <v>326</v>
      </c>
      <c r="H13" s="238">
        <v>1</v>
      </c>
      <c r="I13" s="238">
        <v>163</v>
      </c>
      <c r="J13" s="238"/>
      <c r="K13" s="238"/>
      <c r="L13" s="238"/>
      <c r="M13" s="238"/>
      <c r="N13" s="238"/>
      <c r="O13" s="238"/>
      <c r="P13" s="681"/>
      <c r="Q13" s="712"/>
    </row>
    <row r="14" spans="1:17" ht="14.4" customHeight="1" x14ac:dyDescent="0.3">
      <c r="A14" s="679" t="s">
        <v>2799</v>
      </c>
      <c r="B14" s="670" t="s">
        <v>2920</v>
      </c>
      <c r="C14" s="670" t="s">
        <v>2234</v>
      </c>
      <c r="D14" s="670" t="s">
        <v>2927</v>
      </c>
      <c r="E14" s="670" t="s">
        <v>2928</v>
      </c>
      <c r="F14" s="238">
        <v>1</v>
      </c>
      <c r="G14" s="238">
        <v>197</v>
      </c>
      <c r="H14" s="238">
        <v>1</v>
      </c>
      <c r="I14" s="238">
        <v>197</v>
      </c>
      <c r="J14" s="238"/>
      <c r="K14" s="238"/>
      <c r="L14" s="238"/>
      <c r="M14" s="238"/>
      <c r="N14" s="238"/>
      <c r="O14" s="238"/>
      <c r="P14" s="681"/>
      <c r="Q14" s="712"/>
    </row>
    <row r="15" spans="1:17" ht="14.4" customHeight="1" x14ac:dyDescent="0.3">
      <c r="A15" s="679" t="s">
        <v>2799</v>
      </c>
      <c r="B15" s="670" t="s">
        <v>2920</v>
      </c>
      <c r="C15" s="670" t="s">
        <v>2234</v>
      </c>
      <c r="D15" s="670" t="s">
        <v>2929</v>
      </c>
      <c r="E15" s="670" t="s">
        <v>2930</v>
      </c>
      <c r="F15" s="238">
        <v>1</v>
      </c>
      <c r="G15" s="238">
        <v>166</v>
      </c>
      <c r="H15" s="238">
        <v>1</v>
      </c>
      <c r="I15" s="238">
        <v>166</v>
      </c>
      <c r="J15" s="238"/>
      <c r="K15" s="238"/>
      <c r="L15" s="238"/>
      <c r="M15" s="238"/>
      <c r="N15" s="238"/>
      <c r="O15" s="238"/>
      <c r="P15" s="681"/>
      <c r="Q15" s="712"/>
    </row>
    <row r="16" spans="1:17" ht="14.4" customHeight="1" x14ac:dyDescent="0.3">
      <c r="A16" s="679" t="s">
        <v>2807</v>
      </c>
      <c r="B16" s="670" t="s">
        <v>2931</v>
      </c>
      <c r="C16" s="670" t="s">
        <v>2234</v>
      </c>
      <c r="D16" s="670" t="s">
        <v>2932</v>
      </c>
      <c r="E16" s="670" t="s">
        <v>2933</v>
      </c>
      <c r="F16" s="238"/>
      <c r="G16" s="238"/>
      <c r="H16" s="238"/>
      <c r="I16" s="238"/>
      <c r="J16" s="238">
        <v>3</v>
      </c>
      <c r="K16" s="238">
        <v>1050</v>
      </c>
      <c r="L16" s="238"/>
      <c r="M16" s="238">
        <v>350</v>
      </c>
      <c r="N16" s="238"/>
      <c r="O16" s="238"/>
      <c r="P16" s="681"/>
      <c r="Q16" s="712"/>
    </row>
    <row r="17" spans="1:17" ht="14.4" customHeight="1" x14ac:dyDescent="0.3">
      <c r="A17" s="679" t="s">
        <v>2807</v>
      </c>
      <c r="B17" s="670" t="s">
        <v>2931</v>
      </c>
      <c r="C17" s="670" t="s">
        <v>2234</v>
      </c>
      <c r="D17" s="670" t="s">
        <v>2934</v>
      </c>
      <c r="E17" s="670" t="s">
        <v>2935</v>
      </c>
      <c r="F17" s="238">
        <v>20</v>
      </c>
      <c r="G17" s="238">
        <v>1280</v>
      </c>
      <c r="H17" s="238">
        <v>1</v>
      </c>
      <c r="I17" s="238">
        <v>64</v>
      </c>
      <c r="J17" s="238">
        <v>24</v>
      </c>
      <c r="K17" s="238">
        <v>1560</v>
      </c>
      <c r="L17" s="238">
        <v>1.21875</v>
      </c>
      <c r="M17" s="238">
        <v>65</v>
      </c>
      <c r="N17" s="238">
        <v>29</v>
      </c>
      <c r="O17" s="238">
        <v>1885</v>
      </c>
      <c r="P17" s="681">
        <v>1.47265625</v>
      </c>
      <c r="Q17" s="712">
        <v>65</v>
      </c>
    </row>
    <row r="18" spans="1:17" ht="14.4" customHeight="1" x14ac:dyDescent="0.3">
      <c r="A18" s="679" t="s">
        <v>2807</v>
      </c>
      <c r="B18" s="670" t="s">
        <v>2931</v>
      </c>
      <c r="C18" s="670" t="s">
        <v>2234</v>
      </c>
      <c r="D18" s="670" t="s">
        <v>2936</v>
      </c>
      <c r="E18" s="670" t="s">
        <v>2937</v>
      </c>
      <c r="F18" s="238">
        <v>5</v>
      </c>
      <c r="G18" s="238">
        <v>115</v>
      </c>
      <c r="H18" s="238">
        <v>1</v>
      </c>
      <c r="I18" s="238">
        <v>23</v>
      </c>
      <c r="J18" s="238">
        <v>2</v>
      </c>
      <c r="K18" s="238">
        <v>46</v>
      </c>
      <c r="L18" s="238">
        <v>0.4</v>
      </c>
      <c r="M18" s="238">
        <v>23</v>
      </c>
      <c r="N18" s="238">
        <v>3</v>
      </c>
      <c r="O18" s="238">
        <v>69</v>
      </c>
      <c r="P18" s="681">
        <v>0.6</v>
      </c>
      <c r="Q18" s="712">
        <v>23</v>
      </c>
    </row>
    <row r="19" spans="1:17" ht="14.4" customHeight="1" x14ac:dyDescent="0.3">
      <c r="A19" s="679" t="s">
        <v>2807</v>
      </c>
      <c r="B19" s="670" t="s">
        <v>2931</v>
      </c>
      <c r="C19" s="670" t="s">
        <v>2234</v>
      </c>
      <c r="D19" s="670" t="s">
        <v>2938</v>
      </c>
      <c r="E19" s="670" t="s">
        <v>2939</v>
      </c>
      <c r="F19" s="238">
        <v>1</v>
      </c>
      <c r="G19" s="238">
        <v>54</v>
      </c>
      <c r="H19" s="238">
        <v>1</v>
      </c>
      <c r="I19" s="238">
        <v>54</v>
      </c>
      <c r="J19" s="238">
        <v>2</v>
      </c>
      <c r="K19" s="238">
        <v>108</v>
      </c>
      <c r="L19" s="238">
        <v>2</v>
      </c>
      <c r="M19" s="238">
        <v>54</v>
      </c>
      <c r="N19" s="238"/>
      <c r="O19" s="238"/>
      <c r="P19" s="681"/>
      <c r="Q19" s="712"/>
    </row>
    <row r="20" spans="1:17" ht="14.4" customHeight="1" x14ac:dyDescent="0.3">
      <c r="A20" s="679" t="s">
        <v>2807</v>
      </c>
      <c r="B20" s="670" t="s">
        <v>2931</v>
      </c>
      <c r="C20" s="670" t="s">
        <v>2234</v>
      </c>
      <c r="D20" s="670" t="s">
        <v>2940</v>
      </c>
      <c r="E20" s="670" t="s">
        <v>2941</v>
      </c>
      <c r="F20" s="238">
        <v>182</v>
      </c>
      <c r="G20" s="238">
        <v>14014</v>
      </c>
      <c r="H20" s="238">
        <v>1</v>
      </c>
      <c r="I20" s="238">
        <v>77</v>
      </c>
      <c r="J20" s="238">
        <v>206</v>
      </c>
      <c r="K20" s="238">
        <v>15862</v>
      </c>
      <c r="L20" s="238">
        <v>1.1318681318681318</v>
      </c>
      <c r="M20" s="238">
        <v>77</v>
      </c>
      <c r="N20" s="238">
        <v>173</v>
      </c>
      <c r="O20" s="238">
        <v>13321</v>
      </c>
      <c r="P20" s="681">
        <v>0.9505494505494505</v>
      </c>
      <c r="Q20" s="712">
        <v>77</v>
      </c>
    </row>
    <row r="21" spans="1:17" ht="14.4" customHeight="1" x14ac:dyDescent="0.3">
      <c r="A21" s="679" t="s">
        <v>2807</v>
      </c>
      <c r="B21" s="670" t="s">
        <v>2931</v>
      </c>
      <c r="C21" s="670" t="s">
        <v>2234</v>
      </c>
      <c r="D21" s="670" t="s">
        <v>2942</v>
      </c>
      <c r="E21" s="670" t="s">
        <v>2943</v>
      </c>
      <c r="F21" s="238">
        <v>13</v>
      </c>
      <c r="G21" s="238">
        <v>286</v>
      </c>
      <c r="H21" s="238">
        <v>1</v>
      </c>
      <c r="I21" s="238">
        <v>22</v>
      </c>
      <c r="J21" s="238">
        <v>5</v>
      </c>
      <c r="K21" s="238">
        <v>110</v>
      </c>
      <c r="L21" s="238">
        <v>0.38461538461538464</v>
      </c>
      <c r="M21" s="238">
        <v>22</v>
      </c>
      <c r="N21" s="238">
        <v>6</v>
      </c>
      <c r="O21" s="238">
        <v>132</v>
      </c>
      <c r="P21" s="681">
        <v>0.46153846153846156</v>
      </c>
      <c r="Q21" s="712">
        <v>22</v>
      </c>
    </row>
    <row r="22" spans="1:17" ht="14.4" customHeight="1" x14ac:dyDescent="0.3">
      <c r="A22" s="679" t="s">
        <v>2807</v>
      </c>
      <c r="B22" s="670" t="s">
        <v>2931</v>
      </c>
      <c r="C22" s="670" t="s">
        <v>2234</v>
      </c>
      <c r="D22" s="670" t="s">
        <v>2944</v>
      </c>
      <c r="E22" s="670" t="s">
        <v>2945</v>
      </c>
      <c r="F22" s="238">
        <v>12</v>
      </c>
      <c r="G22" s="238">
        <v>2508</v>
      </c>
      <c r="H22" s="238">
        <v>1</v>
      </c>
      <c r="I22" s="238">
        <v>209</v>
      </c>
      <c r="J22" s="238">
        <v>9</v>
      </c>
      <c r="K22" s="238">
        <v>1881</v>
      </c>
      <c r="L22" s="238">
        <v>0.75</v>
      </c>
      <c r="M22" s="238">
        <v>209</v>
      </c>
      <c r="N22" s="238"/>
      <c r="O22" s="238"/>
      <c r="P22" s="681"/>
      <c r="Q22" s="712"/>
    </row>
    <row r="23" spans="1:17" ht="14.4" customHeight="1" x14ac:dyDescent="0.3">
      <c r="A23" s="679" t="s">
        <v>2807</v>
      </c>
      <c r="B23" s="670" t="s">
        <v>2931</v>
      </c>
      <c r="C23" s="670" t="s">
        <v>2234</v>
      </c>
      <c r="D23" s="670" t="s">
        <v>2946</v>
      </c>
      <c r="E23" s="670" t="s">
        <v>2947</v>
      </c>
      <c r="F23" s="238"/>
      <c r="G23" s="238"/>
      <c r="H23" s="238"/>
      <c r="I23" s="238"/>
      <c r="J23" s="238">
        <v>1</v>
      </c>
      <c r="K23" s="238">
        <v>66</v>
      </c>
      <c r="L23" s="238"/>
      <c r="M23" s="238">
        <v>66</v>
      </c>
      <c r="N23" s="238">
        <v>2</v>
      </c>
      <c r="O23" s="238">
        <v>132</v>
      </c>
      <c r="P23" s="681"/>
      <c r="Q23" s="712">
        <v>66</v>
      </c>
    </row>
    <row r="24" spans="1:17" ht="14.4" customHeight="1" x14ac:dyDescent="0.3">
      <c r="A24" s="679" t="s">
        <v>2807</v>
      </c>
      <c r="B24" s="670" t="s">
        <v>2931</v>
      </c>
      <c r="C24" s="670" t="s">
        <v>2234</v>
      </c>
      <c r="D24" s="670" t="s">
        <v>2948</v>
      </c>
      <c r="E24" s="670" t="s">
        <v>2949</v>
      </c>
      <c r="F24" s="238">
        <v>5</v>
      </c>
      <c r="G24" s="238">
        <v>115</v>
      </c>
      <c r="H24" s="238">
        <v>1</v>
      </c>
      <c r="I24" s="238">
        <v>23</v>
      </c>
      <c r="J24" s="238">
        <v>3</v>
      </c>
      <c r="K24" s="238">
        <v>72</v>
      </c>
      <c r="L24" s="238">
        <v>0.62608695652173918</v>
      </c>
      <c r="M24" s="238">
        <v>24</v>
      </c>
      <c r="N24" s="238">
        <v>3</v>
      </c>
      <c r="O24" s="238">
        <v>72</v>
      </c>
      <c r="P24" s="681">
        <v>0.62608695652173918</v>
      </c>
      <c r="Q24" s="712">
        <v>24</v>
      </c>
    </row>
    <row r="25" spans="1:17" ht="14.4" customHeight="1" x14ac:dyDescent="0.3">
      <c r="A25" s="679" t="s">
        <v>2807</v>
      </c>
      <c r="B25" s="670" t="s">
        <v>2931</v>
      </c>
      <c r="C25" s="670" t="s">
        <v>2234</v>
      </c>
      <c r="D25" s="670" t="s">
        <v>2950</v>
      </c>
      <c r="E25" s="670" t="s">
        <v>2951</v>
      </c>
      <c r="F25" s="238">
        <v>16</v>
      </c>
      <c r="G25" s="238">
        <v>2880</v>
      </c>
      <c r="H25" s="238">
        <v>1</v>
      </c>
      <c r="I25" s="238">
        <v>180</v>
      </c>
      <c r="J25" s="238">
        <v>19</v>
      </c>
      <c r="K25" s="238">
        <v>3420</v>
      </c>
      <c r="L25" s="238">
        <v>1.1875</v>
      </c>
      <c r="M25" s="238">
        <v>180</v>
      </c>
      <c r="N25" s="238">
        <v>8</v>
      </c>
      <c r="O25" s="238">
        <v>1440</v>
      </c>
      <c r="P25" s="681">
        <v>0.5</v>
      </c>
      <c r="Q25" s="712">
        <v>180</v>
      </c>
    </row>
    <row r="26" spans="1:17" ht="14.4" customHeight="1" x14ac:dyDescent="0.3">
      <c r="A26" s="679" t="s">
        <v>2807</v>
      </c>
      <c r="B26" s="670" t="s">
        <v>2931</v>
      </c>
      <c r="C26" s="670" t="s">
        <v>2234</v>
      </c>
      <c r="D26" s="670" t="s">
        <v>2952</v>
      </c>
      <c r="E26" s="670" t="s">
        <v>2953</v>
      </c>
      <c r="F26" s="238">
        <v>3</v>
      </c>
      <c r="G26" s="238">
        <v>759</v>
      </c>
      <c r="H26" s="238">
        <v>1</v>
      </c>
      <c r="I26" s="238">
        <v>253</v>
      </c>
      <c r="J26" s="238">
        <v>2</v>
      </c>
      <c r="K26" s="238">
        <v>506</v>
      </c>
      <c r="L26" s="238">
        <v>0.66666666666666663</v>
      </c>
      <c r="M26" s="238">
        <v>253</v>
      </c>
      <c r="N26" s="238">
        <v>9</v>
      </c>
      <c r="O26" s="238">
        <v>2277</v>
      </c>
      <c r="P26" s="681">
        <v>3</v>
      </c>
      <c r="Q26" s="712">
        <v>253</v>
      </c>
    </row>
    <row r="27" spans="1:17" ht="14.4" customHeight="1" x14ac:dyDescent="0.3">
      <c r="A27" s="679" t="s">
        <v>2807</v>
      </c>
      <c r="B27" s="670" t="s">
        <v>2931</v>
      </c>
      <c r="C27" s="670" t="s">
        <v>2234</v>
      </c>
      <c r="D27" s="670" t="s">
        <v>2954</v>
      </c>
      <c r="E27" s="670" t="s">
        <v>2955</v>
      </c>
      <c r="F27" s="238">
        <v>17</v>
      </c>
      <c r="G27" s="238">
        <v>3672</v>
      </c>
      <c r="H27" s="238">
        <v>1</v>
      </c>
      <c r="I27" s="238">
        <v>216</v>
      </c>
      <c r="J27" s="238">
        <v>19</v>
      </c>
      <c r="K27" s="238">
        <v>4104</v>
      </c>
      <c r="L27" s="238">
        <v>1.1176470588235294</v>
      </c>
      <c r="M27" s="238">
        <v>216</v>
      </c>
      <c r="N27" s="238">
        <v>8</v>
      </c>
      <c r="O27" s="238">
        <v>1728</v>
      </c>
      <c r="P27" s="681">
        <v>0.47058823529411764</v>
      </c>
      <c r="Q27" s="712">
        <v>216</v>
      </c>
    </row>
    <row r="28" spans="1:17" ht="14.4" customHeight="1" x14ac:dyDescent="0.3">
      <c r="A28" s="679" t="s">
        <v>2807</v>
      </c>
      <c r="B28" s="670" t="s">
        <v>2931</v>
      </c>
      <c r="C28" s="670" t="s">
        <v>2234</v>
      </c>
      <c r="D28" s="670" t="s">
        <v>2956</v>
      </c>
      <c r="E28" s="670" t="s">
        <v>2957</v>
      </c>
      <c r="F28" s="238"/>
      <c r="G28" s="238"/>
      <c r="H28" s="238"/>
      <c r="I28" s="238"/>
      <c r="J28" s="238"/>
      <c r="K28" s="238"/>
      <c r="L28" s="238"/>
      <c r="M28" s="238"/>
      <c r="N28" s="238">
        <v>3</v>
      </c>
      <c r="O28" s="238">
        <v>150</v>
      </c>
      <c r="P28" s="681"/>
      <c r="Q28" s="712">
        <v>50</v>
      </c>
    </row>
    <row r="29" spans="1:17" ht="14.4" customHeight="1" x14ac:dyDescent="0.3">
      <c r="A29" s="679" t="s">
        <v>2958</v>
      </c>
      <c r="B29" s="670" t="s">
        <v>2959</v>
      </c>
      <c r="C29" s="670" t="s">
        <v>2234</v>
      </c>
      <c r="D29" s="670" t="s">
        <v>2960</v>
      </c>
      <c r="E29" s="670" t="s">
        <v>2961</v>
      </c>
      <c r="F29" s="238">
        <v>65</v>
      </c>
      <c r="G29" s="238">
        <v>1755</v>
      </c>
      <c r="H29" s="238">
        <v>1</v>
      </c>
      <c r="I29" s="238">
        <v>27</v>
      </c>
      <c r="J29" s="238">
        <v>80</v>
      </c>
      <c r="K29" s="238">
        <v>2160</v>
      </c>
      <c r="L29" s="238">
        <v>1.2307692307692308</v>
      </c>
      <c r="M29" s="238">
        <v>27</v>
      </c>
      <c r="N29" s="238">
        <v>62</v>
      </c>
      <c r="O29" s="238">
        <v>1674</v>
      </c>
      <c r="P29" s="681">
        <v>0.9538461538461539</v>
      </c>
      <c r="Q29" s="712">
        <v>27</v>
      </c>
    </row>
    <row r="30" spans="1:17" ht="14.4" customHeight="1" x14ac:dyDescent="0.3">
      <c r="A30" s="679" t="s">
        <v>2958</v>
      </c>
      <c r="B30" s="670" t="s">
        <v>2959</v>
      </c>
      <c r="C30" s="670" t="s">
        <v>2234</v>
      </c>
      <c r="D30" s="670" t="s">
        <v>2962</v>
      </c>
      <c r="E30" s="670" t="s">
        <v>2963</v>
      </c>
      <c r="F30" s="238">
        <v>12</v>
      </c>
      <c r="G30" s="238">
        <v>648</v>
      </c>
      <c r="H30" s="238">
        <v>1</v>
      </c>
      <c r="I30" s="238">
        <v>54</v>
      </c>
      <c r="J30" s="238">
        <v>10</v>
      </c>
      <c r="K30" s="238">
        <v>540</v>
      </c>
      <c r="L30" s="238">
        <v>0.83333333333333337</v>
      </c>
      <c r="M30" s="238">
        <v>54</v>
      </c>
      <c r="N30" s="238">
        <v>13</v>
      </c>
      <c r="O30" s="238">
        <v>702</v>
      </c>
      <c r="P30" s="681">
        <v>1.0833333333333333</v>
      </c>
      <c r="Q30" s="712">
        <v>54</v>
      </c>
    </row>
    <row r="31" spans="1:17" ht="14.4" customHeight="1" x14ac:dyDescent="0.3">
      <c r="A31" s="679" t="s">
        <v>2958</v>
      </c>
      <c r="B31" s="670" t="s">
        <v>2959</v>
      </c>
      <c r="C31" s="670" t="s">
        <v>2234</v>
      </c>
      <c r="D31" s="670" t="s">
        <v>2964</v>
      </c>
      <c r="E31" s="670" t="s">
        <v>2965</v>
      </c>
      <c r="F31" s="238">
        <v>61</v>
      </c>
      <c r="G31" s="238">
        <v>1464</v>
      </c>
      <c r="H31" s="238">
        <v>1</v>
      </c>
      <c r="I31" s="238">
        <v>24</v>
      </c>
      <c r="J31" s="238">
        <v>71</v>
      </c>
      <c r="K31" s="238">
        <v>1704</v>
      </c>
      <c r="L31" s="238">
        <v>1.1639344262295082</v>
      </c>
      <c r="M31" s="238">
        <v>24</v>
      </c>
      <c r="N31" s="238">
        <v>54</v>
      </c>
      <c r="O31" s="238">
        <v>1296</v>
      </c>
      <c r="P31" s="681">
        <v>0.88524590163934425</v>
      </c>
      <c r="Q31" s="712">
        <v>24</v>
      </c>
    </row>
    <row r="32" spans="1:17" ht="14.4" customHeight="1" x14ac:dyDescent="0.3">
      <c r="A32" s="679" t="s">
        <v>2958</v>
      </c>
      <c r="B32" s="670" t="s">
        <v>2959</v>
      </c>
      <c r="C32" s="670" t="s">
        <v>2234</v>
      </c>
      <c r="D32" s="670" t="s">
        <v>2966</v>
      </c>
      <c r="E32" s="670" t="s">
        <v>2967</v>
      </c>
      <c r="F32" s="238">
        <v>108</v>
      </c>
      <c r="G32" s="238">
        <v>2916</v>
      </c>
      <c r="H32" s="238">
        <v>1</v>
      </c>
      <c r="I32" s="238">
        <v>27</v>
      </c>
      <c r="J32" s="238">
        <v>110</v>
      </c>
      <c r="K32" s="238">
        <v>2970</v>
      </c>
      <c r="L32" s="238">
        <v>1.0185185185185186</v>
      </c>
      <c r="M32" s="238">
        <v>27</v>
      </c>
      <c r="N32" s="238">
        <v>78</v>
      </c>
      <c r="O32" s="238">
        <v>2106</v>
      </c>
      <c r="P32" s="681">
        <v>0.72222222222222221</v>
      </c>
      <c r="Q32" s="712">
        <v>27</v>
      </c>
    </row>
    <row r="33" spans="1:17" ht="14.4" customHeight="1" x14ac:dyDescent="0.3">
      <c r="A33" s="679" t="s">
        <v>2958</v>
      </c>
      <c r="B33" s="670" t="s">
        <v>2959</v>
      </c>
      <c r="C33" s="670" t="s">
        <v>2234</v>
      </c>
      <c r="D33" s="670" t="s">
        <v>2968</v>
      </c>
      <c r="E33" s="670" t="s">
        <v>2969</v>
      </c>
      <c r="F33" s="238">
        <v>28</v>
      </c>
      <c r="G33" s="238">
        <v>1568</v>
      </c>
      <c r="H33" s="238">
        <v>1</v>
      </c>
      <c r="I33" s="238">
        <v>56</v>
      </c>
      <c r="J33" s="238">
        <v>5</v>
      </c>
      <c r="K33" s="238">
        <v>280</v>
      </c>
      <c r="L33" s="238">
        <v>0.17857142857142858</v>
      </c>
      <c r="M33" s="238">
        <v>56</v>
      </c>
      <c r="N33" s="238">
        <v>12</v>
      </c>
      <c r="O33" s="238">
        <v>672</v>
      </c>
      <c r="P33" s="681">
        <v>0.42857142857142855</v>
      </c>
      <c r="Q33" s="712">
        <v>56</v>
      </c>
    </row>
    <row r="34" spans="1:17" ht="14.4" customHeight="1" x14ac:dyDescent="0.3">
      <c r="A34" s="679" t="s">
        <v>2958</v>
      </c>
      <c r="B34" s="670" t="s">
        <v>2959</v>
      </c>
      <c r="C34" s="670" t="s">
        <v>2234</v>
      </c>
      <c r="D34" s="670" t="s">
        <v>2970</v>
      </c>
      <c r="E34" s="670" t="s">
        <v>2971</v>
      </c>
      <c r="F34" s="238">
        <v>40</v>
      </c>
      <c r="G34" s="238">
        <v>1080</v>
      </c>
      <c r="H34" s="238">
        <v>1</v>
      </c>
      <c r="I34" s="238">
        <v>27</v>
      </c>
      <c r="J34" s="238">
        <v>41</v>
      </c>
      <c r="K34" s="238">
        <v>1107</v>
      </c>
      <c r="L34" s="238">
        <v>1.0249999999999999</v>
      </c>
      <c r="M34" s="238">
        <v>27</v>
      </c>
      <c r="N34" s="238">
        <v>26</v>
      </c>
      <c r="O34" s="238">
        <v>702</v>
      </c>
      <c r="P34" s="681">
        <v>0.65</v>
      </c>
      <c r="Q34" s="712">
        <v>27</v>
      </c>
    </row>
    <row r="35" spans="1:17" ht="14.4" customHeight="1" x14ac:dyDescent="0.3">
      <c r="A35" s="679" t="s">
        <v>2958</v>
      </c>
      <c r="B35" s="670" t="s">
        <v>2959</v>
      </c>
      <c r="C35" s="670" t="s">
        <v>2234</v>
      </c>
      <c r="D35" s="670" t="s">
        <v>2972</v>
      </c>
      <c r="E35" s="670" t="s">
        <v>2973</v>
      </c>
      <c r="F35" s="238">
        <v>380</v>
      </c>
      <c r="G35" s="238">
        <v>8360</v>
      </c>
      <c r="H35" s="238">
        <v>1</v>
      </c>
      <c r="I35" s="238">
        <v>22</v>
      </c>
      <c r="J35" s="238">
        <v>429</v>
      </c>
      <c r="K35" s="238">
        <v>9438</v>
      </c>
      <c r="L35" s="238">
        <v>1.1289473684210527</v>
      </c>
      <c r="M35" s="238">
        <v>22</v>
      </c>
      <c r="N35" s="238">
        <v>418</v>
      </c>
      <c r="O35" s="238">
        <v>9196</v>
      </c>
      <c r="P35" s="681">
        <v>1.1000000000000001</v>
      </c>
      <c r="Q35" s="712">
        <v>22</v>
      </c>
    </row>
    <row r="36" spans="1:17" ht="14.4" customHeight="1" x14ac:dyDescent="0.3">
      <c r="A36" s="679" t="s">
        <v>2958</v>
      </c>
      <c r="B36" s="670" t="s">
        <v>2959</v>
      </c>
      <c r="C36" s="670" t="s">
        <v>2234</v>
      </c>
      <c r="D36" s="670" t="s">
        <v>2974</v>
      </c>
      <c r="E36" s="670" t="s">
        <v>2975</v>
      </c>
      <c r="F36" s="238"/>
      <c r="G36" s="238"/>
      <c r="H36" s="238"/>
      <c r="I36" s="238"/>
      <c r="J36" s="238"/>
      <c r="K36" s="238"/>
      <c r="L36" s="238"/>
      <c r="M36" s="238"/>
      <c r="N36" s="238">
        <v>1</v>
      </c>
      <c r="O36" s="238">
        <v>62</v>
      </c>
      <c r="P36" s="681"/>
      <c r="Q36" s="712">
        <v>62</v>
      </c>
    </row>
    <row r="37" spans="1:17" ht="14.4" customHeight="1" x14ac:dyDescent="0.3">
      <c r="A37" s="679" t="s">
        <v>2958</v>
      </c>
      <c r="B37" s="670" t="s">
        <v>2959</v>
      </c>
      <c r="C37" s="670" t="s">
        <v>2234</v>
      </c>
      <c r="D37" s="670" t="s">
        <v>2976</v>
      </c>
      <c r="E37" s="670" t="s">
        <v>2977</v>
      </c>
      <c r="F37" s="238">
        <v>15</v>
      </c>
      <c r="G37" s="238">
        <v>915</v>
      </c>
      <c r="H37" s="238">
        <v>1</v>
      </c>
      <c r="I37" s="238">
        <v>61</v>
      </c>
      <c r="J37" s="238">
        <v>6</v>
      </c>
      <c r="K37" s="238">
        <v>366</v>
      </c>
      <c r="L37" s="238">
        <v>0.4</v>
      </c>
      <c r="M37" s="238">
        <v>61</v>
      </c>
      <c r="N37" s="238">
        <v>12</v>
      </c>
      <c r="O37" s="238">
        <v>732</v>
      </c>
      <c r="P37" s="681">
        <v>0.8</v>
      </c>
      <c r="Q37" s="712">
        <v>61</v>
      </c>
    </row>
    <row r="38" spans="1:17" ht="14.4" customHeight="1" x14ac:dyDescent="0.3">
      <c r="A38" s="679" t="s">
        <v>2958</v>
      </c>
      <c r="B38" s="670" t="s">
        <v>2959</v>
      </c>
      <c r="C38" s="670" t="s">
        <v>2234</v>
      </c>
      <c r="D38" s="670" t="s">
        <v>2978</v>
      </c>
      <c r="E38" s="670" t="s">
        <v>2979</v>
      </c>
      <c r="F38" s="238"/>
      <c r="G38" s="238"/>
      <c r="H38" s="238"/>
      <c r="I38" s="238"/>
      <c r="J38" s="238"/>
      <c r="K38" s="238"/>
      <c r="L38" s="238"/>
      <c r="M38" s="238"/>
      <c r="N38" s="238">
        <v>41</v>
      </c>
      <c r="O38" s="238">
        <v>3321</v>
      </c>
      <c r="P38" s="681"/>
      <c r="Q38" s="712">
        <v>81</v>
      </c>
    </row>
    <row r="39" spans="1:17" ht="14.4" customHeight="1" x14ac:dyDescent="0.3">
      <c r="A39" s="679" t="s">
        <v>2958</v>
      </c>
      <c r="B39" s="670" t="s">
        <v>2959</v>
      </c>
      <c r="C39" s="670" t="s">
        <v>2234</v>
      </c>
      <c r="D39" s="670" t="s">
        <v>2980</v>
      </c>
      <c r="E39" s="670" t="s">
        <v>2981</v>
      </c>
      <c r="F39" s="238">
        <v>12</v>
      </c>
      <c r="G39" s="238">
        <v>11844</v>
      </c>
      <c r="H39" s="238">
        <v>1</v>
      </c>
      <c r="I39" s="238">
        <v>987</v>
      </c>
      <c r="J39" s="238">
        <v>4</v>
      </c>
      <c r="K39" s="238">
        <v>3948</v>
      </c>
      <c r="L39" s="238">
        <v>0.33333333333333331</v>
      </c>
      <c r="M39" s="238">
        <v>987</v>
      </c>
      <c r="N39" s="238">
        <v>7</v>
      </c>
      <c r="O39" s="238">
        <v>6909</v>
      </c>
      <c r="P39" s="681">
        <v>0.58333333333333337</v>
      </c>
      <c r="Q39" s="712">
        <v>987</v>
      </c>
    </row>
    <row r="40" spans="1:17" ht="14.4" customHeight="1" x14ac:dyDescent="0.3">
      <c r="A40" s="679" t="s">
        <v>2958</v>
      </c>
      <c r="B40" s="670" t="s">
        <v>2959</v>
      </c>
      <c r="C40" s="670" t="s">
        <v>2234</v>
      </c>
      <c r="D40" s="670" t="s">
        <v>2982</v>
      </c>
      <c r="E40" s="670" t="s">
        <v>2983</v>
      </c>
      <c r="F40" s="238">
        <v>1</v>
      </c>
      <c r="G40" s="238">
        <v>191</v>
      </c>
      <c r="H40" s="238">
        <v>1</v>
      </c>
      <c r="I40" s="238">
        <v>191</v>
      </c>
      <c r="J40" s="238"/>
      <c r="K40" s="238"/>
      <c r="L40" s="238"/>
      <c r="M40" s="238"/>
      <c r="N40" s="238"/>
      <c r="O40" s="238"/>
      <c r="P40" s="681"/>
      <c r="Q40" s="712"/>
    </row>
    <row r="41" spans="1:17" ht="14.4" customHeight="1" x14ac:dyDescent="0.3">
      <c r="A41" s="679" t="s">
        <v>2958</v>
      </c>
      <c r="B41" s="670" t="s">
        <v>2959</v>
      </c>
      <c r="C41" s="670" t="s">
        <v>2234</v>
      </c>
      <c r="D41" s="670" t="s">
        <v>2984</v>
      </c>
      <c r="E41" s="670" t="s">
        <v>2985</v>
      </c>
      <c r="F41" s="238">
        <v>1</v>
      </c>
      <c r="G41" s="238">
        <v>63</v>
      </c>
      <c r="H41" s="238">
        <v>1</v>
      </c>
      <c r="I41" s="238">
        <v>63</v>
      </c>
      <c r="J41" s="238">
        <v>1</v>
      </c>
      <c r="K41" s="238">
        <v>63</v>
      </c>
      <c r="L41" s="238">
        <v>1</v>
      </c>
      <c r="M41" s="238">
        <v>63</v>
      </c>
      <c r="N41" s="238"/>
      <c r="O41" s="238"/>
      <c r="P41" s="681"/>
      <c r="Q41" s="712"/>
    </row>
    <row r="42" spans="1:17" ht="14.4" customHeight="1" x14ac:dyDescent="0.3">
      <c r="A42" s="679" t="s">
        <v>2958</v>
      </c>
      <c r="B42" s="670" t="s">
        <v>2959</v>
      </c>
      <c r="C42" s="670" t="s">
        <v>2234</v>
      </c>
      <c r="D42" s="670" t="s">
        <v>2986</v>
      </c>
      <c r="E42" s="670" t="s">
        <v>2987</v>
      </c>
      <c r="F42" s="238">
        <v>1</v>
      </c>
      <c r="G42" s="238">
        <v>62</v>
      </c>
      <c r="H42" s="238">
        <v>1</v>
      </c>
      <c r="I42" s="238">
        <v>62</v>
      </c>
      <c r="J42" s="238"/>
      <c r="K42" s="238"/>
      <c r="L42" s="238"/>
      <c r="M42" s="238"/>
      <c r="N42" s="238"/>
      <c r="O42" s="238"/>
      <c r="P42" s="681"/>
      <c r="Q42" s="712"/>
    </row>
    <row r="43" spans="1:17" ht="14.4" customHeight="1" x14ac:dyDescent="0.3">
      <c r="A43" s="679" t="s">
        <v>2958</v>
      </c>
      <c r="B43" s="670" t="s">
        <v>2959</v>
      </c>
      <c r="C43" s="670" t="s">
        <v>2234</v>
      </c>
      <c r="D43" s="670" t="s">
        <v>2988</v>
      </c>
      <c r="E43" s="670" t="s">
        <v>2989</v>
      </c>
      <c r="F43" s="238">
        <v>1</v>
      </c>
      <c r="G43" s="238">
        <v>60</v>
      </c>
      <c r="H43" s="238">
        <v>1</v>
      </c>
      <c r="I43" s="238">
        <v>60</v>
      </c>
      <c r="J43" s="238">
        <v>1</v>
      </c>
      <c r="K43" s="238">
        <v>60</v>
      </c>
      <c r="L43" s="238">
        <v>1</v>
      </c>
      <c r="M43" s="238">
        <v>60</v>
      </c>
      <c r="N43" s="238"/>
      <c r="O43" s="238"/>
      <c r="P43" s="681"/>
      <c r="Q43" s="712"/>
    </row>
    <row r="44" spans="1:17" ht="14.4" customHeight="1" x14ac:dyDescent="0.3">
      <c r="A44" s="679" t="s">
        <v>2958</v>
      </c>
      <c r="B44" s="670" t="s">
        <v>2959</v>
      </c>
      <c r="C44" s="670" t="s">
        <v>2234</v>
      </c>
      <c r="D44" s="670" t="s">
        <v>2990</v>
      </c>
      <c r="E44" s="670" t="s">
        <v>2991</v>
      </c>
      <c r="F44" s="238"/>
      <c r="G44" s="238"/>
      <c r="H44" s="238"/>
      <c r="I44" s="238"/>
      <c r="J44" s="238">
        <v>1</v>
      </c>
      <c r="K44" s="238">
        <v>19</v>
      </c>
      <c r="L44" s="238"/>
      <c r="M44" s="238">
        <v>19</v>
      </c>
      <c r="N44" s="238"/>
      <c r="O44" s="238"/>
      <c r="P44" s="681"/>
      <c r="Q44" s="712"/>
    </row>
    <row r="45" spans="1:17" ht="14.4" customHeight="1" x14ac:dyDescent="0.3">
      <c r="A45" s="679" t="s">
        <v>2958</v>
      </c>
      <c r="B45" s="670" t="s">
        <v>2959</v>
      </c>
      <c r="C45" s="670" t="s">
        <v>2234</v>
      </c>
      <c r="D45" s="670" t="s">
        <v>2992</v>
      </c>
      <c r="E45" s="670" t="s">
        <v>2993</v>
      </c>
      <c r="F45" s="238"/>
      <c r="G45" s="238"/>
      <c r="H45" s="238"/>
      <c r="I45" s="238"/>
      <c r="J45" s="238">
        <v>1</v>
      </c>
      <c r="K45" s="238">
        <v>1447</v>
      </c>
      <c r="L45" s="238"/>
      <c r="M45" s="238">
        <v>1447</v>
      </c>
      <c r="N45" s="238"/>
      <c r="O45" s="238"/>
      <c r="P45" s="681"/>
      <c r="Q45" s="712"/>
    </row>
    <row r="46" spans="1:17" ht="14.4" customHeight="1" x14ac:dyDescent="0.3">
      <c r="A46" s="679" t="s">
        <v>2958</v>
      </c>
      <c r="B46" s="670" t="s">
        <v>2959</v>
      </c>
      <c r="C46" s="670" t="s">
        <v>2234</v>
      </c>
      <c r="D46" s="670" t="s">
        <v>2994</v>
      </c>
      <c r="E46" s="670" t="s">
        <v>2995</v>
      </c>
      <c r="F46" s="238"/>
      <c r="G46" s="238"/>
      <c r="H46" s="238"/>
      <c r="I46" s="238"/>
      <c r="J46" s="238">
        <v>1</v>
      </c>
      <c r="K46" s="238">
        <v>391</v>
      </c>
      <c r="L46" s="238"/>
      <c r="M46" s="238">
        <v>391</v>
      </c>
      <c r="N46" s="238"/>
      <c r="O46" s="238"/>
      <c r="P46" s="681"/>
      <c r="Q46" s="712"/>
    </row>
    <row r="47" spans="1:17" ht="14.4" customHeight="1" x14ac:dyDescent="0.3">
      <c r="A47" s="679" t="s">
        <v>2958</v>
      </c>
      <c r="B47" s="670" t="s">
        <v>2959</v>
      </c>
      <c r="C47" s="670" t="s">
        <v>2234</v>
      </c>
      <c r="D47" s="670" t="s">
        <v>2996</v>
      </c>
      <c r="E47" s="670" t="s">
        <v>2997</v>
      </c>
      <c r="F47" s="238"/>
      <c r="G47" s="238"/>
      <c r="H47" s="238"/>
      <c r="I47" s="238"/>
      <c r="J47" s="238">
        <v>1</v>
      </c>
      <c r="K47" s="238">
        <v>312</v>
      </c>
      <c r="L47" s="238"/>
      <c r="M47" s="238">
        <v>312</v>
      </c>
      <c r="N47" s="238"/>
      <c r="O47" s="238"/>
      <c r="P47" s="681"/>
      <c r="Q47" s="712"/>
    </row>
    <row r="48" spans="1:17" ht="14.4" customHeight="1" x14ac:dyDescent="0.3">
      <c r="A48" s="679" t="s">
        <v>2958</v>
      </c>
      <c r="B48" s="670" t="s">
        <v>2959</v>
      </c>
      <c r="C48" s="670" t="s">
        <v>2234</v>
      </c>
      <c r="D48" s="670" t="s">
        <v>2998</v>
      </c>
      <c r="E48" s="670" t="s">
        <v>2999</v>
      </c>
      <c r="F48" s="238">
        <v>3</v>
      </c>
      <c r="G48" s="238">
        <v>2550</v>
      </c>
      <c r="H48" s="238">
        <v>1</v>
      </c>
      <c r="I48" s="238">
        <v>850</v>
      </c>
      <c r="J48" s="238"/>
      <c r="K48" s="238"/>
      <c r="L48" s="238"/>
      <c r="M48" s="238"/>
      <c r="N48" s="238">
        <v>2</v>
      </c>
      <c r="O48" s="238">
        <v>1702</v>
      </c>
      <c r="P48" s="681">
        <v>0.66745098039215689</v>
      </c>
      <c r="Q48" s="712">
        <v>851</v>
      </c>
    </row>
    <row r="49" spans="1:17" ht="14.4" customHeight="1" x14ac:dyDescent="0.3">
      <c r="A49" s="679" t="s">
        <v>2958</v>
      </c>
      <c r="B49" s="670" t="s">
        <v>2959</v>
      </c>
      <c r="C49" s="670" t="s">
        <v>2234</v>
      </c>
      <c r="D49" s="670" t="s">
        <v>3000</v>
      </c>
      <c r="E49" s="670" t="s">
        <v>3001</v>
      </c>
      <c r="F49" s="238">
        <v>1</v>
      </c>
      <c r="G49" s="238">
        <v>126</v>
      </c>
      <c r="H49" s="238">
        <v>1</v>
      </c>
      <c r="I49" s="238">
        <v>126</v>
      </c>
      <c r="J49" s="238"/>
      <c r="K49" s="238"/>
      <c r="L49" s="238"/>
      <c r="M49" s="238"/>
      <c r="N49" s="238"/>
      <c r="O49" s="238"/>
      <c r="P49" s="681"/>
      <c r="Q49" s="712"/>
    </row>
    <row r="50" spans="1:17" ht="14.4" customHeight="1" x14ac:dyDescent="0.3">
      <c r="A50" s="679" t="s">
        <v>2958</v>
      </c>
      <c r="B50" s="670" t="s">
        <v>2959</v>
      </c>
      <c r="C50" s="670" t="s">
        <v>2234</v>
      </c>
      <c r="D50" s="670" t="s">
        <v>3002</v>
      </c>
      <c r="E50" s="670" t="s">
        <v>3003</v>
      </c>
      <c r="F50" s="238">
        <v>1</v>
      </c>
      <c r="G50" s="238">
        <v>36</v>
      </c>
      <c r="H50" s="238">
        <v>1</v>
      </c>
      <c r="I50" s="238">
        <v>36</v>
      </c>
      <c r="J50" s="238"/>
      <c r="K50" s="238"/>
      <c r="L50" s="238"/>
      <c r="M50" s="238"/>
      <c r="N50" s="238"/>
      <c r="O50" s="238"/>
      <c r="P50" s="681"/>
      <c r="Q50" s="712"/>
    </row>
    <row r="51" spans="1:17" ht="14.4" customHeight="1" x14ac:dyDescent="0.3">
      <c r="A51" s="679" t="s">
        <v>2958</v>
      </c>
      <c r="B51" s="670" t="s">
        <v>2959</v>
      </c>
      <c r="C51" s="670" t="s">
        <v>2234</v>
      </c>
      <c r="D51" s="670" t="s">
        <v>3004</v>
      </c>
      <c r="E51" s="670" t="s">
        <v>3005</v>
      </c>
      <c r="F51" s="238"/>
      <c r="G51" s="238"/>
      <c r="H51" s="238"/>
      <c r="I51" s="238"/>
      <c r="J51" s="238"/>
      <c r="K51" s="238"/>
      <c r="L51" s="238"/>
      <c r="M51" s="238"/>
      <c r="N51" s="238">
        <v>1</v>
      </c>
      <c r="O51" s="238">
        <v>236</v>
      </c>
      <c r="P51" s="681"/>
      <c r="Q51" s="712">
        <v>236</v>
      </c>
    </row>
    <row r="52" spans="1:17" ht="14.4" customHeight="1" x14ac:dyDescent="0.3">
      <c r="A52" s="679" t="s">
        <v>2958</v>
      </c>
      <c r="B52" s="670" t="s">
        <v>2959</v>
      </c>
      <c r="C52" s="670" t="s">
        <v>2234</v>
      </c>
      <c r="D52" s="670" t="s">
        <v>3006</v>
      </c>
      <c r="E52" s="670" t="s">
        <v>3007</v>
      </c>
      <c r="F52" s="238"/>
      <c r="G52" s="238"/>
      <c r="H52" s="238"/>
      <c r="I52" s="238"/>
      <c r="J52" s="238">
        <v>1</v>
      </c>
      <c r="K52" s="238">
        <v>308</v>
      </c>
      <c r="L52" s="238"/>
      <c r="M52" s="238">
        <v>308</v>
      </c>
      <c r="N52" s="238"/>
      <c r="O52" s="238"/>
      <c r="P52" s="681"/>
      <c r="Q52" s="712"/>
    </row>
    <row r="53" spans="1:17" ht="14.4" customHeight="1" x14ac:dyDescent="0.3">
      <c r="A53" s="679" t="s">
        <v>2958</v>
      </c>
      <c r="B53" s="670" t="s">
        <v>2959</v>
      </c>
      <c r="C53" s="670" t="s">
        <v>2234</v>
      </c>
      <c r="D53" s="670" t="s">
        <v>3008</v>
      </c>
      <c r="E53" s="670" t="s">
        <v>3009</v>
      </c>
      <c r="F53" s="238"/>
      <c r="G53" s="238"/>
      <c r="H53" s="238"/>
      <c r="I53" s="238"/>
      <c r="J53" s="238">
        <v>2</v>
      </c>
      <c r="K53" s="238">
        <v>2420</v>
      </c>
      <c r="L53" s="238"/>
      <c r="M53" s="238">
        <v>1210</v>
      </c>
      <c r="N53" s="238"/>
      <c r="O53" s="238"/>
      <c r="P53" s="681"/>
      <c r="Q53" s="712"/>
    </row>
    <row r="54" spans="1:17" ht="14.4" customHeight="1" x14ac:dyDescent="0.3">
      <c r="A54" s="679" t="s">
        <v>2958</v>
      </c>
      <c r="B54" s="670" t="s">
        <v>2959</v>
      </c>
      <c r="C54" s="670" t="s">
        <v>2234</v>
      </c>
      <c r="D54" s="670" t="s">
        <v>3010</v>
      </c>
      <c r="E54" s="670" t="s">
        <v>3011</v>
      </c>
      <c r="F54" s="238"/>
      <c r="G54" s="238"/>
      <c r="H54" s="238"/>
      <c r="I54" s="238"/>
      <c r="J54" s="238">
        <v>1</v>
      </c>
      <c r="K54" s="238">
        <v>783</v>
      </c>
      <c r="L54" s="238"/>
      <c r="M54" s="238">
        <v>783</v>
      </c>
      <c r="N54" s="238">
        <v>3</v>
      </c>
      <c r="O54" s="238">
        <v>2349</v>
      </c>
      <c r="P54" s="681"/>
      <c r="Q54" s="712">
        <v>783</v>
      </c>
    </row>
    <row r="55" spans="1:17" ht="14.4" customHeight="1" x14ac:dyDescent="0.3">
      <c r="A55" s="679" t="s">
        <v>2958</v>
      </c>
      <c r="B55" s="670" t="s">
        <v>2959</v>
      </c>
      <c r="C55" s="670" t="s">
        <v>2234</v>
      </c>
      <c r="D55" s="670" t="s">
        <v>3012</v>
      </c>
      <c r="E55" s="670" t="s">
        <v>3013</v>
      </c>
      <c r="F55" s="238">
        <v>9</v>
      </c>
      <c r="G55" s="238">
        <v>1674</v>
      </c>
      <c r="H55" s="238">
        <v>1</v>
      </c>
      <c r="I55" s="238">
        <v>186</v>
      </c>
      <c r="J55" s="238"/>
      <c r="K55" s="238"/>
      <c r="L55" s="238"/>
      <c r="M55" s="238"/>
      <c r="N55" s="238">
        <v>6</v>
      </c>
      <c r="O55" s="238">
        <v>1116</v>
      </c>
      <c r="P55" s="681">
        <v>0.66666666666666663</v>
      </c>
      <c r="Q55" s="712">
        <v>186</v>
      </c>
    </row>
    <row r="56" spans="1:17" ht="14.4" customHeight="1" x14ac:dyDescent="0.3">
      <c r="A56" s="679" t="s">
        <v>2958</v>
      </c>
      <c r="B56" s="670" t="s">
        <v>2959</v>
      </c>
      <c r="C56" s="670" t="s">
        <v>2234</v>
      </c>
      <c r="D56" s="670" t="s">
        <v>3014</v>
      </c>
      <c r="E56" s="670" t="s">
        <v>3015</v>
      </c>
      <c r="F56" s="238"/>
      <c r="G56" s="238"/>
      <c r="H56" s="238"/>
      <c r="I56" s="238"/>
      <c r="J56" s="238">
        <v>1</v>
      </c>
      <c r="K56" s="238">
        <v>362</v>
      </c>
      <c r="L56" s="238"/>
      <c r="M56" s="238">
        <v>362</v>
      </c>
      <c r="N56" s="238"/>
      <c r="O56" s="238"/>
      <c r="P56" s="681"/>
      <c r="Q56" s="712"/>
    </row>
    <row r="57" spans="1:17" ht="14.4" customHeight="1" x14ac:dyDescent="0.3">
      <c r="A57" s="679" t="s">
        <v>2958</v>
      </c>
      <c r="B57" s="670" t="s">
        <v>2959</v>
      </c>
      <c r="C57" s="670" t="s">
        <v>2234</v>
      </c>
      <c r="D57" s="670" t="s">
        <v>3016</v>
      </c>
      <c r="E57" s="670" t="s">
        <v>3017</v>
      </c>
      <c r="F57" s="238"/>
      <c r="G57" s="238"/>
      <c r="H57" s="238"/>
      <c r="I57" s="238"/>
      <c r="J57" s="238">
        <v>1</v>
      </c>
      <c r="K57" s="238">
        <v>227</v>
      </c>
      <c r="L57" s="238"/>
      <c r="M57" s="238">
        <v>227</v>
      </c>
      <c r="N57" s="238"/>
      <c r="O57" s="238"/>
      <c r="P57" s="681"/>
      <c r="Q57" s="712"/>
    </row>
    <row r="58" spans="1:17" ht="14.4" customHeight="1" x14ac:dyDescent="0.3">
      <c r="A58" s="679" t="s">
        <v>2958</v>
      </c>
      <c r="B58" s="670" t="s">
        <v>2959</v>
      </c>
      <c r="C58" s="670" t="s">
        <v>2234</v>
      </c>
      <c r="D58" s="670" t="s">
        <v>3018</v>
      </c>
      <c r="E58" s="670" t="s">
        <v>3019</v>
      </c>
      <c r="F58" s="238"/>
      <c r="G58" s="238"/>
      <c r="H58" s="238"/>
      <c r="I58" s="238"/>
      <c r="J58" s="238">
        <v>1</v>
      </c>
      <c r="K58" s="238">
        <v>560</v>
      </c>
      <c r="L58" s="238"/>
      <c r="M58" s="238">
        <v>560</v>
      </c>
      <c r="N58" s="238"/>
      <c r="O58" s="238"/>
      <c r="P58" s="681"/>
      <c r="Q58" s="712"/>
    </row>
    <row r="59" spans="1:17" ht="14.4" customHeight="1" x14ac:dyDescent="0.3">
      <c r="A59" s="679" t="s">
        <v>2958</v>
      </c>
      <c r="B59" s="670" t="s">
        <v>2959</v>
      </c>
      <c r="C59" s="670" t="s">
        <v>2234</v>
      </c>
      <c r="D59" s="670" t="s">
        <v>3020</v>
      </c>
      <c r="E59" s="670" t="s">
        <v>3021</v>
      </c>
      <c r="F59" s="238">
        <v>3</v>
      </c>
      <c r="G59" s="238">
        <v>507</v>
      </c>
      <c r="H59" s="238">
        <v>1</v>
      </c>
      <c r="I59" s="238">
        <v>169</v>
      </c>
      <c r="J59" s="238"/>
      <c r="K59" s="238"/>
      <c r="L59" s="238"/>
      <c r="M59" s="238"/>
      <c r="N59" s="238">
        <v>6</v>
      </c>
      <c r="O59" s="238">
        <v>1020</v>
      </c>
      <c r="P59" s="681">
        <v>2.0118343195266273</v>
      </c>
      <c r="Q59" s="712">
        <v>170</v>
      </c>
    </row>
    <row r="60" spans="1:17" ht="14.4" customHeight="1" x14ac:dyDescent="0.3">
      <c r="A60" s="679" t="s">
        <v>2958</v>
      </c>
      <c r="B60" s="670" t="s">
        <v>2959</v>
      </c>
      <c r="C60" s="670" t="s">
        <v>2234</v>
      </c>
      <c r="D60" s="670" t="s">
        <v>3022</v>
      </c>
      <c r="E60" s="670" t="s">
        <v>3023</v>
      </c>
      <c r="F60" s="238"/>
      <c r="G60" s="238"/>
      <c r="H60" s="238"/>
      <c r="I60" s="238"/>
      <c r="J60" s="238"/>
      <c r="K60" s="238"/>
      <c r="L60" s="238"/>
      <c r="M60" s="238"/>
      <c r="N60" s="238">
        <v>1</v>
      </c>
      <c r="O60" s="238">
        <v>198</v>
      </c>
      <c r="P60" s="681"/>
      <c r="Q60" s="712">
        <v>198</v>
      </c>
    </row>
    <row r="61" spans="1:17" ht="14.4" customHeight="1" x14ac:dyDescent="0.3">
      <c r="A61" s="679" t="s">
        <v>2958</v>
      </c>
      <c r="B61" s="670" t="s">
        <v>2959</v>
      </c>
      <c r="C61" s="670" t="s">
        <v>2234</v>
      </c>
      <c r="D61" s="670" t="s">
        <v>3024</v>
      </c>
      <c r="E61" s="670" t="s">
        <v>3025</v>
      </c>
      <c r="F61" s="238">
        <v>1</v>
      </c>
      <c r="G61" s="238">
        <v>130</v>
      </c>
      <c r="H61" s="238">
        <v>1</v>
      </c>
      <c r="I61" s="238">
        <v>130</v>
      </c>
      <c r="J61" s="238"/>
      <c r="K61" s="238"/>
      <c r="L61" s="238"/>
      <c r="M61" s="238"/>
      <c r="N61" s="238">
        <v>3</v>
      </c>
      <c r="O61" s="238">
        <v>393</v>
      </c>
      <c r="P61" s="681">
        <v>3.023076923076923</v>
      </c>
      <c r="Q61" s="712">
        <v>131</v>
      </c>
    </row>
    <row r="62" spans="1:17" ht="14.4" customHeight="1" x14ac:dyDescent="0.3">
      <c r="A62" s="679" t="s">
        <v>2958</v>
      </c>
      <c r="B62" s="670" t="s">
        <v>2959</v>
      </c>
      <c r="C62" s="670" t="s">
        <v>2234</v>
      </c>
      <c r="D62" s="670" t="s">
        <v>3026</v>
      </c>
      <c r="E62" s="670" t="s">
        <v>3027</v>
      </c>
      <c r="F62" s="238"/>
      <c r="G62" s="238"/>
      <c r="H62" s="238"/>
      <c r="I62" s="238"/>
      <c r="J62" s="238">
        <v>1</v>
      </c>
      <c r="K62" s="238">
        <v>573</v>
      </c>
      <c r="L62" s="238"/>
      <c r="M62" s="238">
        <v>573</v>
      </c>
      <c r="N62" s="238"/>
      <c r="O62" s="238"/>
      <c r="P62" s="681"/>
      <c r="Q62" s="712"/>
    </row>
    <row r="63" spans="1:17" ht="14.4" customHeight="1" x14ac:dyDescent="0.3">
      <c r="A63" s="679" t="s">
        <v>2958</v>
      </c>
      <c r="B63" s="670" t="s">
        <v>2959</v>
      </c>
      <c r="C63" s="670" t="s">
        <v>2234</v>
      </c>
      <c r="D63" s="670" t="s">
        <v>2942</v>
      </c>
      <c r="E63" s="670" t="s">
        <v>2943</v>
      </c>
      <c r="F63" s="238">
        <v>1</v>
      </c>
      <c r="G63" s="238">
        <v>22</v>
      </c>
      <c r="H63" s="238">
        <v>1</v>
      </c>
      <c r="I63" s="238">
        <v>22</v>
      </c>
      <c r="J63" s="238"/>
      <c r="K63" s="238"/>
      <c r="L63" s="238"/>
      <c r="M63" s="238"/>
      <c r="N63" s="238"/>
      <c r="O63" s="238"/>
      <c r="P63" s="681"/>
      <c r="Q63" s="712"/>
    </row>
    <row r="64" spans="1:17" ht="14.4" customHeight="1" x14ac:dyDescent="0.3">
      <c r="A64" s="679" t="s">
        <v>2958</v>
      </c>
      <c r="B64" s="670" t="s">
        <v>2959</v>
      </c>
      <c r="C64" s="670" t="s">
        <v>2234</v>
      </c>
      <c r="D64" s="670" t="s">
        <v>3028</v>
      </c>
      <c r="E64" s="670" t="s">
        <v>3029</v>
      </c>
      <c r="F64" s="238">
        <v>400</v>
      </c>
      <c r="G64" s="238">
        <v>11600</v>
      </c>
      <c r="H64" s="238">
        <v>1</v>
      </c>
      <c r="I64" s="238">
        <v>29</v>
      </c>
      <c r="J64" s="238">
        <v>433</v>
      </c>
      <c r="K64" s="238">
        <v>12557</v>
      </c>
      <c r="L64" s="238">
        <v>1.0825</v>
      </c>
      <c r="M64" s="238">
        <v>29</v>
      </c>
      <c r="N64" s="238">
        <v>420</v>
      </c>
      <c r="O64" s="238">
        <v>12180</v>
      </c>
      <c r="P64" s="681">
        <v>1.05</v>
      </c>
      <c r="Q64" s="712">
        <v>29</v>
      </c>
    </row>
    <row r="65" spans="1:17" ht="14.4" customHeight="1" x14ac:dyDescent="0.3">
      <c r="A65" s="679" t="s">
        <v>2958</v>
      </c>
      <c r="B65" s="670" t="s">
        <v>2959</v>
      </c>
      <c r="C65" s="670" t="s">
        <v>2234</v>
      </c>
      <c r="D65" s="670" t="s">
        <v>3030</v>
      </c>
      <c r="E65" s="670" t="s">
        <v>3031</v>
      </c>
      <c r="F65" s="238">
        <v>1</v>
      </c>
      <c r="G65" s="238">
        <v>50</v>
      </c>
      <c r="H65" s="238">
        <v>1</v>
      </c>
      <c r="I65" s="238">
        <v>50</v>
      </c>
      <c r="J65" s="238">
        <v>1</v>
      </c>
      <c r="K65" s="238">
        <v>50</v>
      </c>
      <c r="L65" s="238">
        <v>1</v>
      </c>
      <c r="M65" s="238">
        <v>50</v>
      </c>
      <c r="N65" s="238"/>
      <c r="O65" s="238"/>
      <c r="P65" s="681"/>
      <c r="Q65" s="712"/>
    </row>
    <row r="66" spans="1:17" ht="14.4" customHeight="1" x14ac:dyDescent="0.3">
      <c r="A66" s="679" t="s">
        <v>2958</v>
      </c>
      <c r="B66" s="670" t="s">
        <v>2959</v>
      </c>
      <c r="C66" s="670" t="s">
        <v>2234</v>
      </c>
      <c r="D66" s="670" t="s">
        <v>3032</v>
      </c>
      <c r="E66" s="670" t="s">
        <v>3033</v>
      </c>
      <c r="F66" s="238">
        <v>358</v>
      </c>
      <c r="G66" s="238">
        <v>4296</v>
      </c>
      <c r="H66" s="238">
        <v>1</v>
      </c>
      <c r="I66" s="238">
        <v>12</v>
      </c>
      <c r="J66" s="238">
        <v>406</v>
      </c>
      <c r="K66" s="238">
        <v>4872</v>
      </c>
      <c r="L66" s="238">
        <v>1.1340782122905029</v>
      </c>
      <c r="M66" s="238">
        <v>12</v>
      </c>
      <c r="N66" s="238">
        <v>386</v>
      </c>
      <c r="O66" s="238">
        <v>4632</v>
      </c>
      <c r="P66" s="681">
        <v>1.0782122905027933</v>
      </c>
      <c r="Q66" s="712">
        <v>12</v>
      </c>
    </row>
    <row r="67" spans="1:17" ht="14.4" customHeight="1" x14ac:dyDescent="0.3">
      <c r="A67" s="679" t="s">
        <v>2958</v>
      </c>
      <c r="B67" s="670" t="s">
        <v>2959</v>
      </c>
      <c r="C67" s="670" t="s">
        <v>2234</v>
      </c>
      <c r="D67" s="670" t="s">
        <v>3034</v>
      </c>
      <c r="E67" s="670" t="s">
        <v>3035</v>
      </c>
      <c r="F67" s="238">
        <v>3</v>
      </c>
      <c r="G67" s="238">
        <v>540</v>
      </c>
      <c r="H67" s="238">
        <v>1</v>
      </c>
      <c r="I67" s="238">
        <v>180</v>
      </c>
      <c r="J67" s="238">
        <v>1</v>
      </c>
      <c r="K67" s="238">
        <v>181</v>
      </c>
      <c r="L67" s="238">
        <v>0.3351851851851852</v>
      </c>
      <c r="M67" s="238">
        <v>181</v>
      </c>
      <c r="N67" s="238">
        <v>4</v>
      </c>
      <c r="O67" s="238">
        <v>724</v>
      </c>
      <c r="P67" s="681">
        <v>1.3407407407407408</v>
      </c>
      <c r="Q67" s="712">
        <v>181</v>
      </c>
    </row>
    <row r="68" spans="1:17" ht="14.4" customHeight="1" x14ac:dyDescent="0.3">
      <c r="A68" s="679" t="s">
        <v>2958</v>
      </c>
      <c r="B68" s="670" t="s">
        <v>2959</v>
      </c>
      <c r="C68" s="670" t="s">
        <v>2234</v>
      </c>
      <c r="D68" s="670" t="s">
        <v>3036</v>
      </c>
      <c r="E68" s="670" t="s">
        <v>3037</v>
      </c>
      <c r="F68" s="238">
        <v>56</v>
      </c>
      <c r="G68" s="238">
        <v>3976</v>
      </c>
      <c r="H68" s="238">
        <v>1</v>
      </c>
      <c r="I68" s="238">
        <v>71</v>
      </c>
      <c r="J68" s="238">
        <v>73</v>
      </c>
      <c r="K68" s="238">
        <v>5183</v>
      </c>
      <c r="L68" s="238">
        <v>1.3035714285714286</v>
      </c>
      <c r="M68" s="238">
        <v>71</v>
      </c>
      <c r="N68" s="238">
        <v>45</v>
      </c>
      <c r="O68" s="238">
        <v>3195</v>
      </c>
      <c r="P68" s="681">
        <v>0.8035714285714286</v>
      </c>
      <c r="Q68" s="712">
        <v>71</v>
      </c>
    </row>
    <row r="69" spans="1:17" ht="14.4" customHeight="1" x14ac:dyDescent="0.3">
      <c r="A69" s="679" t="s">
        <v>2958</v>
      </c>
      <c r="B69" s="670" t="s">
        <v>2959</v>
      </c>
      <c r="C69" s="670" t="s">
        <v>2234</v>
      </c>
      <c r="D69" s="670" t="s">
        <v>3038</v>
      </c>
      <c r="E69" s="670" t="s">
        <v>3039</v>
      </c>
      <c r="F69" s="238">
        <v>1</v>
      </c>
      <c r="G69" s="238">
        <v>181</v>
      </c>
      <c r="H69" s="238">
        <v>1</v>
      </c>
      <c r="I69" s="238">
        <v>181</v>
      </c>
      <c r="J69" s="238">
        <v>1</v>
      </c>
      <c r="K69" s="238">
        <v>182</v>
      </c>
      <c r="L69" s="238">
        <v>1.0055248618784531</v>
      </c>
      <c r="M69" s="238">
        <v>182</v>
      </c>
      <c r="N69" s="238">
        <v>2</v>
      </c>
      <c r="O69" s="238">
        <v>364</v>
      </c>
      <c r="P69" s="681">
        <v>2.0110497237569063</v>
      </c>
      <c r="Q69" s="712">
        <v>182</v>
      </c>
    </row>
    <row r="70" spans="1:17" ht="14.4" customHeight="1" x14ac:dyDescent="0.3">
      <c r="A70" s="679" t="s">
        <v>2958</v>
      </c>
      <c r="B70" s="670" t="s">
        <v>2959</v>
      </c>
      <c r="C70" s="670" t="s">
        <v>2234</v>
      </c>
      <c r="D70" s="670" t="s">
        <v>3040</v>
      </c>
      <c r="E70" s="670" t="s">
        <v>3041</v>
      </c>
      <c r="F70" s="238">
        <v>221</v>
      </c>
      <c r="G70" s="238">
        <v>32487</v>
      </c>
      <c r="H70" s="238">
        <v>1</v>
      </c>
      <c r="I70" s="238">
        <v>147</v>
      </c>
      <c r="J70" s="238">
        <v>213</v>
      </c>
      <c r="K70" s="238">
        <v>31311</v>
      </c>
      <c r="L70" s="238">
        <v>0.96380090497737558</v>
      </c>
      <c r="M70" s="238">
        <v>147</v>
      </c>
      <c r="N70" s="238">
        <v>183</v>
      </c>
      <c r="O70" s="238">
        <v>26901</v>
      </c>
      <c r="P70" s="681">
        <v>0.82805429864253388</v>
      </c>
      <c r="Q70" s="712">
        <v>147</v>
      </c>
    </row>
    <row r="71" spans="1:17" ht="14.4" customHeight="1" x14ac:dyDescent="0.3">
      <c r="A71" s="679" t="s">
        <v>2958</v>
      </c>
      <c r="B71" s="670" t="s">
        <v>2959</v>
      </c>
      <c r="C71" s="670" t="s">
        <v>2234</v>
      </c>
      <c r="D71" s="670" t="s">
        <v>3042</v>
      </c>
      <c r="E71" s="670" t="s">
        <v>3043</v>
      </c>
      <c r="F71" s="238">
        <v>400</v>
      </c>
      <c r="G71" s="238">
        <v>11600</v>
      </c>
      <c r="H71" s="238">
        <v>1</v>
      </c>
      <c r="I71" s="238">
        <v>29</v>
      </c>
      <c r="J71" s="238">
        <v>442</v>
      </c>
      <c r="K71" s="238">
        <v>12818</v>
      </c>
      <c r="L71" s="238">
        <v>1.105</v>
      </c>
      <c r="M71" s="238">
        <v>29</v>
      </c>
      <c r="N71" s="238">
        <v>426</v>
      </c>
      <c r="O71" s="238">
        <v>12354</v>
      </c>
      <c r="P71" s="681">
        <v>1.0649999999999999</v>
      </c>
      <c r="Q71" s="712">
        <v>29</v>
      </c>
    </row>
    <row r="72" spans="1:17" ht="14.4" customHeight="1" x14ac:dyDescent="0.3">
      <c r="A72" s="679" t="s">
        <v>2958</v>
      </c>
      <c r="B72" s="670" t="s">
        <v>2959</v>
      </c>
      <c r="C72" s="670" t="s">
        <v>2234</v>
      </c>
      <c r="D72" s="670" t="s">
        <v>3044</v>
      </c>
      <c r="E72" s="670" t="s">
        <v>3045</v>
      </c>
      <c r="F72" s="238">
        <v>51</v>
      </c>
      <c r="G72" s="238">
        <v>1581</v>
      </c>
      <c r="H72" s="238">
        <v>1</v>
      </c>
      <c r="I72" s="238">
        <v>31</v>
      </c>
      <c r="J72" s="238">
        <v>60</v>
      </c>
      <c r="K72" s="238">
        <v>1860</v>
      </c>
      <c r="L72" s="238">
        <v>1.1764705882352942</v>
      </c>
      <c r="M72" s="238">
        <v>31</v>
      </c>
      <c r="N72" s="238">
        <v>47</v>
      </c>
      <c r="O72" s="238">
        <v>1457</v>
      </c>
      <c r="P72" s="681">
        <v>0.92156862745098034</v>
      </c>
      <c r="Q72" s="712">
        <v>31</v>
      </c>
    </row>
    <row r="73" spans="1:17" ht="14.4" customHeight="1" x14ac:dyDescent="0.3">
      <c r="A73" s="679" t="s">
        <v>2958</v>
      </c>
      <c r="B73" s="670" t="s">
        <v>2959</v>
      </c>
      <c r="C73" s="670" t="s">
        <v>2234</v>
      </c>
      <c r="D73" s="670" t="s">
        <v>3046</v>
      </c>
      <c r="E73" s="670" t="s">
        <v>3047</v>
      </c>
      <c r="F73" s="238">
        <v>67</v>
      </c>
      <c r="G73" s="238">
        <v>1809</v>
      </c>
      <c r="H73" s="238">
        <v>1</v>
      </c>
      <c r="I73" s="238">
        <v>27</v>
      </c>
      <c r="J73" s="238">
        <v>81</v>
      </c>
      <c r="K73" s="238">
        <v>2187</v>
      </c>
      <c r="L73" s="238">
        <v>1.208955223880597</v>
      </c>
      <c r="M73" s="238">
        <v>27</v>
      </c>
      <c r="N73" s="238">
        <v>62</v>
      </c>
      <c r="O73" s="238">
        <v>1674</v>
      </c>
      <c r="P73" s="681">
        <v>0.92537313432835822</v>
      </c>
      <c r="Q73" s="712">
        <v>27</v>
      </c>
    </row>
    <row r="74" spans="1:17" ht="14.4" customHeight="1" x14ac:dyDescent="0.3">
      <c r="A74" s="679" t="s">
        <v>2958</v>
      </c>
      <c r="B74" s="670" t="s">
        <v>2959</v>
      </c>
      <c r="C74" s="670" t="s">
        <v>2234</v>
      </c>
      <c r="D74" s="670" t="s">
        <v>3048</v>
      </c>
      <c r="E74" s="670" t="s">
        <v>3049</v>
      </c>
      <c r="F74" s="238">
        <v>1</v>
      </c>
      <c r="G74" s="238">
        <v>253</v>
      </c>
      <c r="H74" s="238">
        <v>1</v>
      </c>
      <c r="I74" s="238">
        <v>253</v>
      </c>
      <c r="J74" s="238">
        <v>1</v>
      </c>
      <c r="K74" s="238">
        <v>253</v>
      </c>
      <c r="L74" s="238">
        <v>1</v>
      </c>
      <c r="M74" s="238">
        <v>253</v>
      </c>
      <c r="N74" s="238"/>
      <c r="O74" s="238"/>
      <c r="P74" s="681"/>
      <c r="Q74" s="712"/>
    </row>
    <row r="75" spans="1:17" ht="14.4" customHeight="1" x14ac:dyDescent="0.3">
      <c r="A75" s="679" t="s">
        <v>2958</v>
      </c>
      <c r="B75" s="670" t="s">
        <v>2959</v>
      </c>
      <c r="C75" s="670" t="s">
        <v>2234</v>
      </c>
      <c r="D75" s="670" t="s">
        <v>3050</v>
      </c>
      <c r="E75" s="670" t="s">
        <v>3051</v>
      </c>
      <c r="F75" s="238">
        <v>4</v>
      </c>
      <c r="G75" s="238">
        <v>640</v>
      </c>
      <c r="H75" s="238">
        <v>1</v>
      </c>
      <c r="I75" s="238">
        <v>160</v>
      </c>
      <c r="J75" s="238"/>
      <c r="K75" s="238"/>
      <c r="L75" s="238"/>
      <c r="M75" s="238"/>
      <c r="N75" s="238">
        <v>6</v>
      </c>
      <c r="O75" s="238">
        <v>966</v>
      </c>
      <c r="P75" s="681">
        <v>1.5093749999999999</v>
      </c>
      <c r="Q75" s="712">
        <v>161</v>
      </c>
    </row>
    <row r="76" spans="1:17" ht="14.4" customHeight="1" x14ac:dyDescent="0.3">
      <c r="A76" s="679" t="s">
        <v>2958</v>
      </c>
      <c r="B76" s="670" t="s">
        <v>2959</v>
      </c>
      <c r="C76" s="670" t="s">
        <v>2234</v>
      </c>
      <c r="D76" s="670" t="s">
        <v>3052</v>
      </c>
      <c r="E76" s="670" t="s">
        <v>3053</v>
      </c>
      <c r="F76" s="238">
        <v>1</v>
      </c>
      <c r="G76" s="238">
        <v>850</v>
      </c>
      <c r="H76" s="238">
        <v>1</v>
      </c>
      <c r="I76" s="238">
        <v>850</v>
      </c>
      <c r="J76" s="238"/>
      <c r="K76" s="238"/>
      <c r="L76" s="238"/>
      <c r="M76" s="238"/>
      <c r="N76" s="238">
        <v>3</v>
      </c>
      <c r="O76" s="238">
        <v>2562</v>
      </c>
      <c r="P76" s="681">
        <v>3.0141176470588236</v>
      </c>
      <c r="Q76" s="712">
        <v>854</v>
      </c>
    </row>
    <row r="77" spans="1:17" ht="14.4" customHeight="1" x14ac:dyDescent="0.3">
      <c r="A77" s="679" t="s">
        <v>2958</v>
      </c>
      <c r="B77" s="670" t="s">
        <v>2959</v>
      </c>
      <c r="C77" s="670" t="s">
        <v>2234</v>
      </c>
      <c r="D77" s="670" t="s">
        <v>3054</v>
      </c>
      <c r="E77" s="670" t="s">
        <v>3055</v>
      </c>
      <c r="F77" s="238">
        <v>106</v>
      </c>
      <c r="G77" s="238">
        <v>2650</v>
      </c>
      <c r="H77" s="238">
        <v>1</v>
      </c>
      <c r="I77" s="238">
        <v>25</v>
      </c>
      <c r="J77" s="238">
        <v>111</v>
      </c>
      <c r="K77" s="238">
        <v>2775</v>
      </c>
      <c r="L77" s="238">
        <v>1.0471698113207548</v>
      </c>
      <c r="M77" s="238">
        <v>25</v>
      </c>
      <c r="N77" s="238">
        <v>78</v>
      </c>
      <c r="O77" s="238">
        <v>1950</v>
      </c>
      <c r="P77" s="681">
        <v>0.73584905660377353</v>
      </c>
      <c r="Q77" s="712">
        <v>25</v>
      </c>
    </row>
    <row r="78" spans="1:17" ht="14.4" customHeight="1" x14ac:dyDescent="0.3">
      <c r="A78" s="679" t="s">
        <v>2958</v>
      </c>
      <c r="B78" s="670" t="s">
        <v>2959</v>
      </c>
      <c r="C78" s="670" t="s">
        <v>2234</v>
      </c>
      <c r="D78" s="670" t="s">
        <v>3056</v>
      </c>
      <c r="E78" s="670" t="s">
        <v>3057</v>
      </c>
      <c r="F78" s="238"/>
      <c r="G78" s="238"/>
      <c r="H78" s="238"/>
      <c r="I78" s="238"/>
      <c r="J78" s="238"/>
      <c r="K78" s="238"/>
      <c r="L78" s="238"/>
      <c r="M78" s="238"/>
      <c r="N78" s="238">
        <v>1</v>
      </c>
      <c r="O78" s="238">
        <v>79</v>
      </c>
      <c r="P78" s="681"/>
      <c r="Q78" s="712">
        <v>79</v>
      </c>
    </row>
    <row r="79" spans="1:17" ht="14.4" customHeight="1" x14ac:dyDescent="0.3">
      <c r="A79" s="679" t="s">
        <v>2958</v>
      </c>
      <c r="B79" s="670" t="s">
        <v>2959</v>
      </c>
      <c r="C79" s="670" t="s">
        <v>2234</v>
      </c>
      <c r="D79" s="670" t="s">
        <v>3058</v>
      </c>
      <c r="E79" s="670" t="s">
        <v>3059</v>
      </c>
      <c r="F79" s="238">
        <v>2</v>
      </c>
      <c r="G79" s="238">
        <v>52</v>
      </c>
      <c r="H79" s="238">
        <v>1</v>
      </c>
      <c r="I79" s="238">
        <v>26</v>
      </c>
      <c r="J79" s="238"/>
      <c r="K79" s="238"/>
      <c r="L79" s="238"/>
      <c r="M79" s="238"/>
      <c r="N79" s="238"/>
      <c r="O79" s="238"/>
      <c r="P79" s="681"/>
      <c r="Q79" s="712"/>
    </row>
    <row r="80" spans="1:17" ht="14.4" customHeight="1" x14ac:dyDescent="0.3">
      <c r="A80" s="679" t="s">
        <v>2958</v>
      </c>
      <c r="B80" s="670" t="s">
        <v>2959</v>
      </c>
      <c r="C80" s="670" t="s">
        <v>2234</v>
      </c>
      <c r="D80" s="670" t="s">
        <v>3060</v>
      </c>
      <c r="E80" s="670" t="s">
        <v>3061</v>
      </c>
      <c r="F80" s="238">
        <v>3</v>
      </c>
      <c r="G80" s="238">
        <v>252</v>
      </c>
      <c r="H80" s="238">
        <v>1</v>
      </c>
      <c r="I80" s="238">
        <v>84</v>
      </c>
      <c r="J80" s="238"/>
      <c r="K80" s="238"/>
      <c r="L80" s="238"/>
      <c r="M80" s="238"/>
      <c r="N80" s="238">
        <v>3</v>
      </c>
      <c r="O80" s="238">
        <v>252</v>
      </c>
      <c r="P80" s="681">
        <v>1</v>
      </c>
      <c r="Q80" s="712">
        <v>84</v>
      </c>
    </row>
    <row r="81" spans="1:17" ht="14.4" customHeight="1" x14ac:dyDescent="0.3">
      <c r="A81" s="679" t="s">
        <v>2958</v>
      </c>
      <c r="B81" s="670" t="s">
        <v>2959</v>
      </c>
      <c r="C81" s="670" t="s">
        <v>2234</v>
      </c>
      <c r="D81" s="670" t="s">
        <v>3062</v>
      </c>
      <c r="E81" s="670" t="s">
        <v>3063</v>
      </c>
      <c r="F81" s="238">
        <v>4</v>
      </c>
      <c r="G81" s="238">
        <v>692</v>
      </c>
      <c r="H81" s="238">
        <v>1</v>
      </c>
      <c r="I81" s="238">
        <v>173</v>
      </c>
      <c r="J81" s="238">
        <v>1</v>
      </c>
      <c r="K81" s="238">
        <v>174</v>
      </c>
      <c r="L81" s="238">
        <v>0.25144508670520233</v>
      </c>
      <c r="M81" s="238">
        <v>174</v>
      </c>
      <c r="N81" s="238">
        <v>6</v>
      </c>
      <c r="O81" s="238">
        <v>1044</v>
      </c>
      <c r="P81" s="681">
        <v>1.5086705202312138</v>
      </c>
      <c r="Q81" s="712">
        <v>174</v>
      </c>
    </row>
    <row r="82" spans="1:17" ht="14.4" customHeight="1" x14ac:dyDescent="0.3">
      <c r="A82" s="679" t="s">
        <v>2958</v>
      </c>
      <c r="B82" s="670" t="s">
        <v>2959</v>
      </c>
      <c r="C82" s="670" t="s">
        <v>2234</v>
      </c>
      <c r="D82" s="670" t="s">
        <v>3064</v>
      </c>
      <c r="E82" s="670" t="s">
        <v>3065</v>
      </c>
      <c r="F82" s="238"/>
      <c r="G82" s="238"/>
      <c r="H82" s="238"/>
      <c r="I82" s="238"/>
      <c r="J82" s="238">
        <v>1</v>
      </c>
      <c r="K82" s="238">
        <v>250</v>
      </c>
      <c r="L82" s="238"/>
      <c r="M82" s="238">
        <v>250</v>
      </c>
      <c r="N82" s="238"/>
      <c r="O82" s="238"/>
      <c r="P82" s="681"/>
      <c r="Q82" s="712"/>
    </row>
    <row r="83" spans="1:17" ht="14.4" customHeight="1" x14ac:dyDescent="0.3">
      <c r="A83" s="679" t="s">
        <v>2958</v>
      </c>
      <c r="B83" s="670" t="s">
        <v>2959</v>
      </c>
      <c r="C83" s="670" t="s">
        <v>2234</v>
      </c>
      <c r="D83" s="670" t="s">
        <v>3066</v>
      </c>
      <c r="E83" s="670" t="s">
        <v>3067</v>
      </c>
      <c r="F83" s="238">
        <v>1</v>
      </c>
      <c r="G83" s="238">
        <v>15</v>
      </c>
      <c r="H83" s="238">
        <v>1</v>
      </c>
      <c r="I83" s="238">
        <v>15</v>
      </c>
      <c r="J83" s="238"/>
      <c r="K83" s="238"/>
      <c r="L83" s="238"/>
      <c r="M83" s="238"/>
      <c r="N83" s="238"/>
      <c r="O83" s="238"/>
      <c r="P83" s="681"/>
      <c r="Q83" s="712"/>
    </row>
    <row r="84" spans="1:17" ht="14.4" customHeight="1" x14ac:dyDescent="0.3">
      <c r="A84" s="679" t="s">
        <v>2958</v>
      </c>
      <c r="B84" s="670" t="s">
        <v>2959</v>
      </c>
      <c r="C84" s="670" t="s">
        <v>2234</v>
      </c>
      <c r="D84" s="670" t="s">
        <v>3068</v>
      </c>
      <c r="E84" s="670" t="s">
        <v>3069</v>
      </c>
      <c r="F84" s="238">
        <v>13</v>
      </c>
      <c r="G84" s="238">
        <v>299</v>
      </c>
      <c r="H84" s="238">
        <v>1</v>
      </c>
      <c r="I84" s="238">
        <v>23</v>
      </c>
      <c r="J84" s="238">
        <v>10</v>
      </c>
      <c r="K84" s="238">
        <v>230</v>
      </c>
      <c r="L84" s="238">
        <v>0.76923076923076927</v>
      </c>
      <c r="M84" s="238">
        <v>23</v>
      </c>
      <c r="N84" s="238">
        <v>3</v>
      </c>
      <c r="O84" s="238">
        <v>69</v>
      </c>
      <c r="P84" s="681">
        <v>0.23076923076923078</v>
      </c>
      <c r="Q84" s="712">
        <v>23</v>
      </c>
    </row>
    <row r="85" spans="1:17" ht="14.4" customHeight="1" x14ac:dyDescent="0.3">
      <c r="A85" s="679" t="s">
        <v>2958</v>
      </c>
      <c r="B85" s="670" t="s">
        <v>2959</v>
      </c>
      <c r="C85" s="670" t="s">
        <v>2234</v>
      </c>
      <c r="D85" s="670" t="s">
        <v>3070</v>
      </c>
      <c r="E85" s="670" t="s">
        <v>3071</v>
      </c>
      <c r="F85" s="238"/>
      <c r="G85" s="238"/>
      <c r="H85" s="238"/>
      <c r="I85" s="238"/>
      <c r="J85" s="238">
        <v>1</v>
      </c>
      <c r="K85" s="238">
        <v>249</v>
      </c>
      <c r="L85" s="238"/>
      <c r="M85" s="238">
        <v>249</v>
      </c>
      <c r="N85" s="238"/>
      <c r="O85" s="238"/>
      <c r="P85" s="681"/>
      <c r="Q85" s="712"/>
    </row>
    <row r="86" spans="1:17" ht="14.4" customHeight="1" x14ac:dyDescent="0.3">
      <c r="A86" s="679" t="s">
        <v>2958</v>
      </c>
      <c r="B86" s="670" t="s">
        <v>2959</v>
      </c>
      <c r="C86" s="670" t="s">
        <v>2234</v>
      </c>
      <c r="D86" s="670" t="s">
        <v>3072</v>
      </c>
      <c r="E86" s="670" t="s">
        <v>3073</v>
      </c>
      <c r="F86" s="238">
        <v>368</v>
      </c>
      <c r="G86" s="238">
        <v>8464</v>
      </c>
      <c r="H86" s="238">
        <v>1</v>
      </c>
      <c r="I86" s="238">
        <v>23</v>
      </c>
      <c r="J86" s="238">
        <v>418</v>
      </c>
      <c r="K86" s="238">
        <v>9614</v>
      </c>
      <c r="L86" s="238">
        <v>1.1358695652173914</v>
      </c>
      <c r="M86" s="238">
        <v>23</v>
      </c>
      <c r="N86" s="238">
        <v>403</v>
      </c>
      <c r="O86" s="238">
        <v>9269</v>
      </c>
      <c r="P86" s="681">
        <v>1.0951086956521738</v>
      </c>
      <c r="Q86" s="712">
        <v>23</v>
      </c>
    </row>
    <row r="87" spans="1:17" ht="14.4" customHeight="1" x14ac:dyDescent="0.3">
      <c r="A87" s="679" t="s">
        <v>2958</v>
      </c>
      <c r="B87" s="670" t="s">
        <v>2959</v>
      </c>
      <c r="C87" s="670" t="s">
        <v>2234</v>
      </c>
      <c r="D87" s="670" t="s">
        <v>3074</v>
      </c>
      <c r="E87" s="670" t="s">
        <v>3075</v>
      </c>
      <c r="F87" s="238"/>
      <c r="G87" s="238"/>
      <c r="H87" s="238"/>
      <c r="I87" s="238"/>
      <c r="J87" s="238">
        <v>1</v>
      </c>
      <c r="K87" s="238">
        <v>331</v>
      </c>
      <c r="L87" s="238"/>
      <c r="M87" s="238">
        <v>331</v>
      </c>
      <c r="N87" s="238"/>
      <c r="O87" s="238"/>
      <c r="P87" s="681"/>
      <c r="Q87" s="712"/>
    </row>
    <row r="88" spans="1:17" ht="14.4" customHeight="1" x14ac:dyDescent="0.3">
      <c r="A88" s="679" t="s">
        <v>2958</v>
      </c>
      <c r="B88" s="670" t="s">
        <v>2959</v>
      </c>
      <c r="C88" s="670" t="s">
        <v>2234</v>
      </c>
      <c r="D88" s="670" t="s">
        <v>3076</v>
      </c>
      <c r="E88" s="670" t="s">
        <v>3077</v>
      </c>
      <c r="F88" s="238">
        <v>4</v>
      </c>
      <c r="G88" s="238">
        <v>116</v>
      </c>
      <c r="H88" s="238">
        <v>1</v>
      </c>
      <c r="I88" s="238">
        <v>29</v>
      </c>
      <c r="J88" s="238">
        <v>4</v>
      </c>
      <c r="K88" s="238">
        <v>116</v>
      </c>
      <c r="L88" s="238">
        <v>1</v>
      </c>
      <c r="M88" s="238">
        <v>29</v>
      </c>
      <c r="N88" s="238">
        <v>7</v>
      </c>
      <c r="O88" s="238">
        <v>203</v>
      </c>
      <c r="P88" s="681">
        <v>1.75</v>
      </c>
      <c r="Q88" s="712">
        <v>29</v>
      </c>
    </row>
    <row r="89" spans="1:17" ht="14.4" customHeight="1" x14ac:dyDescent="0.3">
      <c r="A89" s="679" t="s">
        <v>2958</v>
      </c>
      <c r="B89" s="670" t="s">
        <v>2959</v>
      </c>
      <c r="C89" s="670" t="s">
        <v>2234</v>
      </c>
      <c r="D89" s="670" t="s">
        <v>3078</v>
      </c>
      <c r="E89" s="670" t="s">
        <v>3079</v>
      </c>
      <c r="F89" s="238">
        <v>4</v>
      </c>
      <c r="G89" s="238">
        <v>704</v>
      </c>
      <c r="H89" s="238">
        <v>1</v>
      </c>
      <c r="I89" s="238">
        <v>176</v>
      </c>
      <c r="J89" s="238">
        <v>3</v>
      </c>
      <c r="K89" s="238">
        <v>528</v>
      </c>
      <c r="L89" s="238">
        <v>0.75</v>
      </c>
      <c r="M89" s="238">
        <v>176</v>
      </c>
      <c r="N89" s="238">
        <v>1</v>
      </c>
      <c r="O89" s="238">
        <v>176</v>
      </c>
      <c r="P89" s="681">
        <v>0.25</v>
      </c>
      <c r="Q89" s="712">
        <v>176</v>
      </c>
    </row>
    <row r="90" spans="1:17" ht="14.4" customHeight="1" x14ac:dyDescent="0.3">
      <c r="A90" s="679" t="s">
        <v>2958</v>
      </c>
      <c r="B90" s="670" t="s">
        <v>2959</v>
      </c>
      <c r="C90" s="670" t="s">
        <v>2234</v>
      </c>
      <c r="D90" s="670" t="s">
        <v>3080</v>
      </c>
      <c r="E90" s="670" t="s">
        <v>3081</v>
      </c>
      <c r="F90" s="238">
        <v>1</v>
      </c>
      <c r="G90" s="238">
        <v>196</v>
      </c>
      <c r="H90" s="238">
        <v>1</v>
      </c>
      <c r="I90" s="238">
        <v>196</v>
      </c>
      <c r="J90" s="238"/>
      <c r="K90" s="238"/>
      <c r="L90" s="238"/>
      <c r="M90" s="238"/>
      <c r="N90" s="238"/>
      <c r="O90" s="238"/>
      <c r="P90" s="681"/>
      <c r="Q90" s="712"/>
    </row>
    <row r="91" spans="1:17" ht="14.4" customHeight="1" x14ac:dyDescent="0.3">
      <c r="A91" s="679" t="s">
        <v>2958</v>
      </c>
      <c r="B91" s="670" t="s">
        <v>2959</v>
      </c>
      <c r="C91" s="670" t="s">
        <v>2234</v>
      </c>
      <c r="D91" s="670" t="s">
        <v>3082</v>
      </c>
      <c r="E91" s="670" t="s">
        <v>3083</v>
      </c>
      <c r="F91" s="238"/>
      <c r="G91" s="238"/>
      <c r="H91" s="238"/>
      <c r="I91" s="238"/>
      <c r="J91" s="238"/>
      <c r="K91" s="238"/>
      <c r="L91" s="238"/>
      <c r="M91" s="238"/>
      <c r="N91" s="238">
        <v>1</v>
      </c>
      <c r="O91" s="238">
        <v>19</v>
      </c>
      <c r="P91" s="681"/>
      <c r="Q91" s="712">
        <v>19</v>
      </c>
    </row>
    <row r="92" spans="1:17" ht="14.4" customHeight="1" x14ac:dyDescent="0.3">
      <c r="A92" s="679" t="s">
        <v>2958</v>
      </c>
      <c r="B92" s="670" t="s">
        <v>2959</v>
      </c>
      <c r="C92" s="670" t="s">
        <v>2234</v>
      </c>
      <c r="D92" s="670" t="s">
        <v>3084</v>
      </c>
      <c r="E92" s="670" t="s">
        <v>3085</v>
      </c>
      <c r="F92" s="238">
        <v>9</v>
      </c>
      <c r="G92" s="238">
        <v>180</v>
      </c>
      <c r="H92" s="238">
        <v>1</v>
      </c>
      <c r="I92" s="238">
        <v>20</v>
      </c>
      <c r="J92" s="238">
        <v>3</v>
      </c>
      <c r="K92" s="238">
        <v>60</v>
      </c>
      <c r="L92" s="238">
        <v>0.33333333333333331</v>
      </c>
      <c r="M92" s="238">
        <v>20</v>
      </c>
      <c r="N92" s="238">
        <v>13</v>
      </c>
      <c r="O92" s="238">
        <v>260</v>
      </c>
      <c r="P92" s="681">
        <v>1.4444444444444444</v>
      </c>
      <c r="Q92" s="712">
        <v>20</v>
      </c>
    </row>
    <row r="93" spans="1:17" ht="14.4" customHeight="1" x14ac:dyDescent="0.3">
      <c r="A93" s="679" t="s">
        <v>2958</v>
      </c>
      <c r="B93" s="670" t="s">
        <v>2959</v>
      </c>
      <c r="C93" s="670" t="s">
        <v>2234</v>
      </c>
      <c r="D93" s="670" t="s">
        <v>3086</v>
      </c>
      <c r="E93" s="670" t="s">
        <v>3087</v>
      </c>
      <c r="F93" s="238"/>
      <c r="G93" s="238"/>
      <c r="H93" s="238"/>
      <c r="I93" s="238"/>
      <c r="J93" s="238">
        <v>2</v>
      </c>
      <c r="K93" s="238">
        <v>368</v>
      </c>
      <c r="L93" s="238"/>
      <c r="M93" s="238">
        <v>184</v>
      </c>
      <c r="N93" s="238"/>
      <c r="O93" s="238"/>
      <c r="P93" s="681"/>
      <c r="Q93" s="712"/>
    </row>
    <row r="94" spans="1:17" ht="14.4" customHeight="1" x14ac:dyDescent="0.3">
      <c r="A94" s="679" t="s">
        <v>2958</v>
      </c>
      <c r="B94" s="670" t="s">
        <v>2959</v>
      </c>
      <c r="C94" s="670" t="s">
        <v>2234</v>
      </c>
      <c r="D94" s="670" t="s">
        <v>3088</v>
      </c>
      <c r="E94" s="670" t="s">
        <v>3089</v>
      </c>
      <c r="F94" s="238"/>
      <c r="G94" s="238"/>
      <c r="H94" s="238"/>
      <c r="I94" s="238"/>
      <c r="J94" s="238">
        <v>1</v>
      </c>
      <c r="K94" s="238">
        <v>266</v>
      </c>
      <c r="L94" s="238"/>
      <c r="M94" s="238">
        <v>266</v>
      </c>
      <c r="N94" s="238"/>
      <c r="O94" s="238"/>
      <c r="P94" s="681"/>
      <c r="Q94" s="712"/>
    </row>
    <row r="95" spans="1:17" ht="14.4" customHeight="1" x14ac:dyDescent="0.3">
      <c r="A95" s="679" t="s">
        <v>2958</v>
      </c>
      <c r="B95" s="670" t="s">
        <v>2959</v>
      </c>
      <c r="C95" s="670" t="s">
        <v>2234</v>
      </c>
      <c r="D95" s="670" t="s">
        <v>3090</v>
      </c>
      <c r="E95" s="670" t="s">
        <v>3091</v>
      </c>
      <c r="F95" s="238">
        <v>4</v>
      </c>
      <c r="G95" s="238">
        <v>640</v>
      </c>
      <c r="H95" s="238">
        <v>1</v>
      </c>
      <c r="I95" s="238">
        <v>160</v>
      </c>
      <c r="J95" s="238"/>
      <c r="K95" s="238"/>
      <c r="L95" s="238"/>
      <c r="M95" s="238"/>
      <c r="N95" s="238">
        <v>6</v>
      </c>
      <c r="O95" s="238">
        <v>966</v>
      </c>
      <c r="P95" s="681">
        <v>1.5093749999999999</v>
      </c>
      <c r="Q95" s="712">
        <v>161</v>
      </c>
    </row>
    <row r="96" spans="1:17" ht="14.4" customHeight="1" x14ac:dyDescent="0.3">
      <c r="A96" s="679" t="s">
        <v>2958</v>
      </c>
      <c r="B96" s="670" t="s">
        <v>2959</v>
      </c>
      <c r="C96" s="670" t="s">
        <v>2234</v>
      </c>
      <c r="D96" s="670" t="s">
        <v>3092</v>
      </c>
      <c r="E96" s="670" t="s">
        <v>3093</v>
      </c>
      <c r="F96" s="238"/>
      <c r="G96" s="238"/>
      <c r="H96" s="238"/>
      <c r="I96" s="238"/>
      <c r="J96" s="238">
        <v>1</v>
      </c>
      <c r="K96" s="238">
        <v>78</v>
      </c>
      <c r="L96" s="238"/>
      <c r="M96" s="238">
        <v>78</v>
      </c>
      <c r="N96" s="238"/>
      <c r="O96" s="238"/>
      <c r="P96" s="681"/>
      <c r="Q96" s="712"/>
    </row>
    <row r="97" spans="1:17" ht="14.4" customHeight="1" x14ac:dyDescent="0.3">
      <c r="A97" s="679" t="s">
        <v>2958</v>
      </c>
      <c r="B97" s="670" t="s">
        <v>2959</v>
      </c>
      <c r="C97" s="670" t="s">
        <v>2234</v>
      </c>
      <c r="D97" s="670" t="s">
        <v>3094</v>
      </c>
      <c r="E97" s="670" t="s">
        <v>3095</v>
      </c>
      <c r="F97" s="238">
        <v>2</v>
      </c>
      <c r="G97" s="238">
        <v>42</v>
      </c>
      <c r="H97" s="238">
        <v>1</v>
      </c>
      <c r="I97" s="238">
        <v>21</v>
      </c>
      <c r="J97" s="238">
        <v>1</v>
      </c>
      <c r="K97" s="238">
        <v>21</v>
      </c>
      <c r="L97" s="238">
        <v>0.5</v>
      </c>
      <c r="M97" s="238">
        <v>21</v>
      </c>
      <c r="N97" s="238"/>
      <c r="O97" s="238"/>
      <c r="P97" s="681"/>
      <c r="Q97" s="712"/>
    </row>
    <row r="98" spans="1:17" ht="14.4" customHeight="1" x14ac:dyDescent="0.3">
      <c r="A98" s="679" t="s">
        <v>2958</v>
      </c>
      <c r="B98" s="670" t="s">
        <v>2959</v>
      </c>
      <c r="C98" s="670" t="s">
        <v>2234</v>
      </c>
      <c r="D98" s="670" t="s">
        <v>3096</v>
      </c>
      <c r="E98" s="670" t="s">
        <v>3097</v>
      </c>
      <c r="F98" s="238">
        <v>6</v>
      </c>
      <c r="G98" s="238">
        <v>132</v>
      </c>
      <c r="H98" s="238">
        <v>1</v>
      </c>
      <c r="I98" s="238">
        <v>22</v>
      </c>
      <c r="J98" s="238">
        <v>12</v>
      </c>
      <c r="K98" s="238">
        <v>264</v>
      </c>
      <c r="L98" s="238">
        <v>2</v>
      </c>
      <c r="M98" s="238">
        <v>22</v>
      </c>
      <c r="N98" s="238">
        <v>4</v>
      </c>
      <c r="O98" s="238">
        <v>88</v>
      </c>
      <c r="P98" s="681">
        <v>0.66666666666666663</v>
      </c>
      <c r="Q98" s="712">
        <v>22</v>
      </c>
    </row>
    <row r="99" spans="1:17" ht="14.4" customHeight="1" x14ac:dyDescent="0.3">
      <c r="A99" s="679" t="s">
        <v>2958</v>
      </c>
      <c r="B99" s="670" t="s">
        <v>2959</v>
      </c>
      <c r="C99" s="670" t="s">
        <v>2234</v>
      </c>
      <c r="D99" s="670" t="s">
        <v>3098</v>
      </c>
      <c r="E99" s="670" t="s">
        <v>3099</v>
      </c>
      <c r="F99" s="238"/>
      <c r="G99" s="238"/>
      <c r="H99" s="238"/>
      <c r="I99" s="238"/>
      <c r="J99" s="238">
        <v>2</v>
      </c>
      <c r="K99" s="238">
        <v>990</v>
      </c>
      <c r="L99" s="238"/>
      <c r="M99" s="238">
        <v>495</v>
      </c>
      <c r="N99" s="238"/>
      <c r="O99" s="238"/>
      <c r="P99" s="681"/>
      <c r="Q99" s="712"/>
    </row>
    <row r="100" spans="1:17" ht="14.4" customHeight="1" x14ac:dyDescent="0.3">
      <c r="A100" s="679" t="s">
        <v>2958</v>
      </c>
      <c r="B100" s="670" t="s">
        <v>2959</v>
      </c>
      <c r="C100" s="670" t="s">
        <v>2234</v>
      </c>
      <c r="D100" s="670" t="s">
        <v>3100</v>
      </c>
      <c r="E100" s="670" t="s">
        <v>3101</v>
      </c>
      <c r="F100" s="238">
        <v>7</v>
      </c>
      <c r="G100" s="238">
        <v>1162</v>
      </c>
      <c r="H100" s="238">
        <v>1</v>
      </c>
      <c r="I100" s="238">
        <v>166</v>
      </c>
      <c r="J100" s="238"/>
      <c r="K100" s="238"/>
      <c r="L100" s="238"/>
      <c r="M100" s="238"/>
      <c r="N100" s="238">
        <v>1</v>
      </c>
      <c r="O100" s="238">
        <v>166</v>
      </c>
      <c r="P100" s="681">
        <v>0.14285714285714285</v>
      </c>
      <c r="Q100" s="712">
        <v>166</v>
      </c>
    </row>
    <row r="101" spans="1:17" ht="14.4" customHeight="1" x14ac:dyDescent="0.3">
      <c r="A101" s="679" t="s">
        <v>2958</v>
      </c>
      <c r="B101" s="670" t="s">
        <v>2959</v>
      </c>
      <c r="C101" s="670" t="s">
        <v>2234</v>
      </c>
      <c r="D101" s="670" t="s">
        <v>3102</v>
      </c>
      <c r="E101" s="670" t="s">
        <v>3103</v>
      </c>
      <c r="F101" s="238"/>
      <c r="G101" s="238"/>
      <c r="H101" s="238"/>
      <c r="I101" s="238"/>
      <c r="J101" s="238">
        <v>1</v>
      </c>
      <c r="K101" s="238">
        <v>127</v>
      </c>
      <c r="L101" s="238"/>
      <c r="M101" s="238">
        <v>127</v>
      </c>
      <c r="N101" s="238"/>
      <c r="O101" s="238"/>
      <c r="P101" s="681"/>
      <c r="Q101" s="712"/>
    </row>
    <row r="102" spans="1:17" ht="14.4" customHeight="1" x14ac:dyDescent="0.3">
      <c r="A102" s="679" t="s">
        <v>2958</v>
      </c>
      <c r="B102" s="670" t="s">
        <v>2959</v>
      </c>
      <c r="C102" s="670" t="s">
        <v>2234</v>
      </c>
      <c r="D102" s="670" t="s">
        <v>3104</v>
      </c>
      <c r="E102" s="670" t="s">
        <v>3105</v>
      </c>
      <c r="F102" s="238"/>
      <c r="G102" s="238"/>
      <c r="H102" s="238"/>
      <c r="I102" s="238"/>
      <c r="J102" s="238">
        <v>1</v>
      </c>
      <c r="K102" s="238">
        <v>23</v>
      </c>
      <c r="L102" s="238"/>
      <c r="M102" s="238">
        <v>23</v>
      </c>
      <c r="N102" s="238">
        <v>1</v>
      </c>
      <c r="O102" s="238">
        <v>23</v>
      </c>
      <c r="P102" s="681"/>
      <c r="Q102" s="712">
        <v>23</v>
      </c>
    </row>
    <row r="103" spans="1:17" ht="14.4" customHeight="1" x14ac:dyDescent="0.3">
      <c r="A103" s="679" t="s">
        <v>2958</v>
      </c>
      <c r="B103" s="670" t="s">
        <v>2959</v>
      </c>
      <c r="C103" s="670" t="s">
        <v>2234</v>
      </c>
      <c r="D103" s="670" t="s">
        <v>3106</v>
      </c>
      <c r="E103" s="670" t="s">
        <v>3107</v>
      </c>
      <c r="F103" s="238">
        <v>2</v>
      </c>
      <c r="G103" s="238">
        <v>582</v>
      </c>
      <c r="H103" s="238">
        <v>1</v>
      </c>
      <c r="I103" s="238">
        <v>291</v>
      </c>
      <c r="J103" s="238"/>
      <c r="K103" s="238"/>
      <c r="L103" s="238"/>
      <c r="M103" s="238"/>
      <c r="N103" s="238"/>
      <c r="O103" s="238"/>
      <c r="P103" s="681"/>
      <c r="Q103" s="712"/>
    </row>
    <row r="104" spans="1:17" ht="14.4" customHeight="1" x14ac:dyDescent="0.3">
      <c r="A104" s="679" t="s">
        <v>2958</v>
      </c>
      <c r="B104" s="670" t="s">
        <v>2959</v>
      </c>
      <c r="C104" s="670" t="s">
        <v>2234</v>
      </c>
      <c r="D104" s="670" t="s">
        <v>3108</v>
      </c>
      <c r="E104" s="670" t="s">
        <v>3109</v>
      </c>
      <c r="F104" s="238">
        <v>1</v>
      </c>
      <c r="G104" s="238">
        <v>45</v>
      </c>
      <c r="H104" s="238">
        <v>1</v>
      </c>
      <c r="I104" s="238">
        <v>45</v>
      </c>
      <c r="J104" s="238"/>
      <c r="K104" s="238"/>
      <c r="L104" s="238"/>
      <c r="M104" s="238"/>
      <c r="N104" s="238"/>
      <c r="O104" s="238"/>
      <c r="P104" s="681"/>
      <c r="Q104" s="712"/>
    </row>
    <row r="105" spans="1:17" ht="14.4" customHeight="1" x14ac:dyDescent="0.3">
      <c r="A105" s="679" t="s">
        <v>2958</v>
      </c>
      <c r="B105" s="670" t="s">
        <v>2959</v>
      </c>
      <c r="C105" s="670" t="s">
        <v>2234</v>
      </c>
      <c r="D105" s="670" t="s">
        <v>3110</v>
      </c>
      <c r="E105" s="670" t="s">
        <v>3111</v>
      </c>
      <c r="F105" s="238"/>
      <c r="G105" s="238"/>
      <c r="H105" s="238"/>
      <c r="I105" s="238"/>
      <c r="J105" s="238"/>
      <c r="K105" s="238"/>
      <c r="L105" s="238"/>
      <c r="M105" s="238"/>
      <c r="N105" s="238">
        <v>41</v>
      </c>
      <c r="O105" s="238">
        <v>1886</v>
      </c>
      <c r="P105" s="681"/>
      <c r="Q105" s="712">
        <v>46</v>
      </c>
    </row>
    <row r="106" spans="1:17" ht="14.4" customHeight="1" x14ac:dyDescent="0.3">
      <c r="A106" s="679" t="s">
        <v>2958</v>
      </c>
      <c r="B106" s="670" t="s">
        <v>2959</v>
      </c>
      <c r="C106" s="670" t="s">
        <v>2234</v>
      </c>
      <c r="D106" s="670" t="s">
        <v>3112</v>
      </c>
      <c r="E106" s="670" t="s">
        <v>3113</v>
      </c>
      <c r="F106" s="238"/>
      <c r="G106" s="238"/>
      <c r="H106" s="238"/>
      <c r="I106" s="238"/>
      <c r="J106" s="238">
        <v>1</v>
      </c>
      <c r="K106" s="238">
        <v>308</v>
      </c>
      <c r="L106" s="238"/>
      <c r="M106" s="238">
        <v>308</v>
      </c>
      <c r="N106" s="238"/>
      <c r="O106" s="238"/>
      <c r="P106" s="681"/>
      <c r="Q106" s="712"/>
    </row>
    <row r="107" spans="1:17" ht="14.4" customHeight="1" x14ac:dyDescent="0.3">
      <c r="A107" s="679" t="s">
        <v>2958</v>
      </c>
      <c r="B107" s="670" t="s">
        <v>2959</v>
      </c>
      <c r="C107" s="670" t="s">
        <v>2234</v>
      </c>
      <c r="D107" s="670" t="s">
        <v>3114</v>
      </c>
      <c r="E107" s="670" t="s">
        <v>3115</v>
      </c>
      <c r="F107" s="238"/>
      <c r="G107" s="238"/>
      <c r="H107" s="238"/>
      <c r="I107" s="238"/>
      <c r="J107" s="238">
        <v>1</v>
      </c>
      <c r="K107" s="238">
        <v>528</v>
      </c>
      <c r="L107" s="238"/>
      <c r="M107" s="238">
        <v>528</v>
      </c>
      <c r="N107" s="238"/>
      <c r="O107" s="238"/>
      <c r="P107" s="681"/>
      <c r="Q107" s="712"/>
    </row>
    <row r="108" spans="1:17" ht="14.4" customHeight="1" x14ac:dyDescent="0.3">
      <c r="A108" s="679" t="s">
        <v>2958</v>
      </c>
      <c r="B108" s="670" t="s">
        <v>2959</v>
      </c>
      <c r="C108" s="670" t="s">
        <v>2234</v>
      </c>
      <c r="D108" s="670" t="s">
        <v>3116</v>
      </c>
      <c r="E108" s="670" t="s">
        <v>3117</v>
      </c>
      <c r="F108" s="238">
        <v>1</v>
      </c>
      <c r="G108" s="238">
        <v>136</v>
      </c>
      <c r="H108" s="238">
        <v>1</v>
      </c>
      <c r="I108" s="238">
        <v>136</v>
      </c>
      <c r="J108" s="238"/>
      <c r="K108" s="238"/>
      <c r="L108" s="238"/>
      <c r="M108" s="238"/>
      <c r="N108" s="238"/>
      <c r="O108" s="238"/>
      <c r="P108" s="681"/>
      <c r="Q108" s="712"/>
    </row>
    <row r="109" spans="1:17" ht="14.4" customHeight="1" x14ac:dyDescent="0.3">
      <c r="A109" s="679" t="s">
        <v>2958</v>
      </c>
      <c r="B109" s="670" t="s">
        <v>2959</v>
      </c>
      <c r="C109" s="670" t="s">
        <v>2234</v>
      </c>
      <c r="D109" s="670" t="s">
        <v>3118</v>
      </c>
      <c r="E109" s="670" t="s">
        <v>3119</v>
      </c>
      <c r="F109" s="238">
        <v>1</v>
      </c>
      <c r="G109" s="238">
        <v>7</v>
      </c>
      <c r="H109" s="238">
        <v>1</v>
      </c>
      <c r="I109" s="238">
        <v>7</v>
      </c>
      <c r="J109" s="238"/>
      <c r="K109" s="238"/>
      <c r="L109" s="238"/>
      <c r="M109" s="238"/>
      <c r="N109" s="238"/>
      <c r="O109" s="238"/>
      <c r="P109" s="681"/>
      <c r="Q109" s="712"/>
    </row>
    <row r="110" spans="1:17" ht="14.4" customHeight="1" x14ac:dyDescent="0.3">
      <c r="A110" s="679" t="s">
        <v>2958</v>
      </c>
      <c r="B110" s="670" t="s">
        <v>2959</v>
      </c>
      <c r="C110" s="670" t="s">
        <v>2234</v>
      </c>
      <c r="D110" s="670" t="s">
        <v>3120</v>
      </c>
      <c r="E110" s="670" t="s">
        <v>3121</v>
      </c>
      <c r="F110" s="238"/>
      <c r="G110" s="238"/>
      <c r="H110" s="238"/>
      <c r="I110" s="238"/>
      <c r="J110" s="238">
        <v>1</v>
      </c>
      <c r="K110" s="238">
        <v>30</v>
      </c>
      <c r="L110" s="238"/>
      <c r="M110" s="238">
        <v>30</v>
      </c>
      <c r="N110" s="238"/>
      <c r="O110" s="238"/>
      <c r="P110" s="681"/>
      <c r="Q110" s="712"/>
    </row>
    <row r="111" spans="1:17" ht="14.4" customHeight="1" x14ac:dyDescent="0.3">
      <c r="A111" s="679" t="s">
        <v>2958</v>
      </c>
      <c r="B111" s="670" t="s">
        <v>2959</v>
      </c>
      <c r="C111" s="670" t="s">
        <v>2234</v>
      </c>
      <c r="D111" s="670" t="s">
        <v>3122</v>
      </c>
      <c r="E111" s="670" t="s">
        <v>3123</v>
      </c>
      <c r="F111" s="238">
        <v>1</v>
      </c>
      <c r="G111" s="238">
        <v>26</v>
      </c>
      <c r="H111" s="238">
        <v>1</v>
      </c>
      <c r="I111" s="238">
        <v>26</v>
      </c>
      <c r="J111" s="238"/>
      <c r="K111" s="238"/>
      <c r="L111" s="238"/>
      <c r="M111" s="238"/>
      <c r="N111" s="238"/>
      <c r="O111" s="238"/>
      <c r="P111" s="681"/>
      <c r="Q111" s="712"/>
    </row>
    <row r="112" spans="1:17" ht="14.4" customHeight="1" x14ac:dyDescent="0.3">
      <c r="A112" s="679" t="s">
        <v>2958</v>
      </c>
      <c r="B112" s="670" t="s">
        <v>2959</v>
      </c>
      <c r="C112" s="670" t="s">
        <v>2234</v>
      </c>
      <c r="D112" s="670" t="s">
        <v>3124</v>
      </c>
      <c r="E112" s="670" t="s">
        <v>3125</v>
      </c>
      <c r="F112" s="238"/>
      <c r="G112" s="238"/>
      <c r="H112" s="238"/>
      <c r="I112" s="238"/>
      <c r="J112" s="238">
        <v>1</v>
      </c>
      <c r="K112" s="238">
        <v>355</v>
      </c>
      <c r="L112" s="238"/>
      <c r="M112" s="238">
        <v>355</v>
      </c>
      <c r="N112" s="238"/>
      <c r="O112" s="238"/>
      <c r="P112" s="681"/>
      <c r="Q112" s="712"/>
    </row>
    <row r="113" spans="1:17" ht="14.4" customHeight="1" x14ac:dyDescent="0.3">
      <c r="A113" s="679" t="s">
        <v>2958</v>
      </c>
      <c r="B113" s="670" t="s">
        <v>2959</v>
      </c>
      <c r="C113" s="670" t="s">
        <v>2234</v>
      </c>
      <c r="D113" s="670" t="s">
        <v>3126</v>
      </c>
      <c r="E113" s="670" t="s">
        <v>3127</v>
      </c>
      <c r="F113" s="238"/>
      <c r="G113" s="238"/>
      <c r="H113" s="238"/>
      <c r="I113" s="238"/>
      <c r="J113" s="238">
        <v>1</v>
      </c>
      <c r="K113" s="238">
        <v>1752</v>
      </c>
      <c r="L113" s="238"/>
      <c r="M113" s="238">
        <v>1752</v>
      </c>
      <c r="N113" s="238"/>
      <c r="O113" s="238"/>
      <c r="P113" s="681"/>
      <c r="Q113" s="712"/>
    </row>
    <row r="114" spans="1:17" ht="14.4" customHeight="1" x14ac:dyDescent="0.3">
      <c r="A114" s="679" t="s">
        <v>2958</v>
      </c>
      <c r="B114" s="670" t="s">
        <v>2959</v>
      </c>
      <c r="C114" s="670" t="s">
        <v>2234</v>
      </c>
      <c r="D114" s="670" t="s">
        <v>3128</v>
      </c>
      <c r="E114" s="670" t="s">
        <v>3129</v>
      </c>
      <c r="F114" s="238"/>
      <c r="G114" s="238"/>
      <c r="H114" s="238"/>
      <c r="I114" s="238"/>
      <c r="J114" s="238"/>
      <c r="K114" s="238"/>
      <c r="L114" s="238"/>
      <c r="M114" s="238"/>
      <c r="N114" s="238">
        <v>1</v>
      </c>
      <c r="O114" s="238">
        <v>405</v>
      </c>
      <c r="P114" s="681"/>
      <c r="Q114" s="712">
        <v>405</v>
      </c>
    </row>
    <row r="115" spans="1:17" ht="14.4" customHeight="1" x14ac:dyDescent="0.3">
      <c r="A115" s="679" t="s">
        <v>3130</v>
      </c>
      <c r="B115" s="670" t="s">
        <v>2792</v>
      </c>
      <c r="C115" s="670" t="s">
        <v>2231</v>
      </c>
      <c r="D115" s="670" t="s">
        <v>3131</v>
      </c>
      <c r="E115" s="670" t="s">
        <v>3132</v>
      </c>
      <c r="F115" s="238"/>
      <c r="G115" s="238"/>
      <c r="H115" s="238"/>
      <c r="I115" s="238"/>
      <c r="J115" s="238">
        <v>4</v>
      </c>
      <c r="K115" s="238">
        <v>3993.66</v>
      </c>
      <c r="L115" s="238"/>
      <c r="M115" s="238">
        <v>998.41499999999996</v>
      </c>
      <c r="N115" s="238"/>
      <c r="O115" s="238"/>
      <c r="P115" s="681"/>
      <c r="Q115" s="712"/>
    </row>
    <row r="116" spans="1:17" ht="14.4" customHeight="1" x14ac:dyDescent="0.3">
      <c r="A116" s="679" t="s">
        <v>3130</v>
      </c>
      <c r="B116" s="670" t="s">
        <v>2792</v>
      </c>
      <c r="C116" s="670" t="s">
        <v>2231</v>
      </c>
      <c r="D116" s="670" t="s">
        <v>3133</v>
      </c>
      <c r="E116" s="670" t="s">
        <v>3132</v>
      </c>
      <c r="F116" s="238">
        <v>3</v>
      </c>
      <c r="G116" s="238">
        <v>5948.64</v>
      </c>
      <c r="H116" s="238">
        <v>1</v>
      </c>
      <c r="I116" s="238">
        <v>1982.88</v>
      </c>
      <c r="J116" s="238">
        <v>0.5</v>
      </c>
      <c r="K116" s="238">
        <v>1000.13</v>
      </c>
      <c r="L116" s="238">
        <v>0.16812750477420049</v>
      </c>
      <c r="M116" s="238">
        <v>2000.26</v>
      </c>
      <c r="N116" s="238">
        <v>0.5</v>
      </c>
      <c r="O116" s="238">
        <v>1000.13</v>
      </c>
      <c r="P116" s="681">
        <v>0.16812750477420049</v>
      </c>
      <c r="Q116" s="712">
        <v>2000.26</v>
      </c>
    </row>
    <row r="117" spans="1:17" ht="14.4" customHeight="1" x14ac:dyDescent="0.3">
      <c r="A117" s="679" t="s">
        <v>3130</v>
      </c>
      <c r="B117" s="670" t="s">
        <v>2792</v>
      </c>
      <c r="C117" s="670" t="s">
        <v>2231</v>
      </c>
      <c r="D117" s="670" t="s">
        <v>3134</v>
      </c>
      <c r="E117" s="670" t="s">
        <v>3135</v>
      </c>
      <c r="F117" s="238">
        <v>3.1799999999999997</v>
      </c>
      <c r="G117" s="238">
        <v>8413.42</v>
      </c>
      <c r="H117" s="238">
        <v>1</v>
      </c>
      <c r="I117" s="238">
        <v>2645.7295597484281</v>
      </c>
      <c r="J117" s="238">
        <v>0.33</v>
      </c>
      <c r="K117" s="238">
        <v>873.91</v>
      </c>
      <c r="L117" s="238">
        <v>0.10387095854004673</v>
      </c>
      <c r="M117" s="238">
        <v>2648.212121212121</v>
      </c>
      <c r="N117" s="238">
        <v>2.6500000000000004</v>
      </c>
      <c r="O117" s="238">
        <v>7079.35</v>
      </c>
      <c r="P117" s="681">
        <v>0.84143546857282769</v>
      </c>
      <c r="Q117" s="712">
        <v>2671.4528301886789</v>
      </c>
    </row>
    <row r="118" spans="1:17" ht="14.4" customHeight="1" x14ac:dyDescent="0.3">
      <c r="A118" s="679" t="s">
        <v>3130</v>
      </c>
      <c r="B118" s="670" t="s">
        <v>2792</v>
      </c>
      <c r="C118" s="670" t="s">
        <v>2231</v>
      </c>
      <c r="D118" s="670" t="s">
        <v>3136</v>
      </c>
      <c r="E118" s="670" t="s">
        <v>3135</v>
      </c>
      <c r="F118" s="238">
        <v>0.2</v>
      </c>
      <c r="G118" s="238">
        <v>1324.11</v>
      </c>
      <c r="H118" s="238">
        <v>1</v>
      </c>
      <c r="I118" s="238">
        <v>6620.5499999999993</v>
      </c>
      <c r="J118" s="238">
        <v>0.8</v>
      </c>
      <c r="K118" s="238">
        <v>5342.88</v>
      </c>
      <c r="L118" s="238">
        <v>4.035072614812969</v>
      </c>
      <c r="M118" s="238">
        <v>6678.5999999999995</v>
      </c>
      <c r="N118" s="238">
        <v>2.4</v>
      </c>
      <c r="O118" s="238">
        <v>16028.640000000001</v>
      </c>
      <c r="P118" s="681">
        <v>12.105217844438908</v>
      </c>
      <c r="Q118" s="712">
        <v>6678.6</v>
      </c>
    </row>
    <row r="119" spans="1:17" ht="14.4" customHeight="1" x14ac:dyDescent="0.3">
      <c r="A119" s="679" t="s">
        <v>3130</v>
      </c>
      <c r="B119" s="670" t="s">
        <v>2792</v>
      </c>
      <c r="C119" s="670" t="s">
        <v>2231</v>
      </c>
      <c r="D119" s="670" t="s">
        <v>3137</v>
      </c>
      <c r="E119" s="670" t="s">
        <v>3138</v>
      </c>
      <c r="F119" s="238">
        <v>0.8</v>
      </c>
      <c r="G119" s="238">
        <v>1239.8599999999999</v>
      </c>
      <c r="H119" s="238">
        <v>1</v>
      </c>
      <c r="I119" s="238">
        <v>1549.8249999999998</v>
      </c>
      <c r="J119" s="238">
        <v>2</v>
      </c>
      <c r="K119" s="238">
        <v>1978.04</v>
      </c>
      <c r="L119" s="238">
        <v>1.5953736712209443</v>
      </c>
      <c r="M119" s="238">
        <v>989.02</v>
      </c>
      <c r="N119" s="238"/>
      <c r="O119" s="238"/>
      <c r="P119" s="681"/>
      <c r="Q119" s="712"/>
    </row>
    <row r="120" spans="1:17" ht="14.4" customHeight="1" x14ac:dyDescent="0.3">
      <c r="A120" s="679" t="s">
        <v>3130</v>
      </c>
      <c r="B120" s="670" t="s">
        <v>2792</v>
      </c>
      <c r="C120" s="670" t="s">
        <v>2231</v>
      </c>
      <c r="D120" s="670" t="s">
        <v>3139</v>
      </c>
      <c r="E120" s="670" t="s">
        <v>3140</v>
      </c>
      <c r="F120" s="238">
        <v>0.53</v>
      </c>
      <c r="G120" s="238">
        <v>6836.9400000000005</v>
      </c>
      <c r="H120" s="238">
        <v>1</v>
      </c>
      <c r="I120" s="238">
        <v>12899.886792452831</v>
      </c>
      <c r="J120" s="238">
        <v>1.08</v>
      </c>
      <c r="K120" s="238">
        <v>11164.36</v>
      </c>
      <c r="L120" s="238">
        <v>1.6329469031467294</v>
      </c>
      <c r="M120" s="238">
        <v>10337.37037037037</v>
      </c>
      <c r="N120" s="238">
        <v>1.43</v>
      </c>
      <c r="O120" s="238">
        <v>14782.490000000002</v>
      </c>
      <c r="P120" s="681">
        <v>2.1621500261813034</v>
      </c>
      <c r="Q120" s="712">
        <v>10337.405594405596</v>
      </c>
    </row>
    <row r="121" spans="1:17" ht="14.4" customHeight="1" x14ac:dyDescent="0.3">
      <c r="A121" s="679" t="s">
        <v>3130</v>
      </c>
      <c r="B121" s="670" t="s">
        <v>2792</v>
      </c>
      <c r="C121" s="670" t="s">
        <v>2231</v>
      </c>
      <c r="D121" s="670" t="s">
        <v>3141</v>
      </c>
      <c r="E121" s="670" t="s">
        <v>3142</v>
      </c>
      <c r="F121" s="238">
        <v>5.5</v>
      </c>
      <c r="G121" s="238">
        <v>5317.07</v>
      </c>
      <c r="H121" s="238">
        <v>1</v>
      </c>
      <c r="I121" s="238">
        <v>966.7399999999999</v>
      </c>
      <c r="J121" s="238">
        <v>10.5</v>
      </c>
      <c r="K121" s="238">
        <v>10239.81</v>
      </c>
      <c r="L121" s="238">
        <v>1.9258369741229662</v>
      </c>
      <c r="M121" s="238">
        <v>975.21999999999991</v>
      </c>
      <c r="N121" s="238">
        <v>7.5</v>
      </c>
      <c r="O121" s="238">
        <v>7314.15</v>
      </c>
      <c r="P121" s="681">
        <v>1.3755978386592616</v>
      </c>
      <c r="Q121" s="712">
        <v>975.21999999999991</v>
      </c>
    </row>
    <row r="122" spans="1:17" ht="14.4" customHeight="1" x14ac:dyDescent="0.3">
      <c r="A122" s="679" t="s">
        <v>3130</v>
      </c>
      <c r="B122" s="670" t="s">
        <v>2792</v>
      </c>
      <c r="C122" s="670" t="s">
        <v>2231</v>
      </c>
      <c r="D122" s="670" t="s">
        <v>3143</v>
      </c>
      <c r="E122" s="670" t="s">
        <v>3144</v>
      </c>
      <c r="F122" s="238">
        <v>0.99</v>
      </c>
      <c r="G122" s="238">
        <v>10592.419999999998</v>
      </c>
      <c r="H122" s="238">
        <v>1</v>
      </c>
      <c r="I122" s="238">
        <v>10699.41414141414</v>
      </c>
      <c r="J122" s="238">
        <v>1.6500000000000001</v>
      </c>
      <c r="K122" s="238">
        <v>18002.5</v>
      </c>
      <c r="L122" s="238">
        <v>1.6995644054899639</v>
      </c>
      <c r="M122" s="238">
        <v>10910.60606060606</v>
      </c>
      <c r="N122" s="238">
        <v>1.49</v>
      </c>
      <c r="O122" s="238">
        <v>16218.5</v>
      </c>
      <c r="P122" s="681">
        <v>1.5311420808464924</v>
      </c>
      <c r="Q122" s="712">
        <v>10884.899328859061</v>
      </c>
    </row>
    <row r="123" spans="1:17" ht="14.4" customHeight="1" x14ac:dyDescent="0.3">
      <c r="A123" s="679" t="s">
        <v>3130</v>
      </c>
      <c r="B123" s="670" t="s">
        <v>2792</v>
      </c>
      <c r="C123" s="670" t="s">
        <v>2341</v>
      </c>
      <c r="D123" s="670" t="s">
        <v>3145</v>
      </c>
      <c r="E123" s="670" t="s">
        <v>3146</v>
      </c>
      <c r="F123" s="238"/>
      <c r="G123" s="238"/>
      <c r="H123" s="238"/>
      <c r="I123" s="238"/>
      <c r="J123" s="238"/>
      <c r="K123" s="238"/>
      <c r="L123" s="238"/>
      <c r="M123" s="238"/>
      <c r="N123" s="238">
        <v>1</v>
      </c>
      <c r="O123" s="238">
        <v>1408.42</v>
      </c>
      <c r="P123" s="681"/>
      <c r="Q123" s="712">
        <v>1408.42</v>
      </c>
    </row>
    <row r="124" spans="1:17" ht="14.4" customHeight="1" x14ac:dyDescent="0.3">
      <c r="A124" s="679" t="s">
        <v>3130</v>
      </c>
      <c r="B124" s="670" t="s">
        <v>2792</v>
      </c>
      <c r="C124" s="670" t="s">
        <v>2341</v>
      </c>
      <c r="D124" s="670" t="s">
        <v>3147</v>
      </c>
      <c r="E124" s="670" t="s">
        <v>3146</v>
      </c>
      <c r="F124" s="238">
        <v>1</v>
      </c>
      <c r="G124" s="238">
        <v>1647.4</v>
      </c>
      <c r="H124" s="238">
        <v>1</v>
      </c>
      <c r="I124" s="238">
        <v>1647.4</v>
      </c>
      <c r="J124" s="238"/>
      <c r="K124" s="238"/>
      <c r="L124" s="238"/>
      <c r="M124" s="238"/>
      <c r="N124" s="238"/>
      <c r="O124" s="238"/>
      <c r="P124" s="681"/>
      <c r="Q124" s="712"/>
    </row>
    <row r="125" spans="1:17" ht="14.4" customHeight="1" x14ac:dyDescent="0.3">
      <c r="A125" s="679" t="s">
        <v>3130</v>
      </c>
      <c r="B125" s="670" t="s">
        <v>2792</v>
      </c>
      <c r="C125" s="670" t="s">
        <v>2341</v>
      </c>
      <c r="D125" s="670" t="s">
        <v>3148</v>
      </c>
      <c r="E125" s="670" t="s">
        <v>3146</v>
      </c>
      <c r="F125" s="238">
        <v>2</v>
      </c>
      <c r="G125" s="238">
        <v>3987.6</v>
      </c>
      <c r="H125" s="238">
        <v>1</v>
      </c>
      <c r="I125" s="238">
        <v>1993.8</v>
      </c>
      <c r="J125" s="238">
        <v>8</v>
      </c>
      <c r="K125" s="238">
        <v>16530.400000000001</v>
      </c>
      <c r="L125" s="238">
        <v>4.1454508977831281</v>
      </c>
      <c r="M125" s="238">
        <v>2066.3000000000002</v>
      </c>
      <c r="N125" s="238">
        <v>8</v>
      </c>
      <c r="O125" s="238">
        <v>16530.400000000001</v>
      </c>
      <c r="P125" s="681">
        <v>4.1454508977831281</v>
      </c>
      <c r="Q125" s="712">
        <v>2066.3000000000002</v>
      </c>
    </row>
    <row r="126" spans="1:17" ht="14.4" customHeight="1" x14ac:dyDescent="0.3">
      <c r="A126" s="679" t="s">
        <v>3130</v>
      </c>
      <c r="B126" s="670" t="s">
        <v>2792</v>
      </c>
      <c r="C126" s="670" t="s">
        <v>2341</v>
      </c>
      <c r="D126" s="670" t="s">
        <v>3149</v>
      </c>
      <c r="E126" s="670" t="s">
        <v>3150</v>
      </c>
      <c r="F126" s="238"/>
      <c r="G126" s="238"/>
      <c r="H126" s="238"/>
      <c r="I126" s="238"/>
      <c r="J126" s="238">
        <v>1</v>
      </c>
      <c r="K126" s="238">
        <v>1932.09</v>
      </c>
      <c r="L126" s="238"/>
      <c r="M126" s="238">
        <v>1932.09</v>
      </c>
      <c r="N126" s="238">
        <v>1</v>
      </c>
      <c r="O126" s="238">
        <v>1932.09</v>
      </c>
      <c r="P126" s="681"/>
      <c r="Q126" s="712">
        <v>1932.09</v>
      </c>
    </row>
    <row r="127" spans="1:17" ht="14.4" customHeight="1" x14ac:dyDescent="0.3">
      <c r="A127" s="679" t="s">
        <v>3130</v>
      </c>
      <c r="B127" s="670" t="s">
        <v>2792</v>
      </c>
      <c r="C127" s="670" t="s">
        <v>2341</v>
      </c>
      <c r="D127" s="670" t="s">
        <v>3151</v>
      </c>
      <c r="E127" s="670" t="s">
        <v>3152</v>
      </c>
      <c r="F127" s="238">
        <v>3</v>
      </c>
      <c r="G127" s="238">
        <v>2975.1000000000004</v>
      </c>
      <c r="H127" s="238">
        <v>1</v>
      </c>
      <c r="I127" s="238">
        <v>991.70000000000016</v>
      </c>
      <c r="J127" s="238">
        <v>9</v>
      </c>
      <c r="K127" s="238">
        <v>9249.84</v>
      </c>
      <c r="L127" s="238">
        <v>3.1090854088938182</v>
      </c>
      <c r="M127" s="238">
        <v>1027.76</v>
      </c>
      <c r="N127" s="238">
        <v>8</v>
      </c>
      <c r="O127" s="238">
        <v>8222.08</v>
      </c>
      <c r="P127" s="681">
        <v>2.763631474572283</v>
      </c>
      <c r="Q127" s="712">
        <v>1027.76</v>
      </c>
    </row>
    <row r="128" spans="1:17" ht="14.4" customHeight="1" x14ac:dyDescent="0.3">
      <c r="A128" s="679" t="s">
        <v>3130</v>
      </c>
      <c r="B128" s="670" t="s">
        <v>2792</v>
      </c>
      <c r="C128" s="670" t="s">
        <v>2341</v>
      </c>
      <c r="D128" s="670" t="s">
        <v>3153</v>
      </c>
      <c r="E128" s="670" t="s">
        <v>3154</v>
      </c>
      <c r="F128" s="238">
        <v>2</v>
      </c>
      <c r="G128" s="238">
        <v>34700</v>
      </c>
      <c r="H128" s="238">
        <v>1</v>
      </c>
      <c r="I128" s="238">
        <v>17350</v>
      </c>
      <c r="J128" s="238">
        <v>2</v>
      </c>
      <c r="K128" s="238">
        <v>34700</v>
      </c>
      <c r="L128" s="238">
        <v>1</v>
      </c>
      <c r="M128" s="238">
        <v>17350</v>
      </c>
      <c r="N128" s="238">
        <v>5</v>
      </c>
      <c r="O128" s="238">
        <v>86750</v>
      </c>
      <c r="P128" s="681">
        <v>2.5</v>
      </c>
      <c r="Q128" s="712">
        <v>17350</v>
      </c>
    </row>
    <row r="129" spans="1:17" ht="14.4" customHeight="1" x14ac:dyDescent="0.3">
      <c r="A129" s="679" t="s">
        <v>3130</v>
      </c>
      <c r="B129" s="670" t="s">
        <v>2792</v>
      </c>
      <c r="C129" s="670" t="s">
        <v>2341</v>
      </c>
      <c r="D129" s="670" t="s">
        <v>3155</v>
      </c>
      <c r="E129" s="670" t="s">
        <v>3156</v>
      </c>
      <c r="F129" s="238"/>
      <c r="G129" s="238"/>
      <c r="H129" s="238"/>
      <c r="I129" s="238"/>
      <c r="J129" s="238">
        <v>1</v>
      </c>
      <c r="K129" s="238">
        <v>3314.29</v>
      </c>
      <c r="L129" s="238"/>
      <c r="M129" s="238">
        <v>3314.29</v>
      </c>
      <c r="N129" s="238">
        <v>5</v>
      </c>
      <c r="O129" s="238">
        <v>16571.449999999997</v>
      </c>
      <c r="P129" s="681"/>
      <c r="Q129" s="712">
        <v>3314.2899999999995</v>
      </c>
    </row>
    <row r="130" spans="1:17" ht="14.4" customHeight="1" x14ac:dyDescent="0.3">
      <c r="A130" s="679" t="s">
        <v>3130</v>
      </c>
      <c r="B130" s="670" t="s">
        <v>2792</v>
      </c>
      <c r="C130" s="670" t="s">
        <v>2341</v>
      </c>
      <c r="D130" s="670" t="s">
        <v>3157</v>
      </c>
      <c r="E130" s="670" t="s">
        <v>3158</v>
      </c>
      <c r="F130" s="238"/>
      <c r="G130" s="238"/>
      <c r="H130" s="238"/>
      <c r="I130" s="238"/>
      <c r="J130" s="238">
        <v>3</v>
      </c>
      <c r="K130" s="238">
        <v>35316</v>
      </c>
      <c r="L130" s="238"/>
      <c r="M130" s="238">
        <v>11772</v>
      </c>
      <c r="N130" s="238">
        <v>3</v>
      </c>
      <c r="O130" s="238">
        <v>35316</v>
      </c>
      <c r="P130" s="681"/>
      <c r="Q130" s="712">
        <v>11772</v>
      </c>
    </row>
    <row r="131" spans="1:17" ht="14.4" customHeight="1" x14ac:dyDescent="0.3">
      <c r="A131" s="679" t="s">
        <v>3130</v>
      </c>
      <c r="B131" s="670" t="s">
        <v>2792</v>
      </c>
      <c r="C131" s="670" t="s">
        <v>2341</v>
      </c>
      <c r="D131" s="670" t="s">
        <v>3159</v>
      </c>
      <c r="E131" s="670" t="s">
        <v>3160</v>
      </c>
      <c r="F131" s="238"/>
      <c r="G131" s="238"/>
      <c r="H131" s="238"/>
      <c r="I131" s="238"/>
      <c r="J131" s="238"/>
      <c r="K131" s="238"/>
      <c r="L131" s="238"/>
      <c r="M131" s="238"/>
      <c r="N131" s="238">
        <v>1</v>
      </c>
      <c r="O131" s="238">
        <v>2236.5</v>
      </c>
      <c r="P131" s="681"/>
      <c r="Q131" s="712">
        <v>2236.5</v>
      </c>
    </row>
    <row r="132" spans="1:17" ht="14.4" customHeight="1" x14ac:dyDescent="0.3">
      <c r="A132" s="679" t="s">
        <v>3130</v>
      </c>
      <c r="B132" s="670" t="s">
        <v>2792</v>
      </c>
      <c r="C132" s="670" t="s">
        <v>2341</v>
      </c>
      <c r="D132" s="670" t="s">
        <v>3161</v>
      </c>
      <c r="E132" s="670" t="s">
        <v>3162</v>
      </c>
      <c r="F132" s="238"/>
      <c r="G132" s="238"/>
      <c r="H132" s="238"/>
      <c r="I132" s="238"/>
      <c r="J132" s="238">
        <v>1</v>
      </c>
      <c r="K132" s="238">
        <v>605.65</v>
      </c>
      <c r="L132" s="238"/>
      <c r="M132" s="238">
        <v>605.65</v>
      </c>
      <c r="N132" s="238"/>
      <c r="O132" s="238"/>
      <c r="P132" s="681"/>
      <c r="Q132" s="712"/>
    </row>
    <row r="133" spans="1:17" ht="14.4" customHeight="1" x14ac:dyDescent="0.3">
      <c r="A133" s="679" t="s">
        <v>3130</v>
      </c>
      <c r="B133" s="670" t="s">
        <v>2792</v>
      </c>
      <c r="C133" s="670" t="s">
        <v>2341</v>
      </c>
      <c r="D133" s="670" t="s">
        <v>3163</v>
      </c>
      <c r="E133" s="670" t="s">
        <v>3164</v>
      </c>
      <c r="F133" s="238">
        <v>4</v>
      </c>
      <c r="G133" s="238">
        <v>3208</v>
      </c>
      <c r="H133" s="238">
        <v>1</v>
      </c>
      <c r="I133" s="238">
        <v>802</v>
      </c>
      <c r="J133" s="238">
        <v>10</v>
      </c>
      <c r="K133" s="238">
        <v>8311.6</v>
      </c>
      <c r="L133" s="238">
        <v>2.5908977556109725</v>
      </c>
      <c r="M133" s="238">
        <v>831.16000000000008</v>
      </c>
      <c r="N133" s="238">
        <v>7</v>
      </c>
      <c r="O133" s="238">
        <v>5818.12</v>
      </c>
      <c r="P133" s="681">
        <v>1.8136284289276807</v>
      </c>
      <c r="Q133" s="712">
        <v>831.16</v>
      </c>
    </row>
    <row r="134" spans="1:17" ht="14.4" customHeight="1" x14ac:dyDescent="0.3">
      <c r="A134" s="679" t="s">
        <v>3130</v>
      </c>
      <c r="B134" s="670" t="s">
        <v>2792</v>
      </c>
      <c r="C134" s="670" t="s">
        <v>2341</v>
      </c>
      <c r="D134" s="670" t="s">
        <v>3165</v>
      </c>
      <c r="E134" s="670" t="s">
        <v>3166</v>
      </c>
      <c r="F134" s="238"/>
      <c r="G134" s="238"/>
      <c r="H134" s="238"/>
      <c r="I134" s="238"/>
      <c r="J134" s="238">
        <v>11</v>
      </c>
      <c r="K134" s="238">
        <v>42886.8</v>
      </c>
      <c r="L134" s="238"/>
      <c r="M134" s="238">
        <v>3898.8</v>
      </c>
      <c r="N134" s="238"/>
      <c r="O134" s="238"/>
      <c r="P134" s="681"/>
      <c r="Q134" s="712"/>
    </row>
    <row r="135" spans="1:17" ht="14.4" customHeight="1" x14ac:dyDescent="0.3">
      <c r="A135" s="679" t="s">
        <v>3130</v>
      </c>
      <c r="B135" s="670" t="s">
        <v>2792</v>
      </c>
      <c r="C135" s="670" t="s">
        <v>2341</v>
      </c>
      <c r="D135" s="670" t="s">
        <v>3167</v>
      </c>
      <c r="E135" s="670" t="s">
        <v>3168</v>
      </c>
      <c r="F135" s="238">
        <v>5</v>
      </c>
      <c r="G135" s="238">
        <v>110000</v>
      </c>
      <c r="H135" s="238">
        <v>1</v>
      </c>
      <c r="I135" s="238">
        <v>22000</v>
      </c>
      <c r="J135" s="238">
        <v>9</v>
      </c>
      <c r="K135" s="238">
        <v>198000</v>
      </c>
      <c r="L135" s="238">
        <v>1.8</v>
      </c>
      <c r="M135" s="238">
        <v>22000</v>
      </c>
      <c r="N135" s="238">
        <v>11</v>
      </c>
      <c r="O135" s="238">
        <v>242000</v>
      </c>
      <c r="P135" s="681">
        <v>2.2000000000000002</v>
      </c>
      <c r="Q135" s="712">
        <v>22000</v>
      </c>
    </row>
    <row r="136" spans="1:17" ht="14.4" customHeight="1" x14ac:dyDescent="0.3">
      <c r="A136" s="679" t="s">
        <v>3130</v>
      </c>
      <c r="B136" s="670" t="s">
        <v>2792</v>
      </c>
      <c r="C136" s="670" t="s">
        <v>2341</v>
      </c>
      <c r="D136" s="670" t="s">
        <v>3169</v>
      </c>
      <c r="E136" s="670" t="s">
        <v>3170</v>
      </c>
      <c r="F136" s="238"/>
      <c r="G136" s="238"/>
      <c r="H136" s="238"/>
      <c r="I136" s="238"/>
      <c r="J136" s="238"/>
      <c r="K136" s="238"/>
      <c r="L136" s="238"/>
      <c r="M136" s="238"/>
      <c r="N136" s="238">
        <v>1</v>
      </c>
      <c r="O136" s="238">
        <v>15571.36</v>
      </c>
      <c r="P136" s="681"/>
      <c r="Q136" s="712">
        <v>15571.36</v>
      </c>
    </row>
    <row r="137" spans="1:17" ht="14.4" customHeight="1" x14ac:dyDescent="0.3">
      <c r="A137" s="679" t="s">
        <v>3130</v>
      </c>
      <c r="B137" s="670" t="s">
        <v>2792</v>
      </c>
      <c r="C137" s="670" t="s">
        <v>2341</v>
      </c>
      <c r="D137" s="670" t="s">
        <v>3171</v>
      </c>
      <c r="E137" s="670" t="s">
        <v>3172</v>
      </c>
      <c r="F137" s="238"/>
      <c r="G137" s="238"/>
      <c r="H137" s="238"/>
      <c r="I137" s="238"/>
      <c r="J137" s="238"/>
      <c r="K137" s="238"/>
      <c r="L137" s="238"/>
      <c r="M137" s="238"/>
      <c r="N137" s="238">
        <v>1</v>
      </c>
      <c r="O137" s="238">
        <v>1305.82</v>
      </c>
      <c r="P137" s="681"/>
      <c r="Q137" s="712">
        <v>1305.82</v>
      </c>
    </row>
    <row r="138" spans="1:17" ht="14.4" customHeight="1" x14ac:dyDescent="0.3">
      <c r="A138" s="679" t="s">
        <v>3130</v>
      </c>
      <c r="B138" s="670" t="s">
        <v>2792</v>
      </c>
      <c r="C138" s="670" t="s">
        <v>2341</v>
      </c>
      <c r="D138" s="670" t="s">
        <v>3173</v>
      </c>
      <c r="E138" s="670" t="s">
        <v>3174</v>
      </c>
      <c r="F138" s="238"/>
      <c r="G138" s="238"/>
      <c r="H138" s="238"/>
      <c r="I138" s="238"/>
      <c r="J138" s="238">
        <v>5</v>
      </c>
      <c r="K138" s="238">
        <v>123750</v>
      </c>
      <c r="L138" s="238"/>
      <c r="M138" s="238">
        <v>24750</v>
      </c>
      <c r="N138" s="238">
        <v>6</v>
      </c>
      <c r="O138" s="238">
        <v>148500</v>
      </c>
      <c r="P138" s="681"/>
      <c r="Q138" s="712">
        <v>24750</v>
      </c>
    </row>
    <row r="139" spans="1:17" ht="14.4" customHeight="1" x14ac:dyDescent="0.3">
      <c r="A139" s="679" t="s">
        <v>3130</v>
      </c>
      <c r="B139" s="670" t="s">
        <v>2792</v>
      </c>
      <c r="C139" s="670" t="s">
        <v>2341</v>
      </c>
      <c r="D139" s="670" t="s">
        <v>3175</v>
      </c>
      <c r="E139" s="670" t="s">
        <v>3176</v>
      </c>
      <c r="F139" s="238">
        <v>1</v>
      </c>
      <c r="G139" s="238">
        <v>359.1</v>
      </c>
      <c r="H139" s="238">
        <v>1</v>
      </c>
      <c r="I139" s="238">
        <v>359.1</v>
      </c>
      <c r="J139" s="238">
        <v>4</v>
      </c>
      <c r="K139" s="238">
        <v>1436.4</v>
      </c>
      <c r="L139" s="238">
        <v>4</v>
      </c>
      <c r="M139" s="238">
        <v>359.1</v>
      </c>
      <c r="N139" s="238">
        <v>1</v>
      </c>
      <c r="O139" s="238">
        <v>359.1</v>
      </c>
      <c r="P139" s="681">
        <v>1</v>
      </c>
      <c r="Q139" s="712">
        <v>359.1</v>
      </c>
    </row>
    <row r="140" spans="1:17" ht="14.4" customHeight="1" x14ac:dyDescent="0.3">
      <c r="A140" s="679" t="s">
        <v>3130</v>
      </c>
      <c r="B140" s="670" t="s">
        <v>2792</v>
      </c>
      <c r="C140" s="670" t="s">
        <v>2341</v>
      </c>
      <c r="D140" s="670" t="s">
        <v>3177</v>
      </c>
      <c r="E140" s="670" t="s">
        <v>3178</v>
      </c>
      <c r="F140" s="238">
        <v>1</v>
      </c>
      <c r="G140" s="238">
        <v>565.85</v>
      </c>
      <c r="H140" s="238">
        <v>1</v>
      </c>
      <c r="I140" s="238">
        <v>565.85</v>
      </c>
      <c r="J140" s="238"/>
      <c r="K140" s="238"/>
      <c r="L140" s="238"/>
      <c r="M140" s="238"/>
      <c r="N140" s="238"/>
      <c r="O140" s="238"/>
      <c r="P140" s="681"/>
      <c r="Q140" s="712"/>
    </row>
    <row r="141" spans="1:17" ht="14.4" customHeight="1" x14ac:dyDescent="0.3">
      <c r="A141" s="679" t="s">
        <v>3130</v>
      </c>
      <c r="B141" s="670" t="s">
        <v>2792</v>
      </c>
      <c r="C141" s="670" t="s">
        <v>2341</v>
      </c>
      <c r="D141" s="670" t="s">
        <v>3179</v>
      </c>
      <c r="E141" s="670" t="s">
        <v>3180</v>
      </c>
      <c r="F141" s="238">
        <v>3</v>
      </c>
      <c r="G141" s="238">
        <v>39234</v>
      </c>
      <c r="H141" s="238">
        <v>1</v>
      </c>
      <c r="I141" s="238">
        <v>13078</v>
      </c>
      <c r="J141" s="238">
        <v>6</v>
      </c>
      <c r="K141" s="238">
        <v>78468</v>
      </c>
      <c r="L141" s="238">
        <v>2</v>
      </c>
      <c r="M141" s="238">
        <v>13078</v>
      </c>
      <c r="N141" s="238">
        <v>7</v>
      </c>
      <c r="O141" s="238">
        <v>91546</v>
      </c>
      <c r="P141" s="681">
        <v>2.3333333333333335</v>
      </c>
      <c r="Q141" s="712">
        <v>13078</v>
      </c>
    </row>
    <row r="142" spans="1:17" ht="14.4" customHeight="1" x14ac:dyDescent="0.3">
      <c r="A142" s="679" t="s">
        <v>3130</v>
      </c>
      <c r="B142" s="670" t="s">
        <v>2792</v>
      </c>
      <c r="C142" s="670" t="s">
        <v>2341</v>
      </c>
      <c r="D142" s="670" t="s">
        <v>3181</v>
      </c>
      <c r="E142" s="670" t="s">
        <v>3182</v>
      </c>
      <c r="F142" s="238">
        <v>1</v>
      </c>
      <c r="G142" s="238">
        <v>15987</v>
      </c>
      <c r="H142" s="238">
        <v>1</v>
      </c>
      <c r="I142" s="238">
        <v>15987</v>
      </c>
      <c r="J142" s="238">
        <v>4</v>
      </c>
      <c r="K142" s="238">
        <v>63948</v>
      </c>
      <c r="L142" s="238">
        <v>4</v>
      </c>
      <c r="M142" s="238">
        <v>15987</v>
      </c>
      <c r="N142" s="238">
        <v>7</v>
      </c>
      <c r="O142" s="238">
        <v>111909</v>
      </c>
      <c r="P142" s="681">
        <v>7</v>
      </c>
      <c r="Q142" s="712">
        <v>15987</v>
      </c>
    </row>
    <row r="143" spans="1:17" ht="14.4" customHeight="1" x14ac:dyDescent="0.3">
      <c r="A143" s="679" t="s">
        <v>3130</v>
      </c>
      <c r="B143" s="670" t="s">
        <v>2792</v>
      </c>
      <c r="C143" s="670" t="s">
        <v>2341</v>
      </c>
      <c r="D143" s="670" t="s">
        <v>3183</v>
      </c>
      <c r="E143" s="670" t="s">
        <v>3184</v>
      </c>
      <c r="F143" s="238">
        <v>1</v>
      </c>
      <c r="G143" s="238">
        <v>34960</v>
      </c>
      <c r="H143" s="238">
        <v>1</v>
      </c>
      <c r="I143" s="238">
        <v>34960</v>
      </c>
      <c r="J143" s="238">
        <v>3</v>
      </c>
      <c r="K143" s="238">
        <v>104880</v>
      </c>
      <c r="L143" s="238">
        <v>3</v>
      </c>
      <c r="M143" s="238">
        <v>34960</v>
      </c>
      <c r="N143" s="238">
        <v>8</v>
      </c>
      <c r="O143" s="238">
        <v>279680</v>
      </c>
      <c r="P143" s="681">
        <v>8</v>
      </c>
      <c r="Q143" s="712">
        <v>34960</v>
      </c>
    </row>
    <row r="144" spans="1:17" ht="14.4" customHeight="1" x14ac:dyDescent="0.3">
      <c r="A144" s="679" t="s">
        <v>3130</v>
      </c>
      <c r="B144" s="670" t="s">
        <v>2792</v>
      </c>
      <c r="C144" s="670" t="s">
        <v>2341</v>
      </c>
      <c r="D144" s="670" t="s">
        <v>3185</v>
      </c>
      <c r="E144" s="670" t="s">
        <v>3186</v>
      </c>
      <c r="F144" s="238"/>
      <c r="G144" s="238"/>
      <c r="H144" s="238"/>
      <c r="I144" s="238"/>
      <c r="J144" s="238">
        <v>3</v>
      </c>
      <c r="K144" s="238">
        <v>50495.069999999992</v>
      </c>
      <c r="L144" s="238"/>
      <c r="M144" s="238">
        <v>16831.689999999999</v>
      </c>
      <c r="N144" s="238">
        <v>1</v>
      </c>
      <c r="O144" s="238">
        <v>16831.689999999999</v>
      </c>
      <c r="P144" s="681"/>
      <c r="Q144" s="712">
        <v>16831.689999999999</v>
      </c>
    </row>
    <row r="145" spans="1:17" ht="14.4" customHeight="1" x14ac:dyDescent="0.3">
      <c r="A145" s="679" t="s">
        <v>3130</v>
      </c>
      <c r="B145" s="670" t="s">
        <v>2792</v>
      </c>
      <c r="C145" s="670" t="s">
        <v>2341</v>
      </c>
      <c r="D145" s="670" t="s">
        <v>3187</v>
      </c>
      <c r="E145" s="670" t="s">
        <v>3188</v>
      </c>
      <c r="F145" s="238">
        <v>1</v>
      </c>
      <c r="G145" s="238">
        <v>6356</v>
      </c>
      <c r="H145" s="238">
        <v>1</v>
      </c>
      <c r="I145" s="238">
        <v>6356</v>
      </c>
      <c r="J145" s="238"/>
      <c r="K145" s="238"/>
      <c r="L145" s="238"/>
      <c r="M145" s="238"/>
      <c r="N145" s="238">
        <v>4</v>
      </c>
      <c r="O145" s="238">
        <v>26348.52</v>
      </c>
      <c r="P145" s="681">
        <v>4.1454562617998745</v>
      </c>
      <c r="Q145" s="712">
        <v>6587.13</v>
      </c>
    </row>
    <row r="146" spans="1:17" ht="14.4" customHeight="1" x14ac:dyDescent="0.3">
      <c r="A146" s="679" t="s">
        <v>3130</v>
      </c>
      <c r="B146" s="670" t="s">
        <v>2792</v>
      </c>
      <c r="C146" s="670" t="s">
        <v>2341</v>
      </c>
      <c r="D146" s="670" t="s">
        <v>3189</v>
      </c>
      <c r="E146" s="670" t="s">
        <v>3190</v>
      </c>
      <c r="F146" s="238"/>
      <c r="G146" s="238"/>
      <c r="H146" s="238"/>
      <c r="I146" s="238"/>
      <c r="J146" s="238"/>
      <c r="K146" s="238"/>
      <c r="L146" s="238"/>
      <c r="M146" s="238"/>
      <c r="N146" s="238">
        <v>1</v>
      </c>
      <c r="O146" s="238">
        <v>1841.62</v>
      </c>
      <c r="P146" s="681"/>
      <c r="Q146" s="712">
        <v>1841.62</v>
      </c>
    </row>
    <row r="147" spans="1:17" ht="14.4" customHeight="1" x14ac:dyDescent="0.3">
      <c r="A147" s="679" t="s">
        <v>3130</v>
      </c>
      <c r="B147" s="670" t="s">
        <v>2792</v>
      </c>
      <c r="C147" s="670" t="s">
        <v>2341</v>
      </c>
      <c r="D147" s="670" t="s">
        <v>3191</v>
      </c>
      <c r="E147" s="670" t="s">
        <v>3192</v>
      </c>
      <c r="F147" s="238"/>
      <c r="G147" s="238"/>
      <c r="H147" s="238"/>
      <c r="I147" s="238"/>
      <c r="J147" s="238"/>
      <c r="K147" s="238"/>
      <c r="L147" s="238"/>
      <c r="M147" s="238"/>
      <c r="N147" s="238">
        <v>1</v>
      </c>
      <c r="O147" s="238">
        <v>31629.82</v>
      </c>
      <c r="P147" s="681"/>
      <c r="Q147" s="712">
        <v>31629.82</v>
      </c>
    </row>
    <row r="148" spans="1:17" ht="14.4" customHeight="1" x14ac:dyDescent="0.3">
      <c r="A148" s="679" t="s">
        <v>3130</v>
      </c>
      <c r="B148" s="670" t="s">
        <v>2792</v>
      </c>
      <c r="C148" s="670" t="s">
        <v>2341</v>
      </c>
      <c r="D148" s="670" t="s">
        <v>3193</v>
      </c>
      <c r="E148" s="670" t="s">
        <v>3194</v>
      </c>
      <c r="F148" s="238"/>
      <c r="G148" s="238"/>
      <c r="H148" s="238"/>
      <c r="I148" s="238"/>
      <c r="J148" s="238">
        <v>1</v>
      </c>
      <c r="K148" s="238">
        <v>80936.399999999994</v>
      </c>
      <c r="L148" s="238"/>
      <c r="M148" s="238">
        <v>80936.399999999994</v>
      </c>
      <c r="N148" s="238">
        <v>2</v>
      </c>
      <c r="O148" s="238">
        <v>161872.79999999999</v>
      </c>
      <c r="P148" s="681"/>
      <c r="Q148" s="712">
        <v>80936.399999999994</v>
      </c>
    </row>
    <row r="149" spans="1:17" ht="14.4" customHeight="1" x14ac:dyDescent="0.3">
      <c r="A149" s="679" t="s">
        <v>3130</v>
      </c>
      <c r="B149" s="670" t="s">
        <v>2792</v>
      </c>
      <c r="C149" s="670" t="s">
        <v>2341</v>
      </c>
      <c r="D149" s="670" t="s">
        <v>3195</v>
      </c>
      <c r="E149" s="670" t="s">
        <v>3196</v>
      </c>
      <c r="F149" s="238"/>
      <c r="G149" s="238"/>
      <c r="H149" s="238"/>
      <c r="I149" s="238"/>
      <c r="J149" s="238"/>
      <c r="K149" s="238"/>
      <c r="L149" s="238"/>
      <c r="M149" s="238"/>
      <c r="N149" s="238">
        <v>8</v>
      </c>
      <c r="O149" s="238">
        <v>34880</v>
      </c>
      <c r="P149" s="681"/>
      <c r="Q149" s="712">
        <v>4360</v>
      </c>
    </row>
    <row r="150" spans="1:17" ht="14.4" customHeight="1" x14ac:dyDescent="0.3">
      <c r="A150" s="679" t="s">
        <v>3130</v>
      </c>
      <c r="B150" s="670" t="s">
        <v>2792</v>
      </c>
      <c r="C150" s="670" t="s">
        <v>2341</v>
      </c>
      <c r="D150" s="670" t="s">
        <v>3197</v>
      </c>
      <c r="E150" s="670" t="s">
        <v>3154</v>
      </c>
      <c r="F150" s="238"/>
      <c r="G150" s="238"/>
      <c r="H150" s="238"/>
      <c r="I150" s="238"/>
      <c r="J150" s="238">
        <v>1</v>
      </c>
      <c r="K150" s="238">
        <v>15675</v>
      </c>
      <c r="L150" s="238"/>
      <c r="M150" s="238">
        <v>15675</v>
      </c>
      <c r="N150" s="238"/>
      <c r="O150" s="238"/>
      <c r="P150" s="681"/>
      <c r="Q150" s="712"/>
    </row>
    <row r="151" spans="1:17" ht="14.4" customHeight="1" x14ac:dyDescent="0.3">
      <c r="A151" s="679" t="s">
        <v>3130</v>
      </c>
      <c r="B151" s="670" t="s">
        <v>2792</v>
      </c>
      <c r="C151" s="670" t="s">
        <v>2341</v>
      </c>
      <c r="D151" s="670" t="s">
        <v>3198</v>
      </c>
      <c r="E151" s="670" t="s">
        <v>3199</v>
      </c>
      <c r="F151" s="238"/>
      <c r="G151" s="238"/>
      <c r="H151" s="238"/>
      <c r="I151" s="238"/>
      <c r="J151" s="238"/>
      <c r="K151" s="238"/>
      <c r="L151" s="238"/>
      <c r="M151" s="238"/>
      <c r="N151" s="238">
        <v>1</v>
      </c>
      <c r="O151" s="238">
        <v>4890.29</v>
      </c>
      <c r="P151" s="681"/>
      <c r="Q151" s="712">
        <v>4890.29</v>
      </c>
    </row>
    <row r="152" spans="1:17" ht="14.4" customHeight="1" x14ac:dyDescent="0.3">
      <c r="A152" s="679" t="s">
        <v>3130</v>
      </c>
      <c r="B152" s="670" t="s">
        <v>2792</v>
      </c>
      <c r="C152" s="670" t="s">
        <v>2341</v>
      </c>
      <c r="D152" s="670" t="s">
        <v>3200</v>
      </c>
      <c r="E152" s="670" t="s">
        <v>3201</v>
      </c>
      <c r="F152" s="238"/>
      <c r="G152" s="238"/>
      <c r="H152" s="238"/>
      <c r="I152" s="238"/>
      <c r="J152" s="238"/>
      <c r="K152" s="238"/>
      <c r="L152" s="238"/>
      <c r="M152" s="238"/>
      <c r="N152" s="238">
        <v>1</v>
      </c>
      <c r="O152" s="238">
        <v>21368</v>
      </c>
      <c r="P152" s="681"/>
      <c r="Q152" s="712">
        <v>21368</v>
      </c>
    </row>
    <row r="153" spans="1:17" ht="14.4" customHeight="1" x14ac:dyDescent="0.3">
      <c r="A153" s="679" t="s">
        <v>3130</v>
      </c>
      <c r="B153" s="670" t="s">
        <v>2792</v>
      </c>
      <c r="C153" s="670" t="s">
        <v>2234</v>
      </c>
      <c r="D153" s="670" t="s">
        <v>3202</v>
      </c>
      <c r="E153" s="670" t="s">
        <v>3203</v>
      </c>
      <c r="F153" s="238">
        <v>1</v>
      </c>
      <c r="G153" s="238">
        <v>204</v>
      </c>
      <c r="H153" s="238">
        <v>1</v>
      </c>
      <c r="I153" s="238">
        <v>204</v>
      </c>
      <c r="J153" s="238">
        <v>1</v>
      </c>
      <c r="K153" s="238">
        <v>205</v>
      </c>
      <c r="L153" s="238">
        <v>1.0049019607843137</v>
      </c>
      <c r="M153" s="238">
        <v>205</v>
      </c>
      <c r="N153" s="238"/>
      <c r="O153" s="238"/>
      <c r="P153" s="681"/>
      <c r="Q153" s="712"/>
    </row>
    <row r="154" spans="1:17" ht="14.4" customHeight="1" x14ac:dyDescent="0.3">
      <c r="A154" s="679" t="s">
        <v>3130</v>
      </c>
      <c r="B154" s="670" t="s">
        <v>2792</v>
      </c>
      <c r="C154" s="670" t="s">
        <v>2234</v>
      </c>
      <c r="D154" s="670" t="s">
        <v>3204</v>
      </c>
      <c r="E154" s="670" t="s">
        <v>3205</v>
      </c>
      <c r="F154" s="238">
        <v>68</v>
      </c>
      <c r="G154" s="238">
        <v>10132</v>
      </c>
      <c r="H154" s="238">
        <v>1</v>
      </c>
      <c r="I154" s="238">
        <v>149</v>
      </c>
      <c r="J154" s="238">
        <v>71</v>
      </c>
      <c r="K154" s="238">
        <v>10650</v>
      </c>
      <c r="L154" s="238">
        <v>1.0511251480457955</v>
      </c>
      <c r="M154" s="238">
        <v>150</v>
      </c>
      <c r="N154" s="238">
        <v>45</v>
      </c>
      <c r="O154" s="238">
        <v>6750</v>
      </c>
      <c r="P154" s="681">
        <v>0.66620607974733514</v>
      </c>
      <c r="Q154" s="712">
        <v>150</v>
      </c>
    </row>
    <row r="155" spans="1:17" ht="14.4" customHeight="1" x14ac:dyDescent="0.3">
      <c r="A155" s="679" t="s">
        <v>3130</v>
      </c>
      <c r="B155" s="670" t="s">
        <v>2792</v>
      </c>
      <c r="C155" s="670" t="s">
        <v>2234</v>
      </c>
      <c r="D155" s="670" t="s">
        <v>3206</v>
      </c>
      <c r="E155" s="670" t="s">
        <v>3207</v>
      </c>
      <c r="F155" s="238">
        <v>198</v>
      </c>
      <c r="G155" s="238">
        <v>35838</v>
      </c>
      <c r="H155" s="238">
        <v>1</v>
      </c>
      <c r="I155" s="238">
        <v>181</v>
      </c>
      <c r="J155" s="238">
        <v>170</v>
      </c>
      <c r="K155" s="238">
        <v>30940</v>
      </c>
      <c r="L155" s="238">
        <v>0.86332942686533842</v>
      </c>
      <c r="M155" s="238">
        <v>182</v>
      </c>
      <c r="N155" s="238">
        <v>147</v>
      </c>
      <c r="O155" s="238">
        <v>26754</v>
      </c>
      <c r="P155" s="681">
        <v>0.74652603381885152</v>
      </c>
      <c r="Q155" s="712">
        <v>182</v>
      </c>
    </row>
    <row r="156" spans="1:17" ht="14.4" customHeight="1" x14ac:dyDescent="0.3">
      <c r="A156" s="679" t="s">
        <v>3130</v>
      </c>
      <c r="B156" s="670" t="s">
        <v>2792</v>
      </c>
      <c r="C156" s="670" t="s">
        <v>2234</v>
      </c>
      <c r="D156" s="670" t="s">
        <v>3208</v>
      </c>
      <c r="E156" s="670" t="s">
        <v>3209</v>
      </c>
      <c r="F156" s="238">
        <v>3</v>
      </c>
      <c r="G156" s="238">
        <v>372</v>
      </c>
      <c r="H156" s="238">
        <v>1</v>
      </c>
      <c r="I156" s="238">
        <v>124</v>
      </c>
      <c r="J156" s="238">
        <v>9</v>
      </c>
      <c r="K156" s="238">
        <v>1116</v>
      </c>
      <c r="L156" s="238">
        <v>3</v>
      </c>
      <c r="M156" s="238">
        <v>124</v>
      </c>
      <c r="N156" s="238">
        <v>4</v>
      </c>
      <c r="O156" s="238">
        <v>496</v>
      </c>
      <c r="P156" s="681">
        <v>1.3333333333333333</v>
      </c>
      <c r="Q156" s="712">
        <v>124</v>
      </c>
    </row>
    <row r="157" spans="1:17" ht="14.4" customHeight="1" x14ac:dyDescent="0.3">
      <c r="A157" s="679" t="s">
        <v>3130</v>
      </c>
      <c r="B157" s="670" t="s">
        <v>2792</v>
      </c>
      <c r="C157" s="670" t="s">
        <v>2234</v>
      </c>
      <c r="D157" s="670" t="s">
        <v>3210</v>
      </c>
      <c r="E157" s="670" t="s">
        <v>3211</v>
      </c>
      <c r="F157" s="238">
        <v>2</v>
      </c>
      <c r="G157" s="238">
        <v>432</v>
      </c>
      <c r="H157" s="238">
        <v>1</v>
      </c>
      <c r="I157" s="238">
        <v>216</v>
      </c>
      <c r="J157" s="238">
        <v>6</v>
      </c>
      <c r="K157" s="238">
        <v>1302</v>
      </c>
      <c r="L157" s="238">
        <v>3.0138888888888888</v>
      </c>
      <c r="M157" s="238">
        <v>217</v>
      </c>
      <c r="N157" s="238">
        <v>5</v>
      </c>
      <c r="O157" s="238">
        <v>1085</v>
      </c>
      <c r="P157" s="681">
        <v>2.511574074074074</v>
      </c>
      <c r="Q157" s="712">
        <v>217</v>
      </c>
    </row>
    <row r="158" spans="1:17" ht="14.4" customHeight="1" x14ac:dyDescent="0.3">
      <c r="A158" s="679" t="s">
        <v>3130</v>
      </c>
      <c r="B158" s="670" t="s">
        <v>2792</v>
      </c>
      <c r="C158" s="670" t="s">
        <v>2234</v>
      </c>
      <c r="D158" s="670" t="s">
        <v>3212</v>
      </c>
      <c r="E158" s="670" t="s">
        <v>3213</v>
      </c>
      <c r="F158" s="238">
        <v>2</v>
      </c>
      <c r="G158" s="238">
        <v>432</v>
      </c>
      <c r="H158" s="238">
        <v>1</v>
      </c>
      <c r="I158" s="238">
        <v>216</v>
      </c>
      <c r="J158" s="238">
        <v>3</v>
      </c>
      <c r="K158" s="238">
        <v>651</v>
      </c>
      <c r="L158" s="238">
        <v>1.5069444444444444</v>
      </c>
      <c r="M158" s="238">
        <v>217</v>
      </c>
      <c r="N158" s="238">
        <v>3</v>
      </c>
      <c r="O158" s="238">
        <v>651</v>
      </c>
      <c r="P158" s="681">
        <v>1.5069444444444444</v>
      </c>
      <c r="Q158" s="712">
        <v>217</v>
      </c>
    </row>
    <row r="159" spans="1:17" ht="14.4" customHeight="1" x14ac:dyDescent="0.3">
      <c r="A159" s="679" t="s">
        <v>3130</v>
      </c>
      <c r="B159" s="670" t="s">
        <v>2792</v>
      </c>
      <c r="C159" s="670" t="s">
        <v>2234</v>
      </c>
      <c r="D159" s="670" t="s">
        <v>3214</v>
      </c>
      <c r="E159" s="670" t="s">
        <v>3215</v>
      </c>
      <c r="F159" s="238">
        <v>1</v>
      </c>
      <c r="G159" s="238">
        <v>218</v>
      </c>
      <c r="H159" s="238">
        <v>1</v>
      </c>
      <c r="I159" s="238">
        <v>218</v>
      </c>
      <c r="J159" s="238"/>
      <c r="K159" s="238"/>
      <c r="L159" s="238"/>
      <c r="M159" s="238"/>
      <c r="N159" s="238">
        <v>1</v>
      </c>
      <c r="O159" s="238">
        <v>219</v>
      </c>
      <c r="P159" s="681">
        <v>1.0045871559633028</v>
      </c>
      <c r="Q159" s="712">
        <v>219</v>
      </c>
    </row>
    <row r="160" spans="1:17" ht="14.4" customHeight="1" x14ac:dyDescent="0.3">
      <c r="A160" s="679" t="s">
        <v>3130</v>
      </c>
      <c r="B160" s="670" t="s">
        <v>2792</v>
      </c>
      <c r="C160" s="670" t="s">
        <v>2234</v>
      </c>
      <c r="D160" s="670" t="s">
        <v>3216</v>
      </c>
      <c r="E160" s="670" t="s">
        <v>3217</v>
      </c>
      <c r="F160" s="238">
        <v>1</v>
      </c>
      <c r="G160" s="238">
        <v>608</v>
      </c>
      <c r="H160" s="238">
        <v>1</v>
      </c>
      <c r="I160" s="238">
        <v>608</v>
      </c>
      <c r="J160" s="238"/>
      <c r="K160" s="238"/>
      <c r="L160" s="238"/>
      <c r="M160" s="238"/>
      <c r="N160" s="238"/>
      <c r="O160" s="238"/>
      <c r="P160" s="681"/>
      <c r="Q160" s="712"/>
    </row>
    <row r="161" spans="1:17" ht="14.4" customHeight="1" x14ac:dyDescent="0.3">
      <c r="A161" s="679" t="s">
        <v>3130</v>
      </c>
      <c r="B161" s="670" t="s">
        <v>2792</v>
      </c>
      <c r="C161" s="670" t="s">
        <v>2234</v>
      </c>
      <c r="D161" s="670" t="s">
        <v>3218</v>
      </c>
      <c r="E161" s="670" t="s">
        <v>3219</v>
      </c>
      <c r="F161" s="238">
        <v>3</v>
      </c>
      <c r="G161" s="238">
        <v>12366</v>
      </c>
      <c r="H161" s="238">
        <v>1</v>
      </c>
      <c r="I161" s="238">
        <v>4122</v>
      </c>
      <c r="J161" s="238">
        <v>8</v>
      </c>
      <c r="K161" s="238">
        <v>33016</v>
      </c>
      <c r="L161" s="238">
        <v>2.6699013423904252</v>
      </c>
      <c r="M161" s="238">
        <v>4127</v>
      </c>
      <c r="N161" s="238">
        <v>8</v>
      </c>
      <c r="O161" s="238">
        <v>33016</v>
      </c>
      <c r="P161" s="681">
        <v>2.6699013423904252</v>
      </c>
      <c r="Q161" s="712">
        <v>4127</v>
      </c>
    </row>
    <row r="162" spans="1:17" ht="14.4" customHeight="1" x14ac:dyDescent="0.3">
      <c r="A162" s="679" t="s">
        <v>3130</v>
      </c>
      <c r="B162" s="670" t="s">
        <v>2792</v>
      </c>
      <c r="C162" s="670" t="s">
        <v>2234</v>
      </c>
      <c r="D162" s="670" t="s">
        <v>3220</v>
      </c>
      <c r="E162" s="670" t="s">
        <v>3221</v>
      </c>
      <c r="F162" s="238">
        <v>9</v>
      </c>
      <c r="G162" s="238">
        <v>34299</v>
      </c>
      <c r="H162" s="238">
        <v>1</v>
      </c>
      <c r="I162" s="238">
        <v>3811</v>
      </c>
      <c r="J162" s="238">
        <v>26</v>
      </c>
      <c r="K162" s="238">
        <v>99190</v>
      </c>
      <c r="L162" s="238">
        <v>2.891921047260853</v>
      </c>
      <c r="M162" s="238">
        <v>3815</v>
      </c>
      <c r="N162" s="238">
        <v>25</v>
      </c>
      <c r="O162" s="238">
        <v>95375</v>
      </c>
      <c r="P162" s="681">
        <v>2.780693314673897</v>
      </c>
      <c r="Q162" s="712">
        <v>3815</v>
      </c>
    </row>
    <row r="163" spans="1:17" ht="14.4" customHeight="1" x14ac:dyDescent="0.3">
      <c r="A163" s="679" t="s">
        <v>3130</v>
      </c>
      <c r="B163" s="670" t="s">
        <v>2792</v>
      </c>
      <c r="C163" s="670" t="s">
        <v>2234</v>
      </c>
      <c r="D163" s="670" t="s">
        <v>3222</v>
      </c>
      <c r="E163" s="670" t="s">
        <v>3223</v>
      </c>
      <c r="F163" s="238"/>
      <c r="G163" s="238"/>
      <c r="H163" s="238"/>
      <c r="I163" s="238"/>
      <c r="J163" s="238"/>
      <c r="K163" s="238"/>
      <c r="L163" s="238"/>
      <c r="M163" s="238"/>
      <c r="N163" s="238">
        <v>2</v>
      </c>
      <c r="O163" s="238">
        <v>15670</v>
      </c>
      <c r="P163" s="681"/>
      <c r="Q163" s="712">
        <v>7835</v>
      </c>
    </row>
    <row r="164" spans="1:17" ht="14.4" customHeight="1" x14ac:dyDescent="0.3">
      <c r="A164" s="679" t="s">
        <v>3130</v>
      </c>
      <c r="B164" s="670" t="s">
        <v>2792</v>
      </c>
      <c r="C164" s="670" t="s">
        <v>2234</v>
      </c>
      <c r="D164" s="670" t="s">
        <v>3224</v>
      </c>
      <c r="E164" s="670" t="s">
        <v>3225</v>
      </c>
      <c r="F164" s="238">
        <v>2</v>
      </c>
      <c r="G164" s="238">
        <v>2552</v>
      </c>
      <c r="H164" s="238">
        <v>1</v>
      </c>
      <c r="I164" s="238">
        <v>1276</v>
      </c>
      <c r="J164" s="238">
        <v>1</v>
      </c>
      <c r="K164" s="238">
        <v>1277</v>
      </c>
      <c r="L164" s="238">
        <v>0.50039184952978055</v>
      </c>
      <c r="M164" s="238">
        <v>1277</v>
      </c>
      <c r="N164" s="238">
        <v>2</v>
      </c>
      <c r="O164" s="238">
        <v>2554</v>
      </c>
      <c r="P164" s="681">
        <v>1.0007836990595611</v>
      </c>
      <c r="Q164" s="712">
        <v>1277</v>
      </c>
    </row>
    <row r="165" spans="1:17" ht="14.4" customHeight="1" x14ac:dyDescent="0.3">
      <c r="A165" s="679" t="s">
        <v>3130</v>
      </c>
      <c r="B165" s="670" t="s">
        <v>2792</v>
      </c>
      <c r="C165" s="670" t="s">
        <v>2234</v>
      </c>
      <c r="D165" s="670" t="s">
        <v>3226</v>
      </c>
      <c r="E165" s="670" t="s">
        <v>3227</v>
      </c>
      <c r="F165" s="238">
        <v>1</v>
      </c>
      <c r="G165" s="238">
        <v>1163</v>
      </c>
      <c r="H165" s="238">
        <v>1</v>
      </c>
      <c r="I165" s="238">
        <v>1163</v>
      </c>
      <c r="J165" s="238"/>
      <c r="K165" s="238"/>
      <c r="L165" s="238"/>
      <c r="M165" s="238"/>
      <c r="N165" s="238"/>
      <c r="O165" s="238"/>
      <c r="P165" s="681"/>
      <c r="Q165" s="712"/>
    </row>
    <row r="166" spans="1:17" ht="14.4" customHeight="1" x14ac:dyDescent="0.3">
      <c r="A166" s="679" t="s">
        <v>3130</v>
      </c>
      <c r="B166" s="670" t="s">
        <v>2792</v>
      </c>
      <c r="C166" s="670" t="s">
        <v>2234</v>
      </c>
      <c r="D166" s="670" t="s">
        <v>3228</v>
      </c>
      <c r="E166" s="670" t="s">
        <v>3229</v>
      </c>
      <c r="F166" s="238">
        <v>31</v>
      </c>
      <c r="G166" s="238">
        <v>157015</v>
      </c>
      <c r="H166" s="238">
        <v>1</v>
      </c>
      <c r="I166" s="238">
        <v>5065</v>
      </c>
      <c r="J166" s="238">
        <v>50</v>
      </c>
      <c r="K166" s="238">
        <v>253400</v>
      </c>
      <c r="L166" s="238">
        <v>1.6138585485463173</v>
      </c>
      <c r="M166" s="238">
        <v>5068</v>
      </c>
      <c r="N166" s="238">
        <v>62</v>
      </c>
      <c r="O166" s="238">
        <v>314216</v>
      </c>
      <c r="P166" s="681">
        <v>2.0011846001974334</v>
      </c>
      <c r="Q166" s="712">
        <v>5068</v>
      </c>
    </row>
    <row r="167" spans="1:17" ht="14.4" customHeight="1" x14ac:dyDescent="0.3">
      <c r="A167" s="679" t="s">
        <v>3130</v>
      </c>
      <c r="B167" s="670" t="s">
        <v>2792</v>
      </c>
      <c r="C167" s="670" t="s">
        <v>2234</v>
      </c>
      <c r="D167" s="670" t="s">
        <v>3230</v>
      </c>
      <c r="E167" s="670" t="s">
        <v>3231</v>
      </c>
      <c r="F167" s="238">
        <v>1</v>
      </c>
      <c r="G167" s="238">
        <v>5505</v>
      </c>
      <c r="H167" s="238">
        <v>1</v>
      </c>
      <c r="I167" s="238">
        <v>5505</v>
      </c>
      <c r="J167" s="238"/>
      <c r="K167" s="238"/>
      <c r="L167" s="238"/>
      <c r="M167" s="238"/>
      <c r="N167" s="238">
        <v>1</v>
      </c>
      <c r="O167" s="238">
        <v>5508</v>
      </c>
      <c r="P167" s="681">
        <v>1.0005449591280653</v>
      </c>
      <c r="Q167" s="712">
        <v>5508</v>
      </c>
    </row>
    <row r="168" spans="1:17" ht="14.4" customHeight="1" x14ac:dyDescent="0.3">
      <c r="A168" s="679" t="s">
        <v>3130</v>
      </c>
      <c r="B168" s="670" t="s">
        <v>2792</v>
      </c>
      <c r="C168" s="670" t="s">
        <v>2234</v>
      </c>
      <c r="D168" s="670" t="s">
        <v>3232</v>
      </c>
      <c r="E168" s="670" t="s">
        <v>3233</v>
      </c>
      <c r="F168" s="238">
        <v>70</v>
      </c>
      <c r="G168" s="238">
        <v>12040</v>
      </c>
      <c r="H168" s="238">
        <v>1</v>
      </c>
      <c r="I168" s="238">
        <v>172</v>
      </c>
      <c r="J168" s="238">
        <v>55</v>
      </c>
      <c r="K168" s="238">
        <v>9515</v>
      </c>
      <c r="L168" s="238">
        <v>0.79028239202657802</v>
      </c>
      <c r="M168" s="238">
        <v>173</v>
      </c>
      <c r="N168" s="238">
        <v>69</v>
      </c>
      <c r="O168" s="238">
        <v>11937</v>
      </c>
      <c r="P168" s="681">
        <v>0.99144518272425253</v>
      </c>
      <c r="Q168" s="712">
        <v>173</v>
      </c>
    </row>
    <row r="169" spans="1:17" ht="14.4" customHeight="1" x14ac:dyDescent="0.3">
      <c r="A169" s="679" t="s">
        <v>3130</v>
      </c>
      <c r="B169" s="670" t="s">
        <v>2792</v>
      </c>
      <c r="C169" s="670" t="s">
        <v>2234</v>
      </c>
      <c r="D169" s="670" t="s">
        <v>3234</v>
      </c>
      <c r="E169" s="670" t="s">
        <v>3235</v>
      </c>
      <c r="F169" s="238">
        <v>127</v>
      </c>
      <c r="G169" s="238">
        <v>253238</v>
      </c>
      <c r="H169" s="238">
        <v>1</v>
      </c>
      <c r="I169" s="238">
        <v>1994</v>
      </c>
      <c r="J169" s="238">
        <v>130</v>
      </c>
      <c r="K169" s="238">
        <v>259480</v>
      </c>
      <c r="L169" s="238">
        <v>1.0246487493977996</v>
      </c>
      <c r="M169" s="238">
        <v>1996</v>
      </c>
      <c r="N169" s="238">
        <v>86</v>
      </c>
      <c r="O169" s="238">
        <v>171656</v>
      </c>
      <c r="P169" s="681">
        <v>0.67784455729392901</v>
      </c>
      <c r="Q169" s="712">
        <v>1996</v>
      </c>
    </row>
    <row r="170" spans="1:17" ht="14.4" customHeight="1" x14ac:dyDescent="0.3">
      <c r="A170" s="679" t="s">
        <v>3130</v>
      </c>
      <c r="B170" s="670" t="s">
        <v>2792</v>
      </c>
      <c r="C170" s="670" t="s">
        <v>2234</v>
      </c>
      <c r="D170" s="670" t="s">
        <v>3236</v>
      </c>
      <c r="E170" s="670" t="s">
        <v>3237</v>
      </c>
      <c r="F170" s="238">
        <v>16</v>
      </c>
      <c r="G170" s="238">
        <v>43056</v>
      </c>
      <c r="H170" s="238">
        <v>1</v>
      </c>
      <c r="I170" s="238">
        <v>2691</v>
      </c>
      <c r="J170" s="238">
        <v>19</v>
      </c>
      <c r="K170" s="238">
        <v>51148</v>
      </c>
      <c r="L170" s="238">
        <v>1.1879412857673728</v>
      </c>
      <c r="M170" s="238">
        <v>2692</v>
      </c>
      <c r="N170" s="238">
        <v>26</v>
      </c>
      <c r="O170" s="238">
        <v>69992</v>
      </c>
      <c r="P170" s="681">
        <v>1.6256038647342994</v>
      </c>
      <c r="Q170" s="712">
        <v>2692</v>
      </c>
    </row>
    <row r="171" spans="1:17" ht="14.4" customHeight="1" x14ac:dyDescent="0.3">
      <c r="A171" s="679" t="s">
        <v>3130</v>
      </c>
      <c r="B171" s="670" t="s">
        <v>2792</v>
      </c>
      <c r="C171" s="670" t="s">
        <v>2234</v>
      </c>
      <c r="D171" s="670" t="s">
        <v>3238</v>
      </c>
      <c r="E171" s="670" t="s">
        <v>3239</v>
      </c>
      <c r="F171" s="238"/>
      <c r="G171" s="238"/>
      <c r="H171" s="238"/>
      <c r="I171" s="238"/>
      <c r="J171" s="238"/>
      <c r="K171" s="238"/>
      <c r="L171" s="238"/>
      <c r="M171" s="238"/>
      <c r="N171" s="238">
        <v>2</v>
      </c>
      <c r="O171" s="238">
        <v>4152</v>
      </c>
      <c r="P171" s="681"/>
      <c r="Q171" s="712">
        <v>2076</v>
      </c>
    </row>
    <row r="172" spans="1:17" ht="14.4" customHeight="1" x14ac:dyDescent="0.3">
      <c r="A172" s="679" t="s">
        <v>3130</v>
      </c>
      <c r="B172" s="670" t="s">
        <v>2792</v>
      </c>
      <c r="C172" s="670" t="s">
        <v>2234</v>
      </c>
      <c r="D172" s="670" t="s">
        <v>3240</v>
      </c>
      <c r="E172" s="670" t="s">
        <v>3241</v>
      </c>
      <c r="F172" s="238">
        <v>2</v>
      </c>
      <c r="G172" s="238">
        <v>298</v>
      </c>
      <c r="H172" s="238">
        <v>1</v>
      </c>
      <c r="I172" s="238">
        <v>149</v>
      </c>
      <c r="J172" s="238">
        <v>1</v>
      </c>
      <c r="K172" s="238">
        <v>150</v>
      </c>
      <c r="L172" s="238">
        <v>0.50335570469798663</v>
      </c>
      <c r="M172" s="238">
        <v>150</v>
      </c>
      <c r="N172" s="238">
        <v>1</v>
      </c>
      <c r="O172" s="238">
        <v>150</v>
      </c>
      <c r="P172" s="681">
        <v>0.50335570469798663</v>
      </c>
      <c r="Q172" s="712">
        <v>150</v>
      </c>
    </row>
    <row r="173" spans="1:17" ht="14.4" customHeight="1" x14ac:dyDescent="0.3">
      <c r="A173" s="679" t="s">
        <v>3130</v>
      </c>
      <c r="B173" s="670" t="s">
        <v>2792</v>
      </c>
      <c r="C173" s="670" t="s">
        <v>2234</v>
      </c>
      <c r="D173" s="670" t="s">
        <v>3242</v>
      </c>
      <c r="E173" s="670" t="s">
        <v>3243</v>
      </c>
      <c r="F173" s="238">
        <v>4</v>
      </c>
      <c r="G173" s="238">
        <v>768</v>
      </c>
      <c r="H173" s="238">
        <v>1</v>
      </c>
      <c r="I173" s="238">
        <v>192</v>
      </c>
      <c r="J173" s="238">
        <v>1</v>
      </c>
      <c r="K173" s="238">
        <v>193</v>
      </c>
      <c r="L173" s="238">
        <v>0.25130208333333331</v>
      </c>
      <c r="M173" s="238">
        <v>193</v>
      </c>
      <c r="N173" s="238"/>
      <c r="O173" s="238"/>
      <c r="P173" s="681"/>
      <c r="Q173" s="712"/>
    </row>
    <row r="174" spans="1:17" ht="14.4" customHeight="1" x14ac:dyDescent="0.3">
      <c r="A174" s="679" t="s">
        <v>3130</v>
      </c>
      <c r="B174" s="670" t="s">
        <v>2792</v>
      </c>
      <c r="C174" s="670" t="s">
        <v>2234</v>
      </c>
      <c r="D174" s="670" t="s">
        <v>2927</v>
      </c>
      <c r="E174" s="670" t="s">
        <v>2928</v>
      </c>
      <c r="F174" s="238">
        <v>702</v>
      </c>
      <c r="G174" s="238">
        <v>138294</v>
      </c>
      <c r="H174" s="238">
        <v>1</v>
      </c>
      <c r="I174" s="238">
        <v>197</v>
      </c>
      <c r="J174" s="238">
        <v>674</v>
      </c>
      <c r="K174" s="238">
        <v>133452</v>
      </c>
      <c r="L174" s="238">
        <v>0.96498763503839646</v>
      </c>
      <c r="M174" s="238">
        <v>198</v>
      </c>
      <c r="N174" s="238">
        <v>665</v>
      </c>
      <c r="O174" s="238">
        <v>131670</v>
      </c>
      <c r="P174" s="681">
        <v>0.95210204347260186</v>
      </c>
      <c r="Q174" s="712">
        <v>198</v>
      </c>
    </row>
    <row r="175" spans="1:17" ht="14.4" customHeight="1" x14ac:dyDescent="0.3">
      <c r="A175" s="679" t="s">
        <v>3130</v>
      </c>
      <c r="B175" s="670" t="s">
        <v>2792</v>
      </c>
      <c r="C175" s="670" t="s">
        <v>2234</v>
      </c>
      <c r="D175" s="670" t="s">
        <v>3244</v>
      </c>
      <c r="E175" s="670" t="s">
        <v>3245</v>
      </c>
      <c r="F175" s="238">
        <v>1</v>
      </c>
      <c r="G175" s="238">
        <v>414</v>
      </c>
      <c r="H175" s="238">
        <v>1</v>
      </c>
      <c r="I175" s="238">
        <v>414</v>
      </c>
      <c r="J175" s="238"/>
      <c r="K175" s="238"/>
      <c r="L175" s="238"/>
      <c r="M175" s="238"/>
      <c r="N175" s="238"/>
      <c r="O175" s="238"/>
      <c r="P175" s="681"/>
      <c r="Q175" s="712"/>
    </row>
    <row r="176" spans="1:17" ht="14.4" customHeight="1" x14ac:dyDescent="0.3">
      <c r="A176" s="679" t="s">
        <v>3130</v>
      </c>
      <c r="B176" s="670" t="s">
        <v>2792</v>
      </c>
      <c r="C176" s="670" t="s">
        <v>2234</v>
      </c>
      <c r="D176" s="670" t="s">
        <v>3246</v>
      </c>
      <c r="E176" s="670" t="s">
        <v>3247</v>
      </c>
      <c r="F176" s="238">
        <v>2</v>
      </c>
      <c r="G176" s="238">
        <v>314</v>
      </c>
      <c r="H176" s="238">
        <v>1</v>
      </c>
      <c r="I176" s="238">
        <v>157</v>
      </c>
      <c r="J176" s="238">
        <v>2</v>
      </c>
      <c r="K176" s="238">
        <v>316</v>
      </c>
      <c r="L176" s="238">
        <v>1.0063694267515924</v>
      </c>
      <c r="M176" s="238">
        <v>158</v>
      </c>
      <c r="N176" s="238">
        <v>1</v>
      </c>
      <c r="O176" s="238">
        <v>158</v>
      </c>
      <c r="P176" s="681">
        <v>0.50318471337579618</v>
      </c>
      <c r="Q176" s="712">
        <v>158</v>
      </c>
    </row>
    <row r="177" spans="1:17" ht="14.4" customHeight="1" x14ac:dyDescent="0.3">
      <c r="A177" s="679" t="s">
        <v>3130</v>
      </c>
      <c r="B177" s="670" t="s">
        <v>2792</v>
      </c>
      <c r="C177" s="670" t="s">
        <v>2234</v>
      </c>
      <c r="D177" s="670" t="s">
        <v>3248</v>
      </c>
      <c r="E177" s="670" t="s">
        <v>3249</v>
      </c>
      <c r="F177" s="238">
        <v>12</v>
      </c>
      <c r="G177" s="238">
        <v>25392</v>
      </c>
      <c r="H177" s="238">
        <v>1</v>
      </c>
      <c r="I177" s="238">
        <v>2116</v>
      </c>
      <c r="J177" s="238">
        <v>35</v>
      </c>
      <c r="K177" s="238">
        <v>74130</v>
      </c>
      <c r="L177" s="238">
        <v>2.9194234404536861</v>
      </c>
      <c r="M177" s="238">
        <v>2118</v>
      </c>
      <c r="N177" s="238">
        <v>22</v>
      </c>
      <c r="O177" s="238">
        <v>46596</v>
      </c>
      <c r="P177" s="681">
        <v>1.8350661625708884</v>
      </c>
      <c r="Q177" s="712">
        <v>2118</v>
      </c>
    </row>
    <row r="178" spans="1:17" ht="14.4" customHeight="1" x14ac:dyDescent="0.3">
      <c r="A178" s="679" t="s">
        <v>3130</v>
      </c>
      <c r="B178" s="670" t="s">
        <v>2792</v>
      </c>
      <c r="C178" s="670" t="s">
        <v>2234</v>
      </c>
      <c r="D178" s="670" t="s">
        <v>3250</v>
      </c>
      <c r="E178" s="670" t="s">
        <v>3221</v>
      </c>
      <c r="F178" s="238">
        <v>10</v>
      </c>
      <c r="G178" s="238">
        <v>18620</v>
      </c>
      <c r="H178" s="238">
        <v>1</v>
      </c>
      <c r="I178" s="238">
        <v>1862</v>
      </c>
      <c r="J178" s="238">
        <v>26</v>
      </c>
      <c r="K178" s="238">
        <v>48464</v>
      </c>
      <c r="L178" s="238">
        <v>2.6027926960257788</v>
      </c>
      <c r="M178" s="238">
        <v>1864</v>
      </c>
      <c r="N178" s="238">
        <v>30</v>
      </c>
      <c r="O178" s="238">
        <v>55920</v>
      </c>
      <c r="P178" s="681">
        <v>3.0032223415682062</v>
      </c>
      <c r="Q178" s="712">
        <v>1864</v>
      </c>
    </row>
    <row r="179" spans="1:17" ht="14.4" customHeight="1" x14ac:dyDescent="0.3">
      <c r="A179" s="679" t="s">
        <v>3130</v>
      </c>
      <c r="B179" s="670" t="s">
        <v>2792</v>
      </c>
      <c r="C179" s="670" t="s">
        <v>2234</v>
      </c>
      <c r="D179" s="670" t="s">
        <v>3251</v>
      </c>
      <c r="E179" s="670" t="s">
        <v>3252</v>
      </c>
      <c r="F179" s="238">
        <v>1</v>
      </c>
      <c r="G179" s="238">
        <v>157</v>
      </c>
      <c r="H179" s="238">
        <v>1</v>
      </c>
      <c r="I179" s="238">
        <v>157</v>
      </c>
      <c r="J179" s="238"/>
      <c r="K179" s="238"/>
      <c r="L179" s="238"/>
      <c r="M179" s="238"/>
      <c r="N179" s="238"/>
      <c r="O179" s="238"/>
      <c r="P179" s="681"/>
      <c r="Q179" s="712"/>
    </row>
    <row r="180" spans="1:17" ht="14.4" customHeight="1" x14ac:dyDescent="0.3">
      <c r="A180" s="679" t="s">
        <v>3130</v>
      </c>
      <c r="B180" s="670" t="s">
        <v>2792</v>
      </c>
      <c r="C180" s="670" t="s">
        <v>2234</v>
      </c>
      <c r="D180" s="670" t="s">
        <v>3253</v>
      </c>
      <c r="E180" s="670" t="s">
        <v>3254</v>
      </c>
      <c r="F180" s="238">
        <v>6</v>
      </c>
      <c r="G180" s="238">
        <v>50268</v>
      </c>
      <c r="H180" s="238">
        <v>1</v>
      </c>
      <c r="I180" s="238">
        <v>8378</v>
      </c>
      <c r="J180" s="238">
        <v>14</v>
      </c>
      <c r="K180" s="238">
        <v>117376</v>
      </c>
      <c r="L180" s="238">
        <v>2.3350043765417361</v>
      </c>
      <c r="M180" s="238">
        <v>8384</v>
      </c>
      <c r="N180" s="238">
        <v>18</v>
      </c>
      <c r="O180" s="238">
        <v>150912</v>
      </c>
      <c r="P180" s="681">
        <v>3.0021484841250894</v>
      </c>
      <c r="Q180" s="712">
        <v>8384</v>
      </c>
    </row>
    <row r="181" spans="1:17" ht="14.4" customHeight="1" x14ac:dyDescent="0.3">
      <c r="A181" s="679" t="s">
        <v>3130</v>
      </c>
      <c r="B181" s="670" t="s">
        <v>2792</v>
      </c>
      <c r="C181" s="670" t="s">
        <v>2234</v>
      </c>
      <c r="D181" s="670" t="s">
        <v>3255</v>
      </c>
      <c r="E181" s="670" t="s">
        <v>3256</v>
      </c>
      <c r="F181" s="238"/>
      <c r="G181" s="238"/>
      <c r="H181" s="238"/>
      <c r="I181" s="238"/>
      <c r="J181" s="238"/>
      <c r="K181" s="238"/>
      <c r="L181" s="238"/>
      <c r="M181" s="238"/>
      <c r="N181" s="238">
        <v>1</v>
      </c>
      <c r="O181" s="238">
        <v>1993</v>
      </c>
      <c r="P181" s="681"/>
      <c r="Q181" s="712">
        <v>1993</v>
      </c>
    </row>
    <row r="182" spans="1:17" ht="14.4" customHeight="1" x14ac:dyDescent="0.3">
      <c r="A182" s="679" t="s">
        <v>3257</v>
      </c>
      <c r="B182" s="670" t="s">
        <v>3258</v>
      </c>
      <c r="C182" s="670" t="s">
        <v>2234</v>
      </c>
      <c r="D182" s="670" t="s">
        <v>3259</v>
      </c>
      <c r="E182" s="670" t="s">
        <v>3260</v>
      </c>
      <c r="F182" s="238">
        <v>87</v>
      </c>
      <c r="G182" s="238">
        <v>17574</v>
      </c>
      <c r="H182" s="238">
        <v>1</v>
      </c>
      <c r="I182" s="238">
        <v>202</v>
      </c>
      <c r="J182" s="238">
        <v>66</v>
      </c>
      <c r="K182" s="238">
        <v>13398</v>
      </c>
      <c r="L182" s="238">
        <v>0.76237623762376239</v>
      </c>
      <c r="M182" s="238">
        <v>203</v>
      </c>
      <c r="N182" s="238">
        <v>100</v>
      </c>
      <c r="O182" s="238">
        <v>20300</v>
      </c>
      <c r="P182" s="681">
        <v>1.1551155115511551</v>
      </c>
      <c r="Q182" s="712">
        <v>203</v>
      </c>
    </row>
    <row r="183" spans="1:17" ht="14.4" customHeight="1" x14ac:dyDescent="0.3">
      <c r="A183" s="679" t="s">
        <v>3257</v>
      </c>
      <c r="B183" s="670" t="s">
        <v>3258</v>
      </c>
      <c r="C183" s="670" t="s">
        <v>2234</v>
      </c>
      <c r="D183" s="670" t="s">
        <v>3261</v>
      </c>
      <c r="E183" s="670" t="s">
        <v>3260</v>
      </c>
      <c r="F183" s="238"/>
      <c r="G183" s="238"/>
      <c r="H183" s="238"/>
      <c r="I183" s="238"/>
      <c r="J183" s="238"/>
      <c r="K183" s="238"/>
      <c r="L183" s="238"/>
      <c r="M183" s="238"/>
      <c r="N183" s="238">
        <v>2</v>
      </c>
      <c r="O183" s="238">
        <v>168</v>
      </c>
      <c r="P183" s="681"/>
      <c r="Q183" s="712">
        <v>84</v>
      </c>
    </row>
    <row r="184" spans="1:17" ht="14.4" customHeight="1" x14ac:dyDescent="0.3">
      <c r="A184" s="679" t="s">
        <v>3257</v>
      </c>
      <c r="B184" s="670" t="s">
        <v>3258</v>
      </c>
      <c r="C184" s="670" t="s">
        <v>2234</v>
      </c>
      <c r="D184" s="670" t="s">
        <v>3262</v>
      </c>
      <c r="E184" s="670" t="s">
        <v>3263</v>
      </c>
      <c r="F184" s="238">
        <v>67</v>
      </c>
      <c r="G184" s="238">
        <v>19497</v>
      </c>
      <c r="H184" s="238">
        <v>1</v>
      </c>
      <c r="I184" s="238">
        <v>291</v>
      </c>
      <c r="J184" s="238">
        <v>73</v>
      </c>
      <c r="K184" s="238">
        <v>21316</v>
      </c>
      <c r="L184" s="238">
        <v>1.0932964045750628</v>
      </c>
      <c r="M184" s="238">
        <v>292</v>
      </c>
      <c r="N184" s="238">
        <v>34</v>
      </c>
      <c r="O184" s="238">
        <v>9928</v>
      </c>
      <c r="P184" s="681">
        <v>0.50920654459660464</v>
      </c>
      <c r="Q184" s="712">
        <v>292</v>
      </c>
    </row>
    <row r="185" spans="1:17" ht="14.4" customHeight="1" x14ac:dyDescent="0.3">
      <c r="A185" s="679" t="s">
        <v>3257</v>
      </c>
      <c r="B185" s="670" t="s">
        <v>3258</v>
      </c>
      <c r="C185" s="670" t="s">
        <v>2234</v>
      </c>
      <c r="D185" s="670" t="s">
        <v>3264</v>
      </c>
      <c r="E185" s="670" t="s">
        <v>3265</v>
      </c>
      <c r="F185" s="238">
        <v>91</v>
      </c>
      <c r="G185" s="238">
        <v>12103</v>
      </c>
      <c r="H185" s="238">
        <v>1</v>
      </c>
      <c r="I185" s="238">
        <v>133</v>
      </c>
      <c r="J185" s="238">
        <v>102</v>
      </c>
      <c r="K185" s="238">
        <v>13668</v>
      </c>
      <c r="L185" s="238">
        <v>1.1293067834421218</v>
      </c>
      <c r="M185" s="238">
        <v>134</v>
      </c>
      <c r="N185" s="238">
        <v>97</v>
      </c>
      <c r="O185" s="238">
        <v>12998</v>
      </c>
      <c r="P185" s="681">
        <v>1.0739486077831943</v>
      </c>
      <c r="Q185" s="712">
        <v>134</v>
      </c>
    </row>
    <row r="186" spans="1:17" ht="14.4" customHeight="1" x14ac:dyDescent="0.3">
      <c r="A186" s="679" t="s">
        <v>3257</v>
      </c>
      <c r="B186" s="670" t="s">
        <v>3258</v>
      </c>
      <c r="C186" s="670" t="s">
        <v>2234</v>
      </c>
      <c r="D186" s="670" t="s">
        <v>3266</v>
      </c>
      <c r="E186" s="670" t="s">
        <v>3265</v>
      </c>
      <c r="F186" s="238"/>
      <c r="G186" s="238"/>
      <c r="H186" s="238"/>
      <c r="I186" s="238"/>
      <c r="J186" s="238"/>
      <c r="K186" s="238"/>
      <c r="L186" s="238"/>
      <c r="M186" s="238"/>
      <c r="N186" s="238">
        <v>1</v>
      </c>
      <c r="O186" s="238">
        <v>175</v>
      </c>
      <c r="P186" s="681"/>
      <c r="Q186" s="712">
        <v>175</v>
      </c>
    </row>
    <row r="187" spans="1:17" ht="14.4" customHeight="1" x14ac:dyDescent="0.3">
      <c r="A187" s="679" t="s">
        <v>3257</v>
      </c>
      <c r="B187" s="670" t="s">
        <v>3258</v>
      </c>
      <c r="C187" s="670" t="s">
        <v>2234</v>
      </c>
      <c r="D187" s="670" t="s">
        <v>3267</v>
      </c>
      <c r="E187" s="670" t="s">
        <v>3268</v>
      </c>
      <c r="F187" s="238">
        <v>1</v>
      </c>
      <c r="G187" s="238">
        <v>609</v>
      </c>
      <c r="H187" s="238">
        <v>1</v>
      </c>
      <c r="I187" s="238">
        <v>609</v>
      </c>
      <c r="J187" s="238"/>
      <c r="K187" s="238"/>
      <c r="L187" s="238"/>
      <c r="M187" s="238"/>
      <c r="N187" s="238">
        <v>2</v>
      </c>
      <c r="O187" s="238">
        <v>1224</v>
      </c>
      <c r="P187" s="681">
        <v>2.0098522167487687</v>
      </c>
      <c r="Q187" s="712">
        <v>612</v>
      </c>
    </row>
    <row r="188" spans="1:17" ht="14.4" customHeight="1" x14ac:dyDescent="0.3">
      <c r="A188" s="679" t="s">
        <v>3257</v>
      </c>
      <c r="B188" s="670" t="s">
        <v>3258</v>
      </c>
      <c r="C188" s="670" t="s">
        <v>2234</v>
      </c>
      <c r="D188" s="670" t="s">
        <v>3269</v>
      </c>
      <c r="E188" s="670" t="s">
        <v>3270</v>
      </c>
      <c r="F188" s="238">
        <v>4</v>
      </c>
      <c r="G188" s="238">
        <v>632</v>
      </c>
      <c r="H188" s="238">
        <v>1</v>
      </c>
      <c r="I188" s="238">
        <v>158</v>
      </c>
      <c r="J188" s="238">
        <v>3</v>
      </c>
      <c r="K188" s="238">
        <v>477</v>
      </c>
      <c r="L188" s="238">
        <v>0.754746835443038</v>
      </c>
      <c r="M188" s="238">
        <v>159</v>
      </c>
      <c r="N188" s="238">
        <v>3</v>
      </c>
      <c r="O188" s="238">
        <v>477</v>
      </c>
      <c r="P188" s="681">
        <v>0.754746835443038</v>
      </c>
      <c r="Q188" s="712">
        <v>159</v>
      </c>
    </row>
    <row r="189" spans="1:17" ht="14.4" customHeight="1" x14ac:dyDescent="0.3">
      <c r="A189" s="679" t="s">
        <v>3257</v>
      </c>
      <c r="B189" s="670" t="s">
        <v>3258</v>
      </c>
      <c r="C189" s="670" t="s">
        <v>2234</v>
      </c>
      <c r="D189" s="670" t="s">
        <v>3271</v>
      </c>
      <c r="E189" s="670" t="s">
        <v>3272</v>
      </c>
      <c r="F189" s="238">
        <v>18</v>
      </c>
      <c r="G189" s="238">
        <v>4698</v>
      </c>
      <c r="H189" s="238">
        <v>1</v>
      </c>
      <c r="I189" s="238">
        <v>261</v>
      </c>
      <c r="J189" s="238">
        <v>27</v>
      </c>
      <c r="K189" s="238">
        <v>7074</v>
      </c>
      <c r="L189" s="238">
        <v>1.5057471264367817</v>
      </c>
      <c r="M189" s="238">
        <v>262</v>
      </c>
      <c r="N189" s="238">
        <v>34</v>
      </c>
      <c r="O189" s="238">
        <v>8908</v>
      </c>
      <c r="P189" s="681">
        <v>1.8961260110685398</v>
      </c>
      <c r="Q189" s="712">
        <v>262</v>
      </c>
    </row>
    <row r="190" spans="1:17" ht="14.4" customHeight="1" x14ac:dyDescent="0.3">
      <c r="A190" s="679" t="s">
        <v>3257</v>
      </c>
      <c r="B190" s="670" t="s">
        <v>3258</v>
      </c>
      <c r="C190" s="670" t="s">
        <v>2234</v>
      </c>
      <c r="D190" s="670" t="s">
        <v>3273</v>
      </c>
      <c r="E190" s="670" t="s">
        <v>3274</v>
      </c>
      <c r="F190" s="238">
        <v>26</v>
      </c>
      <c r="G190" s="238">
        <v>3640</v>
      </c>
      <c r="H190" s="238">
        <v>1</v>
      </c>
      <c r="I190" s="238">
        <v>140</v>
      </c>
      <c r="J190" s="238">
        <v>26</v>
      </c>
      <c r="K190" s="238">
        <v>3666</v>
      </c>
      <c r="L190" s="238">
        <v>1.0071428571428571</v>
      </c>
      <c r="M190" s="238">
        <v>141</v>
      </c>
      <c r="N190" s="238">
        <v>35</v>
      </c>
      <c r="O190" s="238">
        <v>4935</v>
      </c>
      <c r="P190" s="681">
        <v>1.3557692307692308</v>
      </c>
      <c r="Q190" s="712">
        <v>141</v>
      </c>
    </row>
    <row r="191" spans="1:17" ht="14.4" customHeight="1" x14ac:dyDescent="0.3">
      <c r="A191" s="679" t="s">
        <v>3257</v>
      </c>
      <c r="B191" s="670" t="s">
        <v>3258</v>
      </c>
      <c r="C191" s="670" t="s">
        <v>2234</v>
      </c>
      <c r="D191" s="670" t="s">
        <v>3275</v>
      </c>
      <c r="E191" s="670" t="s">
        <v>3274</v>
      </c>
      <c r="F191" s="238">
        <v>91</v>
      </c>
      <c r="G191" s="238">
        <v>7098</v>
      </c>
      <c r="H191" s="238">
        <v>1</v>
      </c>
      <c r="I191" s="238">
        <v>78</v>
      </c>
      <c r="J191" s="238">
        <v>102</v>
      </c>
      <c r="K191" s="238">
        <v>7956</v>
      </c>
      <c r="L191" s="238">
        <v>1.1208791208791209</v>
      </c>
      <c r="M191" s="238">
        <v>78</v>
      </c>
      <c r="N191" s="238">
        <v>97</v>
      </c>
      <c r="O191" s="238">
        <v>7566</v>
      </c>
      <c r="P191" s="681">
        <v>1.0659340659340659</v>
      </c>
      <c r="Q191" s="712">
        <v>78</v>
      </c>
    </row>
    <row r="192" spans="1:17" ht="14.4" customHeight="1" x14ac:dyDescent="0.3">
      <c r="A192" s="679" t="s">
        <v>3257</v>
      </c>
      <c r="B192" s="670" t="s">
        <v>3258</v>
      </c>
      <c r="C192" s="670" t="s">
        <v>2234</v>
      </c>
      <c r="D192" s="670" t="s">
        <v>3276</v>
      </c>
      <c r="E192" s="670" t="s">
        <v>3277</v>
      </c>
      <c r="F192" s="238">
        <v>26</v>
      </c>
      <c r="G192" s="238">
        <v>7852</v>
      </c>
      <c r="H192" s="238">
        <v>1</v>
      </c>
      <c r="I192" s="238">
        <v>302</v>
      </c>
      <c r="J192" s="238">
        <v>26</v>
      </c>
      <c r="K192" s="238">
        <v>7878</v>
      </c>
      <c r="L192" s="238">
        <v>1.0033112582781456</v>
      </c>
      <c r="M192" s="238">
        <v>303</v>
      </c>
      <c r="N192" s="238">
        <v>35</v>
      </c>
      <c r="O192" s="238">
        <v>10605</v>
      </c>
      <c r="P192" s="681">
        <v>1.3506113092205807</v>
      </c>
      <c r="Q192" s="712">
        <v>303</v>
      </c>
    </row>
    <row r="193" spans="1:17" ht="14.4" customHeight="1" x14ac:dyDescent="0.3">
      <c r="A193" s="679" t="s">
        <v>3257</v>
      </c>
      <c r="B193" s="670" t="s">
        <v>3258</v>
      </c>
      <c r="C193" s="670" t="s">
        <v>2234</v>
      </c>
      <c r="D193" s="670" t="s">
        <v>3278</v>
      </c>
      <c r="E193" s="670" t="s">
        <v>3279</v>
      </c>
      <c r="F193" s="238">
        <v>80</v>
      </c>
      <c r="G193" s="238">
        <v>12720</v>
      </c>
      <c r="H193" s="238">
        <v>1</v>
      </c>
      <c r="I193" s="238">
        <v>159</v>
      </c>
      <c r="J193" s="238">
        <v>97</v>
      </c>
      <c r="K193" s="238">
        <v>15520</v>
      </c>
      <c r="L193" s="238">
        <v>1.220125786163522</v>
      </c>
      <c r="M193" s="238">
        <v>160</v>
      </c>
      <c r="N193" s="238">
        <v>93</v>
      </c>
      <c r="O193" s="238">
        <v>14880</v>
      </c>
      <c r="P193" s="681">
        <v>1.1698113207547169</v>
      </c>
      <c r="Q193" s="712">
        <v>160</v>
      </c>
    </row>
    <row r="194" spans="1:17" ht="14.4" customHeight="1" x14ac:dyDescent="0.3">
      <c r="A194" s="679" t="s">
        <v>3257</v>
      </c>
      <c r="B194" s="670" t="s">
        <v>3258</v>
      </c>
      <c r="C194" s="670" t="s">
        <v>2234</v>
      </c>
      <c r="D194" s="670" t="s">
        <v>3280</v>
      </c>
      <c r="E194" s="670" t="s">
        <v>3260</v>
      </c>
      <c r="F194" s="238">
        <v>152</v>
      </c>
      <c r="G194" s="238">
        <v>10640</v>
      </c>
      <c r="H194" s="238">
        <v>1</v>
      </c>
      <c r="I194" s="238">
        <v>70</v>
      </c>
      <c r="J194" s="238">
        <v>157</v>
      </c>
      <c r="K194" s="238">
        <v>10990</v>
      </c>
      <c r="L194" s="238">
        <v>1.0328947368421053</v>
      </c>
      <c r="M194" s="238">
        <v>70</v>
      </c>
      <c r="N194" s="238">
        <v>151</v>
      </c>
      <c r="O194" s="238">
        <v>10570</v>
      </c>
      <c r="P194" s="681">
        <v>0.99342105263157898</v>
      </c>
      <c r="Q194" s="712">
        <v>70</v>
      </c>
    </row>
    <row r="195" spans="1:17" ht="14.4" customHeight="1" x14ac:dyDescent="0.3">
      <c r="A195" s="679" t="s">
        <v>3257</v>
      </c>
      <c r="B195" s="670" t="s">
        <v>3258</v>
      </c>
      <c r="C195" s="670" t="s">
        <v>2234</v>
      </c>
      <c r="D195" s="670" t="s">
        <v>3281</v>
      </c>
      <c r="E195" s="670" t="s">
        <v>3282</v>
      </c>
      <c r="F195" s="238"/>
      <c r="G195" s="238"/>
      <c r="H195" s="238"/>
      <c r="I195" s="238"/>
      <c r="J195" s="238"/>
      <c r="K195" s="238"/>
      <c r="L195" s="238"/>
      <c r="M195" s="238"/>
      <c r="N195" s="238">
        <v>3</v>
      </c>
      <c r="O195" s="238">
        <v>648</v>
      </c>
      <c r="P195" s="681"/>
      <c r="Q195" s="712">
        <v>216</v>
      </c>
    </row>
    <row r="196" spans="1:17" ht="14.4" customHeight="1" x14ac:dyDescent="0.3">
      <c r="A196" s="679" t="s">
        <v>3257</v>
      </c>
      <c r="B196" s="670" t="s">
        <v>3258</v>
      </c>
      <c r="C196" s="670" t="s">
        <v>2234</v>
      </c>
      <c r="D196" s="670" t="s">
        <v>3283</v>
      </c>
      <c r="E196" s="670" t="s">
        <v>3284</v>
      </c>
      <c r="F196" s="238">
        <v>3</v>
      </c>
      <c r="G196" s="238">
        <v>3558</v>
      </c>
      <c r="H196" s="238">
        <v>1</v>
      </c>
      <c r="I196" s="238">
        <v>1186</v>
      </c>
      <c r="J196" s="238">
        <v>3</v>
      </c>
      <c r="K196" s="238">
        <v>3567</v>
      </c>
      <c r="L196" s="238">
        <v>1.0025295109612142</v>
      </c>
      <c r="M196" s="238">
        <v>1189</v>
      </c>
      <c r="N196" s="238">
        <v>7</v>
      </c>
      <c r="O196" s="238">
        <v>8323</v>
      </c>
      <c r="P196" s="681">
        <v>2.3392355255761665</v>
      </c>
      <c r="Q196" s="712">
        <v>1189</v>
      </c>
    </row>
    <row r="197" spans="1:17" ht="14.4" customHeight="1" x14ac:dyDescent="0.3">
      <c r="A197" s="679" t="s">
        <v>3257</v>
      </c>
      <c r="B197" s="670" t="s">
        <v>3258</v>
      </c>
      <c r="C197" s="670" t="s">
        <v>2234</v>
      </c>
      <c r="D197" s="670" t="s">
        <v>3285</v>
      </c>
      <c r="E197" s="670" t="s">
        <v>3286</v>
      </c>
      <c r="F197" s="238">
        <v>3</v>
      </c>
      <c r="G197" s="238">
        <v>321</v>
      </c>
      <c r="H197" s="238">
        <v>1</v>
      </c>
      <c r="I197" s="238">
        <v>107</v>
      </c>
      <c r="J197" s="238">
        <v>4</v>
      </c>
      <c r="K197" s="238">
        <v>432</v>
      </c>
      <c r="L197" s="238">
        <v>1.3457943925233644</v>
      </c>
      <c r="M197" s="238">
        <v>108</v>
      </c>
      <c r="N197" s="238">
        <v>4</v>
      </c>
      <c r="O197" s="238">
        <v>432</v>
      </c>
      <c r="P197" s="681">
        <v>1.3457943925233644</v>
      </c>
      <c r="Q197" s="712">
        <v>108</v>
      </c>
    </row>
    <row r="198" spans="1:17" ht="14.4" customHeight="1" x14ac:dyDescent="0.3">
      <c r="A198" s="679" t="s">
        <v>3257</v>
      </c>
      <c r="B198" s="670" t="s">
        <v>3258</v>
      </c>
      <c r="C198" s="670" t="s">
        <v>2234</v>
      </c>
      <c r="D198" s="670" t="s">
        <v>3287</v>
      </c>
      <c r="E198" s="670" t="s">
        <v>3288</v>
      </c>
      <c r="F198" s="238"/>
      <c r="G198" s="238"/>
      <c r="H198" s="238"/>
      <c r="I198" s="238"/>
      <c r="J198" s="238"/>
      <c r="K198" s="238"/>
      <c r="L198" s="238"/>
      <c r="M198" s="238"/>
      <c r="N198" s="238">
        <v>1</v>
      </c>
      <c r="O198" s="238">
        <v>319</v>
      </c>
      <c r="P198" s="681"/>
      <c r="Q198" s="712">
        <v>319</v>
      </c>
    </row>
    <row r="199" spans="1:17" ht="14.4" customHeight="1" x14ac:dyDescent="0.3">
      <c r="A199" s="679" t="s">
        <v>3257</v>
      </c>
      <c r="B199" s="670" t="s">
        <v>3258</v>
      </c>
      <c r="C199" s="670" t="s">
        <v>2234</v>
      </c>
      <c r="D199" s="670" t="s">
        <v>3289</v>
      </c>
      <c r="E199" s="670" t="s">
        <v>3290</v>
      </c>
      <c r="F199" s="238"/>
      <c r="G199" s="238"/>
      <c r="H199" s="238"/>
      <c r="I199" s="238"/>
      <c r="J199" s="238"/>
      <c r="K199" s="238"/>
      <c r="L199" s="238"/>
      <c r="M199" s="238"/>
      <c r="N199" s="238">
        <v>1</v>
      </c>
      <c r="O199" s="238">
        <v>1020</v>
      </c>
      <c r="P199" s="681"/>
      <c r="Q199" s="712">
        <v>1020</v>
      </c>
    </row>
    <row r="200" spans="1:17" ht="14.4" customHeight="1" x14ac:dyDescent="0.3">
      <c r="A200" s="679" t="s">
        <v>3291</v>
      </c>
      <c r="B200" s="670" t="s">
        <v>3292</v>
      </c>
      <c r="C200" s="670" t="s">
        <v>2234</v>
      </c>
      <c r="D200" s="670" t="s">
        <v>3293</v>
      </c>
      <c r="E200" s="670" t="s">
        <v>3294</v>
      </c>
      <c r="F200" s="238">
        <v>24</v>
      </c>
      <c r="G200" s="238">
        <v>1272</v>
      </c>
      <c r="H200" s="238">
        <v>1</v>
      </c>
      <c r="I200" s="238">
        <v>53</v>
      </c>
      <c r="J200" s="238">
        <v>28</v>
      </c>
      <c r="K200" s="238">
        <v>1484</v>
      </c>
      <c r="L200" s="238">
        <v>1.1666666666666667</v>
      </c>
      <c r="M200" s="238">
        <v>53</v>
      </c>
      <c r="N200" s="238">
        <v>30</v>
      </c>
      <c r="O200" s="238">
        <v>1590</v>
      </c>
      <c r="P200" s="681">
        <v>1.25</v>
      </c>
      <c r="Q200" s="712">
        <v>53</v>
      </c>
    </row>
    <row r="201" spans="1:17" ht="14.4" customHeight="1" x14ac:dyDescent="0.3">
      <c r="A201" s="679" t="s">
        <v>3291</v>
      </c>
      <c r="B201" s="670" t="s">
        <v>3292</v>
      </c>
      <c r="C201" s="670" t="s">
        <v>2234</v>
      </c>
      <c r="D201" s="670" t="s">
        <v>3295</v>
      </c>
      <c r="E201" s="670" t="s">
        <v>3296</v>
      </c>
      <c r="F201" s="238">
        <v>10</v>
      </c>
      <c r="G201" s="238">
        <v>1200</v>
      </c>
      <c r="H201" s="238">
        <v>1</v>
      </c>
      <c r="I201" s="238">
        <v>120</v>
      </c>
      <c r="J201" s="238">
        <v>10</v>
      </c>
      <c r="K201" s="238">
        <v>1210</v>
      </c>
      <c r="L201" s="238">
        <v>1.0083333333333333</v>
      </c>
      <c r="M201" s="238">
        <v>121</v>
      </c>
      <c r="N201" s="238">
        <v>4</v>
      </c>
      <c r="O201" s="238">
        <v>484</v>
      </c>
      <c r="P201" s="681">
        <v>0.40333333333333332</v>
      </c>
      <c r="Q201" s="712">
        <v>121</v>
      </c>
    </row>
    <row r="202" spans="1:17" ht="14.4" customHeight="1" x14ac:dyDescent="0.3">
      <c r="A202" s="679" t="s">
        <v>3291</v>
      </c>
      <c r="B202" s="670" t="s">
        <v>3292</v>
      </c>
      <c r="C202" s="670" t="s">
        <v>2234</v>
      </c>
      <c r="D202" s="670" t="s">
        <v>3297</v>
      </c>
      <c r="E202" s="670" t="s">
        <v>3298</v>
      </c>
      <c r="F202" s="238">
        <v>1</v>
      </c>
      <c r="G202" s="238">
        <v>379</v>
      </c>
      <c r="H202" s="238">
        <v>1</v>
      </c>
      <c r="I202" s="238">
        <v>379</v>
      </c>
      <c r="J202" s="238">
        <v>1</v>
      </c>
      <c r="K202" s="238">
        <v>380</v>
      </c>
      <c r="L202" s="238">
        <v>1.0026385224274406</v>
      </c>
      <c r="M202" s="238">
        <v>380</v>
      </c>
      <c r="N202" s="238"/>
      <c r="O202" s="238"/>
      <c r="P202" s="681"/>
      <c r="Q202" s="712"/>
    </row>
    <row r="203" spans="1:17" ht="14.4" customHeight="1" x14ac:dyDescent="0.3">
      <c r="A203" s="679" t="s">
        <v>3291</v>
      </c>
      <c r="B203" s="670" t="s">
        <v>3292</v>
      </c>
      <c r="C203" s="670" t="s">
        <v>2234</v>
      </c>
      <c r="D203" s="670" t="s">
        <v>3299</v>
      </c>
      <c r="E203" s="670" t="s">
        <v>3300</v>
      </c>
      <c r="F203" s="238">
        <v>8</v>
      </c>
      <c r="G203" s="238">
        <v>1336</v>
      </c>
      <c r="H203" s="238">
        <v>1</v>
      </c>
      <c r="I203" s="238">
        <v>167</v>
      </c>
      <c r="J203" s="238">
        <v>1</v>
      </c>
      <c r="K203" s="238">
        <v>168</v>
      </c>
      <c r="L203" s="238">
        <v>0.12574850299401197</v>
      </c>
      <c r="M203" s="238">
        <v>168</v>
      </c>
      <c r="N203" s="238">
        <v>14</v>
      </c>
      <c r="O203" s="238">
        <v>2352</v>
      </c>
      <c r="P203" s="681">
        <v>1.7604790419161678</v>
      </c>
      <c r="Q203" s="712">
        <v>168</v>
      </c>
    </row>
    <row r="204" spans="1:17" ht="14.4" customHeight="1" x14ac:dyDescent="0.3">
      <c r="A204" s="679" t="s">
        <v>3291</v>
      </c>
      <c r="B204" s="670" t="s">
        <v>3292</v>
      </c>
      <c r="C204" s="670" t="s">
        <v>2234</v>
      </c>
      <c r="D204" s="670" t="s">
        <v>3301</v>
      </c>
      <c r="E204" s="670" t="s">
        <v>3302</v>
      </c>
      <c r="F204" s="238">
        <v>9</v>
      </c>
      <c r="G204" s="238">
        <v>2817</v>
      </c>
      <c r="H204" s="238">
        <v>1</v>
      </c>
      <c r="I204" s="238">
        <v>313</v>
      </c>
      <c r="J204" s="238">
        <v>14</v>
      </c>
      <c r="K204" s="238">
        <v>4424</v>
      </c>
      <c r="L204" s="238">
        <v>1.5704650337238197</v>
      </c>
      <c r="M204" s="238">
        <v>316</v>
      </c>
      <c r="N204" s="238">
        <v>9</v>
      </c>
      <c r="O204" s="238">
        <v>2844</v>
      </c>
      <c r="P204" s="681">
        <v>1.0095846645367412</v>
      </c>
      <c r="Q204" s="712">
        <v>316</v>
      </c>
    </row>
    <row r="205" spans="1:17" ht="14.4" customHeight="1" x14ac:dyDescent="0.3">
      <c r="A205" s="679" t="s">
        <v>3291</v>
      </c>
      <c r="B205" s="670" t="s">
        <v>3292</v>
      </c>
      <c r="C205" s="670" t="s">
        <v>2234</v>
      </c>
      <c r="D205" s="670" t="s">
        <v>3303</v>
      </c>
      <c r="E205" s="670" t="s">
        <v>3304</v>
      </c>
      <c r="F205" s="238"/>
      <c r="G205" s="238"/>
      <c r="H205" s="238"/>
      <c r="I205" s="238"/>
      <c r="J205" s="238">
        <v>1</v>
      </c>
      <c r="K205" s="238">
        <v>435</v>
      </c>
      <c r="L205" s="238"/>
      <c r="M205" s="238">
        <v>435</v>
      </c>
      <c r="N205" s="238"/>
      <c r="O205" s="238"/>
      <c r="P205" s="681"/>
      <c r="Q205" s="712"/>
    </row>
    <row r="206" spans="1:17" ht="14.4" customHeight="1" x14ac:dyDescent="0.3">
      <c r="A206" s="679" t="s">
        <v>3291</v>
      </c>
      <c r="B206" s="670" t="s">
        <v>3292</v>
      </c>
      <c r="C206" s="670" t="s">
        <v>2234</v>
      </c>
      <c r="D206" s="670" t="s">
        <v>3305</v>
      </c>
      <c r="E206" s="670" t="s">
        <v>3306</v>
      </c>
      <c r="F206" s="238">
        <v>219</v>
      </c>
      <c r="G206" s="238">
        <v>73803</v>
      </c>
      <c r="H206" s="238">
        <v>1</v>
      </c>
      <c r="I206" s="238">
        <v>337</v>
      </c>
      <c r="J206" s="238">
        <v>146</v>
      </c>
      <c r="K206" s="238">
        <v>49348</v>
      </c>
      <c r="L206" s="238">
        <v>0.66864490603363003</v>
      </c>
      <c r="M206" s="238">
        <v>338</v>
      </c>
      <c r="N206" s="238">
        <v>154</v>
      </c>
      <c r="O206" s="238">
        <v>52052</v>
      </c>
      <c r="P206" s="681">
        <v>0.70528298307656867</v>
      </c>
      <c r="Q206" s="712">
        <v>338</v>
      </c>
    </row>
    <row r="207" spans="1:17" ht="14.4" customHeight="1" x14ac:dyDescent="0.3">
      <c r="A207" s="679" t="s">
        <v>3291</v>
      </c>
      <c r="B207" s="670" t="s">
        <v>3292</v>
      </c>
      <c r="C207" s="670" t="s">
        <v>2234</v>
      </c>
      <c r="D207" s="670" t="s">
        <v>3307</v>
      </c>
      <c r="E207" s="670" t="s">
        <v>3308</v>
      </c>
      <c r="F207" s="238">
        <v>1</v>
      </c>
      <c r="G207" s="238">
        <v>107</v>
      </c>
      <c r="H207" s="238">
        <v>1</v>
      </c>
      <c r="I207" s="238">
        <v>107</v>
      </c>
      <c r="J207" s="238">
        <v>1</v>
      </c>
      <c r="K207" s="238">
        <v>108</v>
      </c>
      <c r="L207" s="238">
        <v>1.0093457943925233</v>
      </c>
      <c r="M207" s="238">
        <v>108</v>
      </c>
      <c r="N207" s="238"/>
      <c r="O207" s="238"/>
      <c r="P207" s="681"/>
      <c r="Q207" s="712"/>
    </row>
    <row r="208" spans="1:17" ht="14.4" customHeight="1" x14ac:dyDescent="0.3">
      <c r="A208" s="679" t="s">
        <v>3291</v>
      </c>
      <c r="B208" s="670" t="s">
        <v>3292</v>
      </c>
      <c r="C208" s="670" t="s">
        <v>2234</v>
      </c>
      <c r="D208" s="670" t="s">
        <v>3002</v>
      </c>
      <c r="E208" s="670" t="s">
        <v>3003</v>
      </c>
      <c r="F208" s="238">
        <v>1</v>
      </c>
      <c r="G208" s="238">
        <v>36</v>
      </c>
      <c r="H208" s="238">
        <v>1</v>
      </c>
      <c r="I208" s="238">
        <v>36</v>
      </c>
      <c r="J208" s="238">
        <v>1</v>
      </c>
      <c r="K208" s="238">
        <v>37</v>
      </c>
      <c r="L208" s="238">
        <v>1.0277777777777777</v>
      </c>
      <c r="M208" s="238">
        <v>37</v>
      </c>
      <c r="N208" s="238"/>
      <c r="O208" s="238"/>
      <c r="P208" s="681"/>
      <c r="Q208" s="712"/>
    </row>
    <row r="209" spans="1:17" ht="14.4" customHeight="1" x14ac:dyDescent="0.3">
      <c r="A209" s="679" t="s">
        <v>3291</v>
      </c>
      <c r="B209" s="670" t="s">
        <v>3292</v>
      </c>
      <c r="C209" s="670" t="s">
        <v>2234</v>
      </c>
      <c r="D209" s="670" t="s">
        <v>3309</v>
      </c>
      <c r="E209" s="670" t="s">
        <v>3310</v>
      </c>
      <c r="F209" s="238">
        <v>6</v>
      </c>
      <c r="G209" s="238">
        <v>1680</v>
      </c>
      <c r="H209" s="238">
        <v>1</v>
      </c>
      <c r="I209" s="238">
        <v>280</v>
      </c>
      <c r="J209" s="238">
        <v>5</v>
      </c>
      <c r="K209" s="238">
        <v>1405</v>
      </c>
      <c r="L209" s="238">
        <v>0.83630952380952384</v>
      </c>
      <c r="M209" s="238">
        <v>281</v>
      </c>
      <c r="N209" s="238">
        <v>7</v>
      </c>
      <c r="O209" s="238">
        <v>1967</v>
      </c>
      <c r="P209" s="681">
        <v>1.1708333333333334</v>
      </c>
      <c r="Q209" s="712">
        <v>281</v>
      </c>
    </row>
    <row r="210" spans="1:17" ht="14.4" customHeight="1" x14ac:dyDescent="0.3">
      <c r="A210" s="679" t="s">
        <v>3291</v>
      </c>
      <c r="B210" s="670" t="s">
        <v>3292</v>
      </c>
      <c r="C210" s="670" t="s">
        <v>2234</v>
      </c>
      <c r="D210" s="670" t="s">
        <v>3311</v>
      </c>
      <c r="E210" s="670" t="s">
        <v>3312</v>
      </c>
      <c r="F210" s="238">
        <v>30</v>
      </c>
      <c r="G210" s="238">
        <v>13590</v>
      </c>
      <c r="H210" s="238">
        <v>1</v>
      </c>
      <c r="I210" s="238">
        <v>453</v>
      </c>
      <c r="J210" s="238">
        <v>24</v>
      </c>
      <c r="K210" s="238">
        <v>10944</v>
      </c>
      <c r="L210" s="238">
        <v>0.80529801324503314</v>
      </c>
      <c r="M210" s="238">
        <v>456</v>
      </c>
      <c r="N210" s="238">
        <v>30</v>
      </c>
      <c r="O210" s="238">
        <v>13680</v>
      </c>
      <c r="P210" s="681">
        <v>1.0066225165562914</v>
      </c>
      <c r="Q210" s="712">
        <v>456</v>
      </c>
    </row>
    <row r="211" spans="1:17" ht="14.4" customHeight="1" x14ac:dyDescent="0.3">
      <c r="A211" s="679" t="s">
        <v>3291</v>
      </c>
      <c r="B211" s="670" t="s">
        <v>3292</v>
      </c>
      <c r="C211" s="670" t="s">
        <v>2234</v>
      </c>
      <c r="D211" s="670" t="s">
        <v>3313</v>
      </c>
      <c r="E211" s="670" t="s">
        <v>3314</v>
      </c>
      <c r="F211" s="238">
        <v>36</v>
      </c>
      <c r="G211" s="238">
        <v>12420</v>
      </c>
      <c r="H211" s="238">
        <v>1</v>
      </c>
      <c r="I211" s="238">
        <v>345</v>
      </c>
      <c r="J211" s="238">
        <v>29</v>
      </c>
      <c r="K211" s="238">
        <v>10092</v>
      </c>
      <c r="L211" s="238">
        <v>0.81256038647342999</v>
      </c>
      <c r="M211" s="238">
        <v>348</v>
      </c>
      <c r="N211" s="238">
        <v>38</v>
      </c>
      <c r="O211" s="238">
        <v>13224</v>
      </c>
      <c r="P211" s="681">
        <v>1.0647342995169082</v>
      </c>
      <c r="Q211" s="712">
        <v>348</v>
      </c>
    </row>
    <row r="212" spans="1:17" ht="14.4" customHeight="1" x14ac:dyDescent="0.3">
      <c r="A212" s="679" t="s">
        <v>3291</v>
      </c>
      <c r="B212" s="670" t="s">
        <v>3292</v>
      </c>
      <c r="C212" s="670" t="s">
        <v>2234</v>
      </c>
      <c r="D212" s="670" t="s">
        <v>3315</v>
      </c>
      <c r="E212" s="670" t="s">
        <v>3316</v>
      </c>
      <c r="F212" s="238"/>
      <c r="G212" s="238"/>
      <c r="H212" s="238"/>
      <c r="I212" s="238"/>
      <c r="J212" s="238"/>
      <c r="K212" s="238"/>
      <c r="L212" s="238"/>
      <c r="M212" s="238"/>
      <c r="N212" s="238">
        <v>2</v>
      </c>
      <c r="O212" s="238">
        <v>230</v>
      </c>
      <c r="P212" s="681"/>
      <c r="Q212" s="712">
        <v>115</v>
      </c>
    </row>
    <row r="213" spans="1:17" ht="14.4" customHeight="1" x14ac:dyDescent="0.3">
      <c r="A213" s="679" t="s">
        <v>3291</v>
      </c>
      <c r="B213" s="670" t="s">
        <v>3292</v>
      </c>
      <c r="C213" s="670" t="s">
        <v>2234</v>
      </c>
      <c r="D213" s="670" t="s">
        <v>2921</v>
      </c>
      <c r="E213" s="670" t="s">
        <v>2922</v>
      </c>
      <c r="F213" s="238">
        <v>1</v>
      </c>
      <c r="G213" s="238">
        <v>454</v>
      </c>
      <c r="H213" s="238">
        <v>1</v>
      </c>
      <c r="I213" s="238">
        <v>454</v>
      </c>
      <c r="J213" s="238">
        <v>1</v>
      </c>
      <c r="K213" s="238">
        <v>457</v>
      </c>
      <c r="L213" s="238">
        <v>1.0066079295154184</v>
      </c>
      <c r="M213" s="238">
        <v>457</v>
      </c>
      <c r="N213" s="238"/>
      <c r="O213" s="238"/>
      <c r="P213" s="681"/>
      <c r="Q213" s="712"/>
    </row>
    <row r="214" spans="1:17" ht="14.4" customHeight="1" x14ac:dyDescent="0.3">
      <c r="A214" s="679" t="s">
        <v>3291</v>
      </c>
      <c r="B214" s="670" t="s">
        <v>3292</v>
      </c>
      <c r="C214" s="670" t="s">
        <v>2234</v>
      </c>
      <c r="D214" s="670" t="s">
        <v>2914</v>
      </c>
      <c r="E214" s="670" t="s">
        <v>2915</v>
      </c>
      <c r="F214" s="238">
        <v>1</v>
      </c>
      <c r="G214" s="238">
        <v>1236</v>
      </c>
      <c r="H214" s="238">
        <v>1</v>
      </c>
      <c r="I214" s="238">
        <v>1236</v>
      </c>
      <c r="J214" s="238"/>
      <c r="K214" s="238"/>
      <c r="L214" s="238"/>
      <c r="M214" s="238"/>
      <c r="N214" s="238"/>
      <c r="O214" s="238"/>
      <c r="P214" s="681"/>
      <c r="Q214" s="712"/>
    </row>
    <row r="215" spans="1:17" ht="14.4" customHeight="1" x14ac:dyDescent="0.3">
      <c r="A215" s="679" t="s">
        <v>3291</v>
      </c>
      <c r="B215" s="670" t="s">
        <v>3292</v>
      </c>
      <c r="C215" s="670" t="s">
        <v>2234</v>
      </c>
      <c r="D215" s="670" t="s">
        <v>3317</v>
      </c>
      <c r="E215" s="670" t="s">
        <v>3318</v>
      </c>
      <c r="F215" s="238">
        <v>4</v>
      </c>
      <c r="G215" s="238">
        <v>1700</v>
      </c>
      <c r="H215" s="238">
        <v>1</v>
      </c>
      <c r="I215" s="238">
        <v>425</v>
      </c>
      <c r="J215" s="238">
        <v>4</v>
      </c>
      <c r="K215" s="238">
        <v>1716</v>
      </c>
      <c r="L215" s="238">
        <v>1.0094117647058825</v>
      </c>
      <c r="M215" s="238">
        <v>429</v>
      </c>
      <c r="N215" s="238">
        <v>6</v>
      </c>
      <c r="O215" s="238">
        <v>2574</v>
      </c>
      <c r="P215" s="681">
        <v>1.5141176470588236</v>
      </c>
      <c r="Q215" s="712">
        <v>429</v>
      </c>
    </row>
    <row r="216" spans="1:17" ht="14.4" customHeight="1" x14ac:dyDescent="0.3">
      <c r="A216" s="679" t="s">
        <v>3291</v>
      </c>
      <c r="B216" s="670" t="s">
        <v>3292</v>
      </c>
      <c r="C216" s="670" t="s">
        <v>2234</v>
      </c>
      <c r="D216" s="670" t="s">
        <v>3319</v>
      </c>
      <c r="E216" s="670" t="s">
        <v>3320</v>
      </c>
      <c r="F216" s="238">
        <v>92</v>
      </c>
      <c r="G216" s="238">
        <v>4876</v>
      </c>
      <c r="H216" s="238">
        <v>1</v>
      </c>
      <c r="I216" s="238">
        <v>53</v>
      </c>
      <c r="J216" s="238">
        <v>40</v>
      </c>
      <c r="K216" s="238">
        <v>2120</v>
      </c>
      <c r="L216" s="238">
        <v>0.43478260869565216</v>
      </c>
      <c r="M216" s="238">
        <v>53</v>
      </c>
      <c r="N216" s="238">
        <v>84</v>
      </c>
      <c r="O216" s="238">
        <v>4452</v>
      </c>
      <c r="P216" s="681">
        <v>0.91304347826086951</v>
      </c>
      <c r="Q216" s="712">
        <v>53</v>
      </c>
    </row>
    <row r="217" spans="1:17" ht="14.4" customHeight="1" x14ac:dyDescent="0.3">
      <c r="A217" s="679" t="s">
        <v>3291</v>
      </c>
      <c r="B217" s="670" t="s">
        <v>3292</v>
      </c>
      <c r="C217" s="670" t="s">
        <v>2234</v>
      </c>
      <c r="D217" s="670" t="s">
        <v>3321</v>
      </c>
      <c r="E217" s="670" t="s">
        <v>3322</v>
      </c>
      <c r="F217" s="238">
        <v>74</v>
      </c>
      <c r="G217" s="238">
        <v>12136</v>
      </c>
      <c r="H217" s="238">
        <v>1</v>
      </c>
      <c r="I217" s="238">
        <v>164</v>
      </c>
      <c r="J217" s="238">
        <v>60</v>
      </c>
      <c r="K217" s="238">
        <v>9900</v>
      </c>
      <c r="L217" s="238">
        <v>0.8157547791694133</v>
      </c>
      <c r="M217" s="238">
        <v>165</v>
      </c>
      <c r="N217" s="238">
        <v>63</v>
      </c>
      <c r="O217" s="238">
        <v>10395</v>
      </c>
      <c r="P217" s="681">
        <v>0.85654251812788396</v>
      </c>
      <c r="Q217" s="712">
        <v>165</v>
      </c>
    </row>
    <row r="218" spans="1:17" ht="14.4" customHeight="1" x14ac:dyDescent="0.3">
      <c r="A218" s="679" t="s">
        <v>3291</v>
      </c>
      <c r="B218" s="670" t="s">
        <v>3292</v>
      </c>
      <c r="C218" s="670" t="s">
        <v>2234</v>
      </c>
      <c r="D218" s="670" t="s">
        <v>3323</v>
      </c>
      <c r="E218" s="670" t="s">
        <v>3324</v>
      </c>
      <c r="F218" s="238">
        <v>2</v>
      </c>
      <c r="G218" s="238">
        <v>318</v>
      </c>
      <c r="H218" s="238">
        <v>1</v>
      </c>
      <c r="I218" s="238">
        <v>159</v>
      </c>
      <c r="J218" s="238">
        <v>8</v>
      </c>
      <c r="K218" s="238">
        <v>1280</v>
      </c>
      <c r="L218" s="238">
        <v>4.0251572327044025</v>
      </c>
      <c r="M218" s="238">
        <v>160</v>
      </c>
      <c r="N218" s="238">
        <v>4</v>
      </c>
      <c r="O218" s="238">
        <v>640</v>
      </c>
      <c r="P218" s="681">
        <v>2.0125786163522013</v>
      </c>
      <c r="Q218" s="712">
        <v>160</v>
      </c>
    </row>
    <row r="219" spans="1:17" ht="14.4" customHeight="1" x14ac:dyDescent="0.3">
      <c r="A219" s="679" t="s">
        <v>3291</v>
      </c>
      <c r="B219" s="670" t="s">
        <v>3292</v>
      </c>
      <c r="C219" s="670" t="s">
        <v>2234</v>
      </c>
      <c r="D219" s="670" t="s">
        <v>3325</v>
      </c>
      <c r="E219" s="670" t="s">
        <v>3326</v>
      </c>
      <c r="F219" s="238">
        <v>2</v>
      </c>
      <c r="G219" s="238">
        <v>2000</v>
      </c>
      <c r="H219" s="238">
        <v>1</v>
      </c>
      <c r="I219" s="238">
        <v>1000</v>
      </c>
      <c r="J219" s="238"/>
      <c r="K219" s="238"/>
      <c r="L219" s="238"/>
      <c r="M219" s="238"/>
      <c r="N219" s="238"/>
      <c r="O219" s="238"/>
      <c r="P219" s="681"/>
      <c r="Q219" s="712"/>
    </row>
    <row r="220" spans="1:17" ht="14.4" customHeight="1" x14ac:dyDescent="0.3">
      <c r="A220" s="679" t="s">
        <v>3291</v>
      </c>
      <c r="B220" s="670" t="s">
        <v>3292</v>
      </c>
      <c r="C220" s="670" t="s">
        <v>2234</v>
      </c>
      <c r="D220" s="670" t="s">
        <v>2918</v>
      </c>
      <c r="E220" s="670" t="s">
        <v>2919</v>
      </c>
      <c r="F220" s="238">
        <v>2</v>
      </c>
      <c r="G220" s="238">
        <v>4442</v>
      </c>
      <c r="H220" s="238">
        <v>1</v>
      </c>
      <c r="I220" s="238">
        <v>2221</v>
      </c>
      <c r="J220" s="238"/>
      <c r="K220" s="238"/>
      <c r="L220" s="238"/>
      <c r="M220" s="238"/>
      <c r="N220" s="238"/>
      <c r="O220" s="238"/>
      <c r="P220" s="681"/>
      <c r="Q220" s="712"/>
    </row>
    <row r="221" spans="1:17" ht="14.4" customHeight="1" x14ac:dyDescent="0.3">
      <c r="A221" s="679" t="s">
        <v>3291</v>
      </c>
      <c r="B221" s="670" t="s">
        <v>3292</v>
      </c>
      <c r="C221" s="670" t="s">
        <v>2234</v>
      </c>
      <c r="D221" s="670" t="s">
        <v>3327</v>
      </c>
      <c r="E221" s="670" t="s">
        <v>3328</v>
      </c>
      <c r="F221" s="238">
        <v>12</v>
      </c>
      <c r="G221" s="238">
        <v>23820</v>
      </c>
      <c r="H221" s="238">
        <v>1</v>
      </c>
      <c r="I221" s="238">
        <v>1985</v>
      </c>
      <c r="J221" s="238">
        <v>34</v>
      </c>
      <c r="K221" s="238">
        <v>67762</v>
      </c>
      <c r="L221" s="238">
        <v>2.844752308984047</v>
      </c>
      <c r="M221" s="238">
        <v>1993</v>
      </c>
      <c r="N221" s="238">
        <v>57</v>
      </c>
      <c r="O221" s="238">
        <v>113601</v>
      </c>
      <c r="P221" s="681">
        <v>4.7691435768261963</v>
      </c>
      <c r="Q221" s="712">
        <v>1993</v>
      </c>
    </row>
    <row r="222" spans="1:17" ht="14.4" customHeight="1" x14ac:dyDescent="0.3">
      <c r="A222" s="679" t="s">
        <v>3291</v>
      </c>
      <c r="B222" s="670" t="s">
        <v>3292</v>
      </c>
      <c r="C222" s="670" t="s">
        <v>2234</v>
      </c>
      <c r="D222" s="670" t="s">
        <v>3329</v>
      </c>
      <c r="E222" s="670" t="s">
        <v>3330</v>
      </c>
      <c r="F222" s="238">
        <v>1</v>
      </c>
      <c r="G222" s="238">
        <v>222</v>
      </c>
      <c r="H222" s="238">
        <v>1</v>
      </c>
      <c r="I222" s="238">
        <v>222</v>
      </c>
      <c r="J222" s="238">
        <v>1</v>
      </c>
      <c r="K222" s="238">
        <v>223</v>
      </c>
      <c r="L222" s="238">
        <v>1.0045045045045045</v>
      </c>
      <c r="M222" s="238">
        <v>223</v>
      </c>
      <c r="N222" s="238"/>
      <c r="O222" s="238"/>
      <c r="P222" s="681"/>
      <c r="Q222" s="712"/>
    </row>
    <row r="223" spans="1:17" ht="14.4" customHeight="1" x14ac:dyDescent="0.3">
      <c r="A223" s="679" t="s">
        <v>3291</v>
      </c>
      <c r="B223" s="670" t="s">
        <v>3292</v>
      </c>
      <c r="C223" s="670" t="s">
        <v>2234</v>
      </c>
      <c r="D223" s="670" t="s">
        <v>3331</v>
      </c>
      <c r="E223" s="670" t="s">
        <v>3332</v>
      </c>
      <c r="F223" s="238"/>
      <c r="G223" s="238"/>
      <c r="H223" s="238"/>
      <c r="I223" s="238"/>
      <c r="J223" s="238"/>
      <c r="K223" s="238"/>
      <c r="L223" s="238"/>
      <c r="M223" s="238"/>
      <c r="N223" s="238">
        <v>1</v>
      </c>
      <c r="O223" s="238">
        <v>404</v>
      </c>
      <c r="P223" s="681"/>
      <c r="Q223" s="712">
        <v>404</v>
      </c>
    </row>
    <row r="224" spans="1:17" ht="14.4" customHeight="1" x14ac:dyDescent="0.3">
      <c r="A224" s="679" t="s">
        <v>3291</v>
      </c>
      <c r="B224" s="670" t="s">
        <v>3333</v>
      </c>
      <c r="C224" s="670" t="s">
        <v>2234</v>
      </c>
      <c r="D224" s="670" t="s">
        <v>3334</v>
      </c>
      <c r="E224" s="670" t="s">
        <v>3335</v>
      </c>
      <c r="F224" s="238"/>
      <c r="G224" s="238"/>
      <c r="H224" s="238"/>
      <c r="I224" s="238"/>
      <c r="J224" s="238">
        <v>4</v>
      </c>
      <c r="K224" s="238">
        <v>4140</v>
      </c>
      <c r="L224" s="238"/>
      <c r="M224" s="238">
        <v>1035</v>
      </c>
      <c r="N224" s="238"/>
      <c r="O224" s="238"/>
      <c r="P224" s="681"/>
      <c r="Q224" s="712"/>
    </row>
    <row r="225" spans="1:17" ht="14.4" customHeight="1" x14ac:dyDescent="0.3">
      <c r="A225" s="679" t="s">
        <v>3291</v>
      </c>
      <c r="B225" s="670" t="s">
        <v>3333</v>
      </c>
      <c r="C225" s="670" t="s">
        <v>2234</v>
      </c>
      <c r="D225" s="670" t="s">
        <v>3336</v>
      </c>
      <c r="E225" s="670" t="s">
        <v>3337</v>
      </c>
      <c r="F225" s="238"/>
      <c r="G225" s="238"/>
      <c r="H225" s="238"/>
      <c r="I225" s="238"/>
      <c r="J225" s="238">
        <v>2</v>
      </c>
      <c r="K225" s="238">
        <v>434</v>
      </c>
      <c r="L225" s="238"/>
      <c r="M225" s="238">
        <v>217</v>
      </c>
      <c r="N225" s="238"/>
      <c r="O225" s="238"/>
      <c r="P225" s="681"/>
      <c r="Q225" s="712"/>
    </row>
    <row r="226" spans="1:17" ht="14.4" customHeight="1" x14ac:dyDescent="0.3">
      <c r="A226" s="679" t="s">
        <v>3338</v>
      </c>
      <c r="B226" s="670" t="s">
        <v>551</v>
      </c>
      <c r="C226" s="670" t="s">
        <v>2234</v>
      </c>
      <c r="D226" s="670" t="s">
        <v>3339</v>
      </c>
      <c r="E226" s="670" t="s">
        <v>3340</v>
      </c>
      <c r="F226" s="238">
        <v>259</v>
      </c>
      <c r="G226" s="238">
        <v>40922</v>
      </c>
      <c r="H226" s="238">
        <v>1</v>
      </c>
      <c r="I226" s="238">
        <v>158</v>
      </c>
      <c r="J226" s="238">
        <v>283</v>
      </c>
      <c r="K226" s="238">
        <v>44997</v>
      </c>
      <c r="L226" s="238">
        <v>1.099579688187283</v>
      </c>
      <c r="M226" s="238">
        <v>159</v>
      </c>
      <c r="N226" s="238">
        <v>287</v>
      </c>
      <c r="O226" s="238">
        <v>45633</v>
      </c>
      <c r="P226" s="681">
        <v>1.1151214505644886</v>
      </c>
      <c r="Q226" s="712">
        <v>159</v>
      </c>
    </row>
    <row r="227" spans="1:17" ht="14.4" customHeight="1" x14ac:dyDescent="0.3">
      <c r="A227" s="679" t="s">
        <v>3338</v>
      </c>
      <c r="B227" s="670" t="s">
        <v>551</v>
      </c>
      <c r="C227" s="670" t="s">
        <v>2234</v>
      </c>
      <c r="D227" s="670" t="s">
        <v>3341</v>
      </c>
      <c r="E227" s="670" t="s">
        <v>3342</v>
      </c>
      <c r="F227" s="238">
        <v>1</v>
      </c>
      <c r="G227" s="238">
        <v>1164</v>
      </c>
      <c r="H227" s="238">
        <v>1</v>
      </c>
      <c r="I227" s="238">
        <v>1164</v>
      </c>
      <c r="J227" s="238">
        <v>2</v>
      </c>
      <c r="K227" s="238">
        <v>2330</v>
      </c>
      <c r="L227" s="238">
        <v>2.0017182130584192</v>
      </c>
      <c r="M227" s="238">
        <v>1165</v>
      </c>
      <c r="N227" s="238">
        <v>1</v>
      </c>
      <c r="O227" s="238">
        <v>1165</v>
      </c>
      <c r="P227" s="681">
        <v>1.0008591065292096</v>
      </c>
      <c r="Q227" s="712">
        <v>1165</v>
      </c>
    </row>
    <row r="228" spans="1:17" ht="14.4" customHeight="1" x14ac:dyDescent="0.3">
      <c r="A228" s="679" t="s">
        <v>3338</v>
      </c>
      <c r="B228" s="670" t="s">
        <v>551</v>
      </c>
      <c r="C228" s="670" t="s">
        <v>2234</v>
      </c>
      <c r="D228" s="670" t="s">
        <v>3343</v>
      </c>
      <c r="E228" s="670" t="s">
        <v>3344</v>
      </c>
      <c r="F228" s="238">
        <v>39</v>
      </c>
      <c r="G228" s="238">
        <v>1521</v>
      </c>
      <c r="H228" s="238">
        <v>1</v>
      </c>
      <c r="I228" s="238">
        <v>39</v>
      </c>
      <c r="J228" s="238">
        <v>32</v>
      </c>
      <c r="K228" s="238">
        <v>1248</v>
      </c>
      <c r="L228" s="238">
        <v>0.82051282051282048</v>
      </c>
      <c r="M228" s="238">
        <v>39</v>
      </c>
      <c r="N228" s="238">
        <v>20</v>
      </c>
      <c r="O228" s="238">
        <v>780</v>
      </c>
      <c r="P228" s="681">
        <v>0.51282051282051277</v>
      </c>
      <c r="Q228" s="712">
        <v>39</v>
      </c>
    </row>
    <row r="229" spans="1:17" ht="14.4" customHeight="1" x14ac:dyDescent="0.3">
      <c r="A229" s="679" t="s">
        <v>3338</v>
      </c>
      <c r="B229" s="670" t="s">
        <v>551</v>
      </c>
      <c r="C229" s="670" t="s">
        <v>2234</v>
      </c>
      <c r="D229" s="670" t="s">
        <v>3345</v>
      </c>
      <c r="E229" s="670" t="s">
        <v>3346</v>
      </c>
      <c r="F229" s="238">
        <v>6</v>
      </c>
      <c r="G229" s="238">
        <v>2292</v>
      </c>
      <c r="H229" s="238">
        <v>1</v>
      </c>
      <c r="I229" s="238">
        <v>382</v>
      </c>
      <c r="J229" s="238"/>
      <c r="K229" s="238"/>
      <c r="L229" s="238"/>
      <c r="M229" s="238"/>
      <c r="N229" s="238"/>
      <c r="O229" s="238"/>
      <c r="P229" s="681"/>
      <c r="Q229" s="712"/>
    </row>
    <row r="230" spans="1:17" ht="14.4" customHeight="1" x14ac:dyDescent="0.3">
      <c r="A230" s="679" t="s">
        <v>3338</v>
      </c>
      <c r="B230" s="670" t="s">
        <v>551</v>
      </c>
      <c r="C230" s="670" t="s">
        <v>2234</v>
      </c>
      <c r="D230" s="670" t="s">
        <v>3347</v>
      </c>
      <c r="E230" s="670" t="s">
        <v>3348</v>
      </c>
      <c r="F230" s="238"/>
      <c r="G230" s="238"/>
      <c r="H230" s="238"/>
      <c r="I230" s="238"/>
      <c r="J230" s="238">
        <v>12</v>
      </c>
      <c r="K230" s="238">
        <v>444</v>
      </c>
      <c r="L230" s="238"/>
      <c r="M230" s="238">
        <v>37</v>
      </c>
      <c r="N230" s="238"/>
      <c r="O230" s="238"/>
      <c r="P230" s="681"/>
      <c r="Q230" s="712"/>
    </row>
    <row r="231" spans="1:17" ht="14.4" customHeight="1" x14ac:dyDescent="0.3">
      <c r="A231" s="679" t="s">
        <v>3338</v>
      </c>
      <c r="B231" s="670" t="s">
        <v>551</v>
      </c>
      <c r="C231" s="670" t="s">
        <v>2234</v>
      </c>
      <c r="D231" s="670" t="s">
        <v>3349</v>
      </c>
      <c r="E231" s="670" t="s">
        <v>3350</v>
      </c>
      <c r="F231" s="238">
        <v>17</v>
      </c>
      <c r="G231" s="238">
        <v>680</v>
      </c>
      <c r="H231" s="238">
        <v>1</v>
      </c>
      <c r="I231" s="238">
        <v>40</v>
      </c>
      <c r="J231" s="238">
        <v>15</v>
      </c>
      <c r="K231" s="238">
        <v>615</v>
      </c>
      <c r="L231" s="238">
        <v>0.90441176470588236</v>
      </c>
      <c r="M231" s="238">
        <v>41</v>
      </c>
      <c r="N231" s="238">
        <v>17</v>
      </c>
      <c r="O231" s="238">
        <v>697</v>
      </c>
      <c r="P231" s="681">
        <v>1.0249999999999999</v>
      </c>
      <c r="Q231" s="712">
        <v>41</v>
      </c>
    </row>
    <row r="232" spans="1:17" ht="14.4" customHeight="1" x14ac:dyDescent="0.3">
      <c r="A232" s="679" t="s">
        <v>3338</v>
      </c>
      <c r="B232" s="670" t="s">
        <v>551</v>
      </c>
      <c r="C232" s="670" t="s">
        <v>2234</v>
      </c>
      <c r="D232" s="670" t="s">
        <v>3351</v>
      </c>
      <c r="E232" s="670" t="s">
        <v>3352</v>
      </c>
      <c r="F232" s="238">
        <v>1</v>
      </c>
      <c r="G232" s="238">
        <v>490</v>
      </c>
      <c r="H232" s="238">
        <v>1</v>
      </c>
      <c r="I232" s="238">
        <v>490</v>
      </c>
      <c r="J232" s="238"/>
      <c r="K232" s="238"/>
      <c r="L232" s="238"/>
      <c r="M232" s="238"/>
      <c r="N232" s="238"/>
      <c r="O232" s="238"/>
      <c r="P232" s="681"/>
      <c r="Q232" s="712"/>
    </row>
    <row r="233" spans="1:17" ht="14.4" customHeight="1" x14ac:dyDescent="0.3">
      <c r="A233" s="679" t="s">
        <v>3338</v>
      </c>
      <c r="B233" s="670" t="s">
        <v>551</v>
      </c>
      <c r="C233" s="670" t="s">
        <v>2234</v>
      </c>
      <c r="D233" s="670" t="s">
        <v>3353</v>
      </c>
      <c r="E233" s="670" t="s">
        <v>3354</v>
      </c>
      <c r="F233" s="238">
        <v>10</v>
      </c>
      <c r="G233" s="238">
        <v>310</v>
      </c>
      <c r="H233" s="238">
        <v>1</v>
      </c>
      <c r="I233" s="238">
        <v>31</v>
      </c>
      <c r="J233" s="238">
        <v>7</v>
      </c>
      <c r="K233" s="238">
        <v>217</v>
      </c>
      <c r="L233" s="238">
        <v>0.7</v>
      </c>
      <c r="M233" s="238">
        <v>31</v>
      </c>
      <c r="N233" s="238">
        <v>8</v>
      </c>
      <c r="O233" s="238">
        <v>248</v>
      </c>
      <c r="P233" s="681">
        <v>0.8</v>
      </c>
      <c r="Q233" s="712">
        <v>31</v>
      </c>
    </row>
    <row r="234" spans="1:17" ht="14.4" customHeight="1" x14ac:dyDescent="0.3">
      <c r="A234" s="679" t="s">
        <v>3338</v>
      </c>
      <c r="B234" s="670" t="s">
        <v>551</v>
      </c>
      <c r="C234" s="670" t="s">
        <v>2234</v>
      </c>
      <c r="D234" s="670" t="s">
        <v>3355</v>
      </c>
      <c r="E234" s="670" t="s">
        <v>3356</v>
      </c>
      <c r="F234" s="238"/>
      <c r="G234" s="238"/>
      <c r="H234" s="238"/>
      <c r="I234" s="238"/>
      <c r="J234" s="238">
        <v>3</v>
      </c>
      <c r="K234" s="238">
        <v>615</v>
      </c>
      <c r="L234" s="238"/>
      <c r="M234" s="238">
        <v>205</v>
      </c>
      <c r="N234" s="238">
        <v>1</v>
      </c>
      <c r="O234" s="238">
        <v>205</v>
      </c>
      <c r="P234" s="681"/>
      <c r="Q234" s="712">
        <v>205</v>
      </c>
    </row>
    <row r="235" spans="1:17" ht="14.4" customHeight="1" x14ac:dyDescent="0.3">
      <c r="A235" s="679" t="s">
        <v>3338</v>
      </c>
      <c r="B235" s="670" t="s">
        <v>551</v>
      </c>
      <c r="C235" s="670" t="s">
        <v>2234</v>
      </c>
      <c r="D235" s="670" t="s">
        <v>3357</v>
      </c>
      <c r="E235" s="670" t="s">
        <v>3358</v>
      </c>
      <c r="F235" s="238"/>
      <c r="G235" s="238"/>
      <c r="H235" s="238"/>
      <c r="I235" s="238"/>
      <c r="J235" s="238">
        <v>3</v>
      </c>
      <c r="K235" s="238">
        <v>1131</v>
      </c>
      <c r="L235" s="238"/>
      <c r="M235" s="238">
        <v>377</v>
      </c>
      <c r="N235" s="238">
        <v>1</v>
      </c>
      <c r="O235" s="238">
        <v>377</v>
      </c>
      <c r="P235" s="681"/>
      <c r="Q235" s="712">
        <v>377</v>
      </c>
    </row>
    <row r="236" spans="1:17" ht="14.4" customHeight="1" x14ac:dyDescent="0.3">
      <c r="A236" s="679" t="s">
        <v>3338</v>
      </c>
      <c r="B236" s="670" t="s">
        <v>551</v>
      </c>
      <c r="C236" s="670" t="s">
        <v>2234</v>
      </c>
      <c r="D236" s="670" t="s">
        <v>3359</v>
      </c>
      <c r="E236" s="670" t="s">
        <v>3360</v>
      </c>
      <c r="F236" s="238">
        <v>116</v>
      </c>
      <c r="G236" s="238">
        <v>12992</v>
      </c>
      <c r="H236" s="238">
        <v>1</v>
      </c>
      <c r="I236" s="238">
        <v>112</v>
      </c>
      <c r="J236" s="238">
        <v>76</v>
      </c>
      <c r="K236" s="238">
        <v>8588</v>
      </c>
      <c r="L236" s="238">
        <v>0.66102216748768472</v>
      </c>
      <c r="M236" s="238">
        <v>113</v>
      </c>
      <c r="N236" s="238">
        <v>82</v>
      </c>
      <c r="O236" s="238">
        <v>9266</v>
      </c>
      <c r="P236" s="681">
        <v>0.71320812807881773</v>
      </c>
      <c r="Q236" s="712">
        <v>113</v>
      </c>
    </row>
    <row r="237" spans="1:17" ht="14.4" customHeight="1" x14ac:dyDescent="0.3">
      <c r="A237" s="679" t="s">
        <v>3338</v>
      </c>
      <c r="B237" s="670" t="s">
        <v>551</v>
      </c>
      <c r="C237" s="670" t="s">
        <v>2234</v>
      </c>
      <c r="D237" s="670" t="s">
        <v>3361</v>
      </c>
      <c r="E237" s="670" t="s">
        <v>3362</v>
      </c>
      <c r="F237" s="238">
        <v>46</v>
      </c>
      <c r="G237" s="238">
        <v>3818</v>
      </c>
      <c r="H237" s="238">
        <v>1</v>
      </c>
      <c r="I237" s="238">
        <v>83</v>
      </c>
      <c r="J237" s="238">
        <v>65</v>
      </c>
      <c r="K237" s="238">
        <v>5460</v>
      </c>
      <c r="L237" s="238">
        <v>1.43006809848088</v>
      </c>
      <c r="M237" s="238">
        <v>84</v>
      </c>
      <c r="N237" s="238">
        <v>60</v>
      </c>
      <c r="O237" s="238">
        <v>5040</v>
      </c>
      <c r="P237" s="681">
        <v>1.320062860136197</v>
      </c>
      <c r="Q237" s="712">
        <v>84</v>
      </c>
    </row>
    <row r="238" spans="1:17" ht="14.4" customHeight="1" x14ac:dyDescent="0.3">
      <c r="A238" s="679" t="s">
        <v>3338</v>
      </c>
      <c r="B238" s="670" t="s">
        <v>551</v>
      </c>
      <c r="C238" s="670" t="s">
        <v>2234</v>
      </c>
      <c r="D238" s="670" t="s">
        <v>3363</v>
      </c>
      <c r="E238" s="670" t="s">
        <v>3364</v>
      </c>
      <c r="F238" s="238">
        <v>10</v>
      </c>
      <c r="G238" s="238">
        <v>210</v>
      </c>
      <c r="H238" s="238">
        <v>1</v>
      </c>
      <c r="I238" s="238">
        <v>21</v>
      </c>
      <c r="J238" s="238">
        <v>5</v>
      </c>
      <c r="K238" s="238">
        <v>105</v>
      </c>
      <c r="L238" s="238">
        <v>0.5</v>
      </c>
      <c r="M238" s="238">
        <v>21</v>
      </c>
      <c r="N238" s="238">
        <v>1</v>
      </c>
      <c r="O238" s="238">
        <v>21</v>
      </c>
      <c r="P238" s="681">
        <v>0.1</v>
      </c>
      <c r="Q238" s="712">
        <v>21</v>
      </c>
    </row>
    <row r="239" spans="1:17" ht="14.4" customHeight="1" x14ac:dyDescent="0.3">
      <c r="A239" s="679" t="s">
        <v>3338</v>
      </c>
      <c r="B239" s="670" t="s">
        <v>551</v>
      </c>
      <c r="C239" s="670" t="s">
        <v>2234</v>
      </c>
      <c r="D239" s="670" t="s">
        <v>3365</v>
      </c>
      <c r="E239" s="670" t="s">
        <v>3366</v>
      </c>
      <c r="F239" s="238">
        <v>8</v>
      </c>
      <c r="G239" s="238">
        <v>3888</v>
      </c>
      <c r="H239" s="238">
        <v>1</v>
      </c>
      <c r="I239" s="238">
        <v>486</v>
      </c>
      <c r="J239" s="238">
        <v>7</v>
      </c>
      <c r="K239" s="238">
        <v>3402</v>
      </c>
      <c r="L239" s="238">
        <v>0.875</v>
      </c>
      <c r="M239" s="238">
        <v>486</v>
      </c>
      <c r="N239" s="238">
        <v>5</v>
      </c>
      <c r="O239" s="238">
        <v>2430</v>
      </c>
      <c r="P239" s="681">
        <v>0.625</v>
      </c>
      <c r="Q239" s="712">
        <v>486</v>
      </c>
    </row>
    <row r="240" spans="1:17" ht="14.4" customHeight="1" x14ac:dyDescent="0.3">
      <c r="A240" s="679" t="s">
        <v>3338</v>
      </c>
      <c r="B240" s="670" t="s">
        <v>551</v>
      </c>
      <c r="C240" s="670" t="s">
        <v>2234</v>
      </c>
      <c r="D240" s="670" t="s">
        <v>3367</v>
      </c>
      <c r="E240" s="670" t="s">
        <v>3368</v>
      </c>
      <c r="F240" s="238">
        <v>7</v>
      </c>
      <c r="G240" s="238">
        <v>280</v>
      </c>
      <c r="H240" s="238">
        <v>1</v>
      </c>
      <c r="I240" s="238">
        <v>40</v>
      </c>
      <c r="J240" s="238">
        <v>9</v>
      </c>
      <c r="K240" s="238">
        <v>360</v>
      </c>
      <c r="L240" s="238">
        <v>1.2857142857142858</v>
      </c>
      <c r="M240" s="238">
        <v>40</v>
      </c>
      <c r="N240" s="238">
        <v>6</v>
      </c>
      <c r="O240" s="238">
        <v>240</v>
      </c>
      <c r="P240" s="681">
        <v>0.8571428571428571</v>
      </c>
      <c r="Q240" s="712">
        <v>40</v>
      </c>
    </row>
    <row r="241" spans="1:17" ht="14.4" customHeight="1" x14ac:dyDescent="0.3">
      <c r="A241" s="679" t="s">
        <v>3338</v>
      </c>
      <c r="B241" s="670" t="s">
        <v>551</v>
      </c>
      <c r="C241" s="670" t="s">
        <v>2234</v>
      </c>
      <c r="D241" s="670" t="s">
        <v>3369</v>
      </c>
      <c r="E241" s="670" t="s">
        <v>3370</v>
      </c>
      <c r="F241" s="238">
        <v>2</v>
      </c>
      <c r="G241" s="238">
        <v>302</v>
      </c>
      <c r="H241" s="238">
        <v>1</v>
      </c>
      <c r="I241" s="238">
        <v>151</v>
      </c>
      <c r="J241" s="238"/>
      <c r="K241" s="238"/>
      <c r="L241" s="238"/>
      <c r="M241" s="238"/>
      <c r="N241" s="238"/>
      <c r="O241" s="238"/>
      <c r="P241" s="681"/>
      <c r="Q241" s="712"/>
    </row>
    <row r="242" spans="1:17" ht="14.4" customHeight="1" x14ac:dyDescent="0.3">
      <c r="A242" s="679" t="s">
        <v>3371</v>
      </c>
      <c r="B242" s="670" t="s">
        <v>2913</v>
      </c>
      <c r="C242" s="670" t="s">
        <v>2234</v>
      </c>
      <c r="D242" s="670" t="s">
        <v>2914</v>
      </c>
      <c r="E242" s="670" t="s">
        <v>2915</v>
      </c>
      <c r="F242" s="238"/>
      <c r="G242" s="238"/>
      <c r="H242" s="238"/>
      <c r="I242" s="238"/>
      <c r="J242" s="238"/>
      <c r="K242" s="238"/>
      <c r="L242" s="238"/>
      <c r="M242" s="238"/>
      <c r="N242" s="238">
        <v>6</v>
      </c>
      <c r="O242" s="238">
        <v>7470</v>
      </c>
      <c r="P242" s="681"/>
      <c r="Q242" s="712">
        <v>1245</v>
      </c>
    </row>
    <row r="243" spans="1:17" ht="14.4" customHeight="1" x14ac:dyDescent="0.3">
      <c r="A243" s="679" t="s">
        <v>3371</v>
      </c>
      <c r="B243" s="670" t="s">
        <v>2913</v>
      </c>
      <c r="C243" s="670" t="s">
        <v>2234</v>
      </c>
      <c r="D243" s="670" t="s">
        <v>2916</v>
      </c>
      <c r="E243" s="670" t="s">
        <v>2917</v>
      </c>
      <c r="F243" s="238"/>
      <c r="G243" s="238"/>
      <c r="H243" s="238"/>
      <c r="I243" s="238"/>
      <c r="J243" s="238"/>
      <c r="K243" s="238"/>
      <c r="L243" s="238"/>
      <c r="M243" s="238"/>
      <c r="N243" s="238">
        <v>64</v>
      </c>
      <c r="O243" s="238">
        <v>597568</v>
      </c>
      <c r="P243" s="681"/>
      <c r="Q243" s="712">
        <v>9337</v>
      </c>
    </row>
    <row r="244" spans="1:17" ht="14.4" customHeight="1" thickBot="1" x14ac:dyDescent="0.35">
      <c r="A244" s="636" t="s">
        <v>3371</v>
      </c>
      <c r="B244" s="672" t="s">
        <v>2913</v>
      </c>
      <c r="C244" s="672" t="s">
        <v>2234</v>
      </c>
      <c r="D244" s="672" t="s">
        <v>2918</v>
      </c>
      <c r="E244" s="672" t="s">
        <v>2919</v>
      </c>
      <c r="F244" s="673"/>
      <c r="G244" s="673"/>
      <c r="H244" s="673"/>
      <c r="I244" s="673"/>
      <c r="J244" s="673"/>
      <c r="K244" s="673"/>
      <c r="L244" s="673"/>
      <c r="M244" s="673"/>
      <c r="N244" s="673">
        <v>18</v>
      </c>
      <c r="O244" s="673">
        <v>40194</v>
      </c>
      <c r="P244" s="682"/>
      <c r="Q244" s="713">
        <v>2233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9" t="s">
        <v>185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4" ht="14.4" customHeight="1" thickBot="1" x14ac:dyDescent="0.35">
      <c r="A2" s="389" t="s">
        <v>298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163</v>
      </c>
      <c r="C3" s="196">
        <f>SUBTOTAL(9,C6:C1048576)</f>
        <v>1418</v>
      </c>
      <c r="D3" s="197">
        <f>SUBTOTAL(9,D6:D1048576)</f>
        <v>1386</v>
      </c>
      <c r="E3" s="197">
        <f>SUBTOTAL(9,E6:E1048576)</f>
        <v>1217</v>
      </c>
      <c r="F3" s="198">
        <f>IF(OR(E3=0,C3=0),"",E3/C3)</f>
        <v>0.85825105782792666</v>
      </c>
      <c r="G3" s="199">
        <f>SUBTOTAL(9,G6:G1048576)</f>
        <v>6492444</v>
      </c>
      <c r="H3" s="200">
        <f>SUBTOTAL(9,H6:H1048576)</f>
        <v>6509450</v>
      </c>
      <c r="I3" s="200">
        <f>SUBTOTAL(9,I6:I1048576)</f>
        <v>5368566</v>
      </c>
      <c r="J3" s="198">
        <f>IF(OR(I3=0,G3=0),"",I3/G3)</f>
        <v>0.82689446377974152</v>
      </c>
      <c r="K3" s="199">
        <f>SUBTOTAL(9,K6:K1048576)</f>
        <v>1805770</v>
      </c>
      <c r="L3" s="200">
        <f>SUBTOTAL(9,L6:L1048576)</f>
        <v>1685260</v>
      </c>
      <c r="M3" s="200">
        <f>SUBTOTAL(9,M6:M1048576)</f>
        <v>1423910</v>
      </c>
      <c r="N3" s="201">
        <f>IF(OR(M3=0,E3=0),"",M3/E3)</f>
        <v>1170.0164338537386</v>
      </c>
    </row>
    <row r="4" spans="1:14" ht="14.4" customHeight="1" x14ac:dyDescent="0.3">
      <c r="A4" s="581" t="s">
        <v>93</v>
      </c>
      <c r="B4" s="582" t="s">
        <v>14</v>
      </c>
      <c r="C4" s="583" t="s">
        <v>94</v>
      </c>
      <c r="D4" s="583"/>
      <c r="E4" s="583"/>
      <c r="F4" s="584"/>
      <c r="G4" s="585" t="s">
        <v>17</v>
      </c>
      <c r="H4" s="583"/>
      <c r="I4" s="583"/>
      <c r="J4" s="584"/>
      <c r="K4" s="585" t="s">
        <v>95</v>
      </c>
      <c r="L4" s="583"/>
      <c r="M4" s="583"/>
      <c r="N4" s="586"/>
    </row>
    <row r="5" spans="1:14" ht="14.4" customHeight="1" thickBot="1" x14ac:dyDescent="0.35">
      <c r="A5" s="842"/>
      <c r="B5" s="843"/>
      <c r="C5" s="850">
        <v>2012</v>
      </c>
      <c r="D5" s="850">
        <v>2013</v>
      </c>
      <c r="E5" s="850">
        <v>2014</v>
      </c>
      <c r="F5" s="851" t="s">
        <v>5</v>
      </c>
      <c r="G5" s="861">
        <v>2012</v>
      </c>
      <c r="H5" s="850">
        <v>2013</v>
      </c>
      <c r="I5" s="850">
        <v>2014</v>
      </c>
      <c r="J5" s="851" t="s">
        <v>5</v>
      </c>
      <c r="K5" s="861">
        <v>2012</v>
      </c>
      <c r="L5" s="850">
        <v>2013</v>
      </c>
      <c r="M5" s="850">
        <v>2014</v>
      </c>
      <c r="N5" s="868" t="s">
        <v>96</v>
      </c>
    </row>
    <row r="6" spans="1:14" ht="14.4" customHeight="1" x14ac:dyDescent="0.3">
      <c r="A6" s="844" t="s">
        <v>2581</v>
      </c>
      <c r="B6" s="847" t="s">
        <v>3373</v>
      </c>
      <c r="C6" s="852">
        <v>1107</v>
      </c>
      <c r="D6" s="853">
        <v>1016</v>
      </c>
      <c r="E6" s="853">
        <v>931</v>
      </c>
      <c r="F6" s="858">
        <v>0.84101174345076779</v>
      </c>
      <c r="G6" s="862">
        <v>1057942</v>
      </c>
      <c r="H6" s="863">
        <v>1008391</v>
      </c>
      <c r="I6" s="863">
        <v>928794</v>
      </c>
      <c r="J6" s="858">
        <v>0.87792525488164752</v>
      </c>
      <c r="K6" s="862">
        <v>121770</v>
      </c>
      <c r="L6" s="863">
        <v>111760</v>
      </c>
      <c r="M6" s="863">
        <v>102410</v>
      </c>
      <c r="N6" s="869">
        <v>110</v>
      </c>
    </row>
    <row r="7" spans="1:14" ht="14.4" customHeight="1" x14ac:dyDescent="0.3">
      <c r="A7" s="845" t="s">
        <v>2735</v>
      </c>
      <c r="B7" s="848" t="s">
        <v>3374</v>
      </c>
      <c r="C7" s="854">
        <v>19</v>
      </c>
      <c r="D7" s="855">
        <v>11</v>
      </c>
      <c r="E7" s="855">
        <v>12</v>
      </c>
      <c r="F7" s="859">
        <v>0.63157894736842102</v>
      </c>
      <c r="G7" s="864">
        <v>546447</v>
      </c>
      <c r="H7" s="865">
        <v>316459</v>
      </c>
      <c r="I7" s="865">
        <v>345232</v>
      </c>
      <c r="J7" s="859">
        <v>0.63177581723387632</v>
      </c>
      <c r="K7" s="864">
        <v>209000</v>
      </c>
      <c r="L7" s="865">
        <v>121000</v>
      </c>
      <c r="M7" s="865">
        <v>132000</v>
      </c>
      <c r="N7" s="870">
        <v>11000</v>
      </c>
    </row>
    <row r="8" spans="1:14" ht="14.4" customHeight="1" x14ac:dyDescent="0.3">
      <c r="A8" s="845" t="s">
        <v>2753</v>
      </c>
      <c r="B8" s="848" t="s">
        <v>3374</v>
      </c>
      <c r="C8" s="854">
        <v>81</v>
      </c>
      <c r="D8" s="855">
        <v>57</v>
      </c>
      <c r="E8" s="855">
        <v>72</v>
      </c>
      <c r="F8" s="859">
        <v>0.88888888888888884</v>
      </c>
      <c r="G8" s="864">
        <v>2037992</v>
      </c>
      <c r="H8" s="865">
        <v>1434619</v>
      </c>
      <c r="I8" s="865">
        <v>1812196</v>
      </c>
      <c r="J8" s="859">
        <v>0.88920663084055285</v>
      </c>
      <c r="K8" s="864">
        <v>729000</v>
      </c>
      <c r="L8" s="865">
        <v>513000</v>
      </c>
      <c r="M8" s="865">
        <v>648000</v>
      </c>
      <c r="N8" s="870">
        <v>9000</v>
      </c>
    </row>
    <row r="9" spans="1:14" ht="14.4" customHeight="1" x14ac:dyDescent="0.3">
      <c r="A9" s="845" t="s">
        <v>2748</v>
      </c>
      <c r="B9" s="848" t="s">
        <v>3374</v>
      </c>
      <c r="C9" s="854">
        <v>74</v>
      </c>
      <c r="D9" s="855">
        <v>85</v>
      </c>
      <c r="E9" s="855">
        <v>44</v>
      </c>
      <c r="F9" s="859">
        <v>0.59459459459459463</v>
      </c>
      <c r="G9" s="864">
        <v>1595469</v>
      </c>
      <c r="H9" s="865">
        <v>1833305</v>
      </c>
      <c r="I9" s="865">
        <v>949053</v>
      </c>
      <c r="J9" s="859">
        <v>0.59484264501535289</v>
      </c>
      <c r="K9" s="864">
        <v>518000</v>
      </c>
      <c r="L9" s="865">
        <v>595000</v>
      </c>
      <c r="M9" s="865">
        <v>308000</v>
      </c>
      <c r="N9" s="870">
        <v>7000</v>
      </c>
    </row>
    <row r="10" spans="1:14" ht="14.4" customHeight="1" x14ac:dyDescent="0.3">
      <c r="A10" s="845" t="s">
        <v>2737</v>
      </c>
      <c r="B10" s="848" t="s">
        <v>3374</v>
      </c>
      <c r="C10" s="854">
        <v>93</v>
      </c>
      <c r="D10" s="855">
        <v>133</v>
      </c>
      <c r="E10" s="855">
        <v>87</v>
      </c>
      <c r="F10" s="859">
        <v>0.93548387096774188</v>
      </c>
      <c r="G10" s="864">
        <v>994941</v>
      </c>
      <c r="H10" s="865">
        <v>1423955</v>
      </c>
      <c r="I10" s="865">
        <v>931535</v>
      </c>
      <c r="J10" s="859">
        <v>0.93627159801435467</v>
      </c>
      <c r="K10" s="864">
        <v>186000</v>
      </c>
      <c r="L10" s="865">
        <v>266000</v>
      </c>
      <c r="M10" s="865">
        <v>174000</v>
      </c>
      <c r="N10" s="870">
        <v>2000</v>
      </c>
    </row>
    <row r="11" spans="1:14" ht="14.4" customHeight="1" x14ac:dyDescent="0.3">
      <c r="A11" s="845" t="s">
        <v>2750</v>
      </c>
      <c r="B11" s="848" t="s">
        <v>3374</v>
      </c>
      <c r="C11" s="854">
        <v>40</v>
      </c>
      <c r="D11" s="855">
        <v>73</v>
      </c>
      <c r="E11" s="855">
        <v>48</v>
      </c>
      <c r="F11" s="859">
        <v>1.2</v>
      </c>
      <c r="G11" s="864">
        <v>239976</v>
      </c>
      <c r="H11" s="865">
        <v>438516</v>
      </c>
      <c r="I11" s="865">
        <v>288403</v>
      </c>
      <c r="J11" s="859">
        <v>1.2017993466013268</v>
      </c>
      <c r="K11" s="864">
        <v>40000</v>
      </c>
      <c r="L11" s="865">
        <v>73000</v>
      </c>
      <c r="M11" s="865">
        <v>48000</v>
      </c>
      <c r="N11" s="870">
        <v>1000</v>
      </c>
    </row>
    <row r="12" spans="1:14" ht="14.4" customHeight="1" thickBot="1" x14ac:dyDescent="0.35">
      <c r="A12" s="846" t="s">
        <v>2746</v>
      </c>
      <c r="B12" s="849" t="s">
        <v>3374</v>
      </c>
      <c r="C12" s="856">
        <v>4</v>
      </c>
      <c r="D12" s="857">
        <v>11</v>
      </c>
      <c r="E12" s="857">
        <v>23</v>
      </c>
      <c r="F12" s="860">
        <v>5.75</v>
      </c>
      <c r="G12" s="866">
        <v>19677</v>
      </c>
      <c r="H12" s="867">
        <v>54205</v>
      </c>
      <c r="I12" s="867">
        <v>113353</v>
      </c>
      <c r="J12" s="860">
        <v>5.7606850637800475</v>
      </c>
      <c r="K12" s="866">
        <v>2000</v>
      </c>
      <c r="L12" s="867">
        <v>5500</v>
      </c>
      <c r="M12" s="867">
        <v>11500</v>
      </c>
      <c r="N12" s="871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60" bestFit="1" customWidth="1"/>
    <col min="2" max="3" width="9.5546875" style="260" customWidth="1"/>
    <col min="4" max="4" width="2.44140625" style="260" customWidth="1"/>
    <col min="5" max="8" width="9.5546875" style="260" customWidth="1"/>
    <col min="9" max="16384" width="8.88671875" style="260"/>
  </cols>
  <sheetData>
    <row r="1" spans="1:8" ht="18.600000000000001" customHeight="1" thickBot="1" x14ac:dyDescent="0.4">
      <c r="A1" s="462" t="s">
        <v>179</v>
      </c>
      <c r="B1" s="462"/>
      <c r="C1" s="462"/>
      <c r="D1" s="462"/>
      <c r="E1" s="462"/>
      <c r="F1" s="462"/>
      <c r="G1" s="463"/>
      <c r="H1" s="463"/>
    </row>
    <row r="2" spans="1:8" ht="14.4" customHeight="1" thickBot="1" x14ac:dyDescent="0.35">
      <c r="A2" s="389" t="s">
        <v>298</v>
      </c>
      <c r="B2" s="230"/>
      <c r="C2" s="230"/>
      <c r="D2" s="230"/>
      <c r="E2" s="230"/>
      <c r="F2" s="230"/>
    </row>
    <row r="3" spans="1:8" ht="14.4" customHeight="1" x14ac:dyDescent="0.3">
      <c r="A3" s="464"/>
      <c r="B3" s="226">
        <v>2012</v>
      </c>
      <c r="C3" s="44">
        <v>2013</v>
      </c>
      <c r="D3" s="11"/>
      <c r="E3" s="468">
        <v>2014</v>
      </c>
      <c r="F3" s="469"/>
      <c r="G3" s="469"/>
      <c r="H3" s="470"/>
    </row>
    <row r="4" spans="1:8" ht="14.4" customHeight="1" thickBot="1" x14ac:dyDescent="0.35">
      <c r="A4" s="465"/>
      <c r="B4" s="466" t="s">
        <v>97</v>
      </c>
      <c r="C4" s="467"/>
      <c r="D4" s="11"/>
      <c r="E4" s="247" t="s">
        <v>97</v>
      </c>
      <c r="F4" s="228" t="s">
        <v>98</v>
      </c>
      <c r="G4" s="228" t="s">
        <v>72</v>
      </c>
      <c r="H4" s="229" t="s">
        <v>99</v>
      </c>
    </row>
    <row r="5" spans="1:8" ht="14.4" customHeight="1" x14ac:dyDescent="0.3">
      <c r="A5" s="231" t="str">
        <f>HYPERLINK("#'Léky Žádanky'!A1","Léky (Kč)")</f>
        <v>Léky (Kč)</v>
      </c>
      <c r="B5" s="31">
        <v>996.86824999999999</v>
      </c>
      <c r="C5" s="33">
        <v>1155.14771</v>
      </c>
      <c r="D5" s="12"/>
      <c r="E5" s="236">
        <v>855.81527000000301</v>
      </c>
      <c r="F5" s="32">
        <v>1076</v>
      </c>
      <c r="G5" s="235">
        <f>E5-F5</f>
        <v>-220.18472999999699</v>
      </c>
      <c r="H5" s="241">
        <f>IF(F5&lt;0.00000001,"",E5/F5)</f>
        <v>0.79536735130111802</v>
      </c>
    </row>
    <row r="6" spans="1:8" ht="14.4" customHeight="1" x14ac:dyDescent="0.3">
      <c r="A6" s="231" t="str">
        <f>HYPERLINK("#'Materiál Žádanky'!A1","Materiál - SZM (Kč)")</f>
        <v>Materiál - SZM (Kč)</v>
      </c>
      <c r="B6" s="14">
        <v>9066.7059700000009</v>
      </c>
      <c r="C6" s="35">
        <v>6715.3077700000003</v>
      </c>
      <c r="D6" s="12"/>
      <c r="E6" s="237">
        <v>9766.4591100000198</v>
      </c>
      <c r="F6" s="34">
        <v>10553</v>
      </c>
      <c r="G6" s="238">
        <f>E6-F6</f>
        <v>-786.54088999998021</v>
      </c>
      <c r="H6" s="242">
        <f>IF(F6&lt;0.00000001,"",E6/F6)</f>
        <v>0.92546755519757606</v>
      </c>
    </row>
    <row r="7" spans="1:8" ht="14.4" customHeight="1" x14ac:dyDescent="0.3">
      <c r="A7" s="454" t="str">
        <f>HYPERLINK("#'Osobní náklady'!A1","Osobní náklady (Kč) *")</f>
        <v>Osobní náklady (Kč) *</v>
      </c>
      <c r="B7" s="14">
        <v>7795.6959100000004</v>
      </c>
      <c r="C7" s="35">
        <v>7134.6579199999996</v>
      </c>
      <c r="D7" s="12"/>
      <c r="E7" s="237">
        <v>7974.64437000002</v>
      </c>
      <c r="F7" s="34">
        <v>9041</v>
      </c>
      <c r="G7" s="238">
        <f>E7-F7</f>
        <v>-1066.35562999998</v>
      </c>
      <c r="H7" s="242">
        <f>IF(F7&lt;0.00000001,"",E7/F7)</f>
        <v>0.88205335361132842</v>
      </c>
    </row>
    <row r="8" spans="1:8" ht="14.4" customHeight="1" thickBot="1" x14ac:dyDescent="0.35">
      <c r="A8" s="1" t="s">
        <v>100</v>
      </c>
      <c r="B8" s="15">
        <v>3228.2521699999902</v>
      </c>
      <c r="C8" s="37">
        <v>2311.4769799999999</v>
      </c>
      <c r="D8" s="12"/>
      <c r="E8" s="239">
        <v>2806.5781000000102</v>
      </c>
      <c r="F8" s="36">
        <v>3025</v>
      </c>
      <c r="G8" s="240">
        <f>E8-F8</f>
        <v>-218.42189999998982</v>
      </c>
      <c r="H8" s="243">
        <f>IF(F8&lt;0.00000001,"",E8/F8)</f>
        <v>0.92779441322314382</v>
      </c>
    </row>
    <row r="9" spans="1:8" ht="14.4" customHeight="1" thickBot="1" x14ac:dyDescent="0.35">
      <c r="A9" s="2" t="s">
        <v>101</v>
      </c>
      <c r="B9" s="3">
        <v>21087.522300000001</v>
      </c>
      <c r="C9" s="39">
        <v>17316.590380000001</v>
      </c>
      <c r="D9" s="12"/>
      <c r="E9" s="3">
        <v>21403.496850000101</v>
      </c>
      <c r="F9" s="38">
        <v>23695</v>
      </c>
      <c r="G9" s="38">
        <f>E9-F9</f>
        <v>-2291.5031499998986</v>
      </c>
      <c r="H9" s="244">
        <f>IF(F9&lt;0.00000001,"",E9/F9)</f>
        <v>0.90329170078075971</v>
      </c>
    </row>
    <row r="10" spans="1:8" ht="14.4" customHeight="1" thickBot="1" x14ac:dyDescent="0.35">
      <c r="A10" s="16"/>
      <c r="B10" s="16"/>
      <c r="C10" s="227"/>
      <c r="D10" s="12"/>
      <c r="E10" s="16"/>
      <c r="F10" s="17"/>
    </row>
    <row r="11" spans="1:8" ht="14.4" customHeight="1" x14ac:dyDescent="0.3">
      <c r="A11" s="263" t="str">
        <f>HYPERLINK("#'ZV Vykáz.-A'!A1","Ambulance *")</f>
        <v>Ambulance *</v>
      </c>
      <c r="B11" s="13">
        <f>IF(ISERROR(VLOOKUP("Celkem:",'ZV Vykáz.-A'!A:F,2,0)),0,VLOOKUP("Celkem:",'ZV Vykáz.-A'!A:F,2,0)/1000)</f>
        <v>390.01954999999998</v>
      </c>
      <c r="C11" s="33">
        <f>IF(ISERROR(VLOOKUP("Celkem:",'ZV Vykáz.-A'!A:F,4,0)),0,VLOOKUP("Celkem:",'ZV Vykáz.-A'!A:F,4,0)/1000)</f>
        <v>295.99844000000002</v>
      </c>
      <c r="D11" s="12"/>
      <c r="E11" s="236">
        <f>IF(ISERROR(VLOOKUP("Celkem:",'ZV Vykáz.-A'!A:F,6,0)),0,VLOOKUP("Celkem:",'ZV Vykáz.-A'!A:F,6,0)/1000)</f>
        <v>344.46789000000001</v>
      </c>
      <c r="F11" s="32">
        <f>B11</f>
        <v>390.01954999999998</v>
      </c>
      <c r="G11" s="235">
        <f>E11-F11</f>
        <v>-45.55165999999997</v>
      </c>
      <c r="H11" s="241">
        <f>IF(F11&lt;0.00000001,"",E11/F11)</f>
        <v>0.8832067264320469</v>
      </c>
    </row>
    <row r="12" spans="1:8" ht="14.4" customHeight="1" thickBot="1" x14ac:dyDescent="0.35">
      <c r="A12" s="264" t="str">
        <f>HYPERLINK("#CaseMix!A1","Hospitalizace *")</f>
        <v>Hospitalizace *</v>
      </c>
      <c r="B12" s="15">
        <f>IF(ISERROR(VLOOKUP("Celkem",CaseMix!A:D,2,0)),0,VLOOKUP("Celkem",CaseMix!A:D,2,0)*30)</f>
        <v>42238.950000000004</v>
      </c>
      <c r="C12" s="37">
        <f>IF(ISERROR(VLOOKUP("Celkem",CaseMix!A:D,3,0)),0,VLOOKUP("Celkem",CaseMix!A:D,3,0)*30)</f>
        <v>37604.25</v>
      </c>
      <c r="D12" s="12"/>
      <c r="E12" s="239">
        <f>IF(ISERROR(VLOOKUP("Celkem",CaseMix!A:D,4,0)),0,VLOOKUP("Celkem",CaseMix!A:D,4,0)*30)</f>
        <v>34764.06</v>
      </c>
      <c r="F12" s="36">
        <f>B12</f>
        <v>42238.950000000004</v>
      </c>
      <c r="G12" s="240">
        <f>E12-F12</f>
        <v>-7474.8900000000067</v>
      </c>
      <c r="H12" s="243">
        <f>IF(F12&lt;0.00000001,"",E12/F12)</f>
        <v>0.82303324301385317</v>
      </c>
    </row>
    <row r="13" spans="1:8" ht="14.4" customHeight="1" thickBot="1" x14ac:dyDescent="0.35">
      <c r="A13" s="4" t="s">
        <v>104</v>
      </c>
      <c r="B13" s="9">
        <f>SUM(B11:B12)</f>
        <v>42628.969550000002</v>
      </c>
      <c r="C13" s="41">
        <f>SUM(C11:C12)</f>
        <v>37900.248440000003</v>
      </c>
      <c r="D13" s="12"/>
      <c r="E13" s="9">
        <f>SUM(E11:E12)</f>
        <v>35108.527889999998</v>
      </c>
      <c r="F13" s="40">
        <f>SUM(F11:F12)</f>
        <v>42628.969550000002</v>
      </c>
      <c r="G13" s="40">
        <f>E13-F13</f>
        <v>-7520.441660000004</v>
      </c>
      <c r="H13" s="245">
        <f>IF(F13&lt;0.00000001,"",E13/F13)</f>
        <v>0.8235837802464544</v>
      </c>
    </row>
    <row r="14" spans="1:8" ht="14.4" customHeight="1" thickBot="1" x14ac:dyDescent="0.35">
      <c r="A14" s="16"/>
      <c r="B14" s="16"/>
      <c r="C14" s="227"/>
      <c r="D14" s="12"/>
      <c r="E14" s="16"/>
      <c r="F14" s="17"/>
    </row>
    <row r="15" spans="1:8" ht="14.4" customHeight="1" thickBot="1" x14ac:dyDescent="0.35">
      <c r="A15" s="265" t="str">
        <f>HYPERLINK("#'HI Graf'!A1","Hospodářský index (Výnosy / Náklady) *")</f>
        <v>Hospodářský index (Výnosy / Náklady) *</v>
      </c>
      <c r="B15" s="10">
        <f>IF(B9=0,"",B13/B9)</f>
        <v>2.0215257602833692</v>
      </c>
      <c r="C15" s="43">
        <f>IF(C9=0,"",C13/C9)</f>
        <v>2.1886669146931683</v>
      </c>
      <c r="D15" s="12"/>
      <c r="E15" s="10">
        <f>IF(E9=0,"",E13/E9)</f>
        <v>1.6403173806620217</v>
      </c>
      <c r="F15" s="42">
        <f>IF(F9=0,"",F13/F9)</f>
        <v>1.7990702489976789</v>
      </c>
      <c r="G15" s="42">
        <f>IF(ISERROR(F15-E15),"",E15-F15)</f>
        <v>-0.15875286833565716</v>
      </c>
      <c r="H15" s="246">
        <f>IF(ISERROR(F15-E15),"",IF(F15&lt;0.00000001,"",E15/F15))</f>
        <v>0.91175838274013832</v>
      </c>
    </row>
    <row r="17" spans="1:8" ht="14.4" customHeight="1" x14ac:dyDescent="0.3">
      <c r="A17" s="232" t="s">
        <v>207</v>
      </c>
    </row>
    <row r="18" spans="1:8" ht="14.4" customHeight="1" x14ac:dyDescent="0.3">
      <c r="A18" s="456" t="s">
        <v>295</v>
      </c>
      <c r="B18" s="457"/>
      <c r="C18" s="457"/>
      <c r="D18" s="457"/>
      <c r="E18" s="457"/>
      <c r="F18" s="457"/>
      <c r="G18" s="457"/>
      <c r="H18" s="457"/>
    </row>
    <row r="19" spans="1:8" x14ac:dyDescent="0.3">
      <c r="A19" s="455" t="s">
        <v>294</v>
      </c>
      <c r="B19" s="457"/>
      <c r="C19" s="457"/>
      <c r="D19" s="457"/>
      <c r="E19" s="457"/>
      <c r="F19" s="457"/>
      <c r="G19" s="457"/>
      <c r="H19" s="457"/>
    </row>
    <row r="20" spans="1:8" ht="14.4" customHeight="1" x14ac:dyDescent="0.3">
      <c r="A20" s="233" t="s">
        <v>208</v>
      </c>
    </row>
    <row r="21" spans="1:8" ht="14.4" customHeight="1" x14ac:dyDescent="0.3">
      <c r="A21" s="233" t="s">
        <v>209</v>
      </c>
    </row>
    <row r="22" spans="1:8" ht="14.4" customHeight="1" x14ac:dyDescent="0.3">
      <c r="A22" s="234" t="s">
        <v>210</v>
      </c>
    </row>
    <row r="23" spans="1:8" ht="14.4" customHeight="1" x14ac:dyDescent="0.3">
      <c r="A23" s="234" t="s">
        <v>211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4" operator="greaterThan">
      <formula>0</formula>
    </cfRule>
  </conditionalFormatting>
  <conditionalFormatting sqref="G11:G13 G15">
    <cfRule type="cellIs" dxfId="68" priority="3" operator="lessThan">
      <formula>0</formula>
    </cfRule>
  </conditionalFormatting>
  <conditionalFormatting sqref="H5:H9">
    <cfRule type="cellIs" dxfId="67" priority="2" operator="greaterThan">
      <formula>1</formula>
    </cfRule>
  </conditionalFormatting>
  <conditionalFormatting sqref="H11:H13 H15">
    <cfRule type="cellIs" dxfId="6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60"/>
    <col min="2" max="13" width="8.88671875" style="260" customWidth="1"/>
    <col min="14" max="16384" width="8.88671875" style="260"/>
  </cols>
  <sheetData>
    <row r="1" spans="1:13" ht="18.600000000000001" customHeight="1" thickBot="1" x14ac:dyDescent="0.4">
      <c r="A1" s="462" t="s">
        <v>132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x14ac:dyDescent="0.3">
      <c r="A2" s="389" t="s">
        <v>298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14.4" customHeight="1" x14ac:dyDescent="0.3">
      <c r="A3" s="334"/>
      <c r="B3" s="335" t="s">
        <v>106</v>
      </c>
      <c r="C3" s="336" t="s">
        <v>107</v>
      </c>
      <c r="D3" s="336" t="s">
        <v>108</v>
      </c>
      <c r="E3" s="335" t="s">
        <v>109</v>
      </c>
      <c r="F3" s="336" t="s">
        <v>110</v>
      </c>
      <c r="G3" s="336" t="s">
        <v>111</v>
      </c>
      <c r="H3" s="336" t="s">
        <v>112</v>
      </c>
      <c r="I3" s="336" t="s">
        <v>113</v>
      </c>
      <c r="J3" s="336" t="s">
        <v>114</v>
      </c>
      <c r="K3" s="336" t="s">
        <v>115</v>
      </c>
      <c r="L3" s="336" t="s">
        <v>116</v>
      </c>
      <c r="M3" s="336" t="s">
        <v>117</v>
      </c>
    </row>
    <row r="4" spans="1:13" ht="14.4" customHeight="1" x14ac:dyDescent="0.3">
      <c r="A4" s="334" t="s">
        <v>105</v>
      </c>
      <c r="B4" s="337">
        <f>(B10+B8)/B6</f>
        <v>1.3183279544100723</v>
      </c>
      <c r="C4" s="337">
        <f t="shared" ref="C4:M4" si="0">(C10+C8)/C6</f>
        <v>1.6403173806620219</v>
      </c>
      <c r="D4" s="337">
        <f t="shared" si="0"/>
        <v>1.6094000546457363E-2</v>
      </c>
      <c r="E4" s="337">
        <f t="shared" si="0"/>
        <v>1.6094000546457363E-2</v>
      </c>
      <c r="F4" s="337">
        <f t="shared" si="0"/>
        <v>1.6094000546457363E-2</v>
      </c>
      <c r="G4" s="337">
        <f t="shared" si="0"/>
        <v>1.6094000546457363E-2</v>
      </c>
      <c r="H4" s="337">
        <f t="shared" si="0"/>
        <v>1.6094000546457363E-2</v>
      </c>
      <c r="I4" s="337">
        <f t="shared" si="0"/>
        <v>1.6094000546457363E-2</v>
      </c>
      <c r="J4" s="337">
        <f t="shared" si="0"/>
        <v>1.6094000546457363E-2</v>
      </c>
      <c r="K4" s="337">
        <f t="shared" si="0"/>
        <v>1.6094000546457363E-2</v>
      </c>
      <c r="L4" s="337">
        <f t="shared" si="0"/>
        <v>1.6094000546457363E-2</v>
      </c>
      <c r="M4" s="337">
        <f t="shared" si="0"/>
        <v>1.6094000546457363E-2</v>
      </c>
    </row>
    <row r="5" spans="1:13" ht="14.4" customHeight="1" x14ac:dyDescent="0.3">
      <c r="A5" s="338" t="s">
        <v>56</v>
      </c>
      <c r="B5" s="337">
        <f>IF(ISERROR(VLOOKUP($A5,'Man Tab'!$A:$Q,COLUMN()+2,0)),0,VLOOKUP($A5,'Man Tab'!$A:$Q,COLUMN()+2,0))</f>
        <v>10847.3568600001</v>
      </c>
      <c r="C5" s="337">
        <f>IF(ISERROR(VLOOKUP($A5,'Man Tab'!$A:$Q,COLUMN()+2,0)),0,VLOOKUP($A5,'Man Tab'!$A:$Q,COLUMN()+2,0))</f>
        <v>10556.13999</v>
      </c>
      <c r="D5" s="337">
        <f>IF(ISERROR(VLOOKUP($A5,'Man Tab'!$A:$Q,COLUMN()+2,0)),0,VLOOKUP($A5,'Man Tab'!$A:$Q,COLUMN()+2,0))</f>
        <v>4.9406564584124654E-324</v>
      </c>
      <c r="E5" s="337">
        <f>IF(ISERROR(VLOOKUP($A5,'Man Tab'!$A:$Q,COLUMN()+2,0)),0,VLOOKUP($A5,'Man Tab'!$A:$Q,COLUMN()+2,0))</f>
        <v>4.9406564584124654E-324</v>
      </c>
      <c r="F5" s="337">
        <f>IF(ISERROR(VLOOKUP($A5,'Man Tab'!$A:$Q,COLUMN()+2,0)),0,VLOOKUP($A5,'Man Tab'!$A:$Q,COLUMN()+2,0))</f>
        <v>4.9406564584124654E-324</v>
      </c>
      <c r="G5" s="337">
        <f>IF(ISERROR(VLOOKUP($A5,'Man Tab'!$A:$Q,COLUMN()+2,0)),0,VLOOKUP($A5,'Man Tab'!$A:$Q,COLUMN()+2,0))</f>
        <v>4.9406564584124654E-324</v>
      </c>
      <c r="H5" s="337">
        <f>IF(ISERROR(VLOOKUP($A5,'Man Tab'!$A:$Q,COLUMN()+2,0)),0,VLOOKUP($A5,'Man Tab'!$A:$Q,COLUMN()+2,0))</f>
        <v>4.9406564584124654E-324</v>
      </c>
      <c r="I5" s="337">
        <f>IF(ISERROR(VLOOKUP($A5,'Man Tab'!$A:$Q,COLUMN()+2,0)),0,VLOOKUP($A5,'Man Tab'!$A:$Q,COLUMN()+2,0))</f>
        <v>4.9406564584124654E-324</v>
      </c>
      <c r="J5" s="337">
        <f>IF(ISERROR(VLOOKUP($A5,'Man Tab'!$A:$Q,COLUMN()+2,0)),0,VLOOKUP($A5,'Man Tab'!$A:$Q,COLUMN()+2,0))</f>
        <v>4.9406564584124654E-324</v>
      </c>
      <c r="K5" s="337">
        <f>IF(ISERROR(VLOOKUP($A5,'Man Tab'!$A:$Q,COLUMN()+2,0)),0,VLOOKUP($A5,'Man Tab'!$A:$Q,COLUMN()+2,0))</f>
        <v>4.9406564584124654E-324</v>
      </c>
      <c r="L5" s="337">
        <f>IF(ISERROR(VLOOKUP($A5,'Man Tab'!$A:$Q,COLUMN()+2,0)),0,VLOOKUP($A5,'Man Tab'!$A:$Q,COLUMN()+2,0))</f>
        <v>4.9406564584124654E-324</v>
      </c>
      <c r="M5" s="337">
        <f>IF(ISERROR(VLOOKUP($A5,'Man Tab'!$A:$Q,COLUMN()+2,0)),0,VLOOKUP($A5,'Man Tab'!$A:$Q,COLUMN()+2,0))</f>
        <v>4.9406564584124654E-324</v>
      </c>
    </row>
    <row r="6" spans="1:13" ht="14.4" customHeight="1" x14ac:dyDescent="0.3">
      <c r="A6" s="338" t="s">
        <v>101</v>
      </c>
      <c r="B6" s="339">
        <f>B5</f>
        <v>10847.3568600001</v>
      </c>
      <c r="C6" s="339">
        <f t="shared" ref="C6:M6" si="1">C5+B6</f>
        <v>21403.496850000098</v>
      </c>
      <c r="D6" s="339">
        <f t="shared" si="1"/>
        <v>21403.496850000098</v>
      </c>
      <c r="E6" s="339">
        <f t="shared" si="1"/>
        <v>21403.496850000098</v>
      </c>
      <c r="F6" s="339">
        <f t="shared" si="1"/>
        <v>21403.496850000098</v>
      </c>
      <c r="G6" s="339">
        <f t="shared" si="1"/>
        <v>21403.496850000098</v>
      </c>
      <c r="H6" s="339">
        <f t="shared" si="1"/>
        <v>21403.496850000098</v>
      </c>
      <c r="I6" s="339">
        <f t="shared" si="1"/>
        <v>21403.496850000098</v>
      </c>
      <c r="J6" s="339">
        <f t="shared" si="1"/>
        <v>21403.496850000098</v>
      </c>
      <c r="K6" s="339">
        <f t="shared" si="1"/>
        <v>21403.496850000098</v>
      </c>
      <c r="L6" s="339">
        <f t="shared" si="1"/>
        <v>21403.496850000098</v>
      </c>
      <c r="M6" s="339">
        <f t="shared" si="1"/>
        <v>21403.496850000098</v>
      </c>
    </row>
    <row r="7" spans="1:13" ht="14.4" customHeight="1" x14ac:dyDescent="0.3">
      <c r="A7" s="338" t="s">
        <v>130</v>
      </c>
      <c r="B7" s="338">
        <v>470.16199999999998</v>
      </c>
      <c r="C7" s="338">
        <v>1158.8019999999999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</row>
    <row r="8" spans="1:13" ht="14.4" customHeight="1" x14ac:dyDescent="0.3">
      <c r="A8" s="338" t="s">
        <v>102</v>
      </c>
      <c r="B8" s="339">
        <f>B7*30</f>
        <v>14104.859999999999</v>
      </c>
      <c r="C8" s="339">
        <f t="shared" ref="C8:M8" si="2">C7*30</f>
        <v>34764.06</v>
      </c>
      <c r="D8" s="339">
        <f t="shared" si="2"/>
        <v>0</v>
      </c>
      <c r="E8" s="339">
        <f t="shared" si="2"/>
        <v>0</v>
      </c>
      <c r="F8" s="339">
        <f t="shared" si="2"/>
        <v>0</v>
      </c>
      <c r="G8" s="339">
        <f t="shared" si="2"/>
        <v>0</v>
      </c>
      <c r="H8" s="339">
        <f t="shared" si="2"/>
        <v>0</v>
      </c>
      <c r="I8" s="339">
        <f t="shared" si="2"/>
        <v>0</v>
      </c>
      <c r="J8" s="339">
        <f t="shared" si="2"/>
        <v>0</v>
      </c>
      <c r="K8" s="339">
        <f t="shared" si="2"/>
        <v>0</v>
      </c>
      <c r="L8" s="339">
        <f t="shared" si="2"/>
        <v>0</v>
      </c>
      <c r="M8" s="339">
        <f t="shared" si="2"/>
        <v>0</v>
      </c>
    </row>
    <row r="9" spans="1:13" ht="14.4" customHeight="1" x14ac:dyDescent="0.3">
      <c r="A9" s="338" t="s">
        <v>131</v>
      </c>
      <c r="B9" s="338">
        <v>195513.78</v>
      </c>
      <c r="C9" s="338">
        <v>148954.10999999999</v>
      </c>
      <c r="D9" s="338">
        <v>0</v>
      </c>
      <c r="E9" s="338">
        <v>0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</row>
    <row r="10" spans="1:13" ht="14.4" customHeight="1" x14ac:dyDescent="0.3">
      <c r="A10" s="338" t="s">
        <v>103</v>
      </c>
      <c r="B10" s="339">
        <f>B9/1000</f>
        <v>195.51378</v>
      </c>
      <c r="C10" s="339">
        <f t="shared" ref="C10:M10" si="3">C9/1000+B10</f>
        <v>344.46789000000001</v>
      </c>
      <c r="D10" s="339">
        <f t="shared" si="3"/>
        <v>344.46789000000001</v>
      </c>
      <c r="E10" s="339">
        <f t="shared" si="3"/>
        <v>344.46789000000001</v>
      </c>
      <c r="F10" s="339">
        <f t="shared" si="3"/>
        <v>344.46789000000001</v>
      </c>
      <c r="G10" s="339">
        <f t="shared" si="3"/>
        <v>344.46789000000001</v>
      </c>
      <c r="H10" s="339">
        <f t="shared" si="3"/>
        <v>344.46789000000001</v>
      </c>
      <c r="I10" s="339">
        <f t="shared" si="3"/>
        <v>344.46789000000001</v>
      </c>
      <c r="J10" s="339">
        <f t="shared" si="3"/>
        <v>344.46789000000001</v>
      </c>
      <c r="K10" s="339">
        <f t="shared" si="3"/>
        <v>344.46789000000001</v>
      </c>
      <c r="L10" s="339">
        <f t="shared" si="3"/>
        <v>344.46789000000001</v>
      </c>
      <c r="M10" s="339">
        <f t="shared" si="3"/>
        <v>344.46789000000001</v>
      </c>
    </row>
    <row r="11" spans="1:13" ht="14.4" customHeight="1" x14ac:dyDescent="0.3">
      <c r="A11" s="334"/>
      <c r="B11" s="334" t="s">
        <v>119</v>
      </c>
      <c r="C11" s="334">
        <f>COUNTIF(B7:M7,"&lt;&gt;")</f>
        <v>2</v>
      </c>
      <c r="D11" s="334"/>
      <c r="E11" s="334"/>
      <c r="F11" s="334"/>
      <c r="G11" s="334"/>
      <c r="H11" s="334"/>
      <c r="I11" s="334"/>
      <c r="J11" s="334"/>
      <c r="K11" s="334"/>
      <c r="L11" s="334"/>
      <c r="M11" s="334"/>
    </row>
    <row r="12" spans="1:13" ht="14.4" customHeight="1" x14ac:dyDescent="0.3">
      <c r="A12" s="334">
        <v>0</v>
      </c>
      <c r="B12" s="337">
        <f>IF(ISERROR(HI!F15),#REF!,HI!F15)</f>
        <v>1.7990702489976789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</row>
    <row r="13" spans="1:13" ht="14.4" customHeight="1" x14ac:dyDescent="0.3">
      <c r="A13" s="334">
        <v>1</v>
      </c>
      <c r="B13" s="337">
        <f>IF(ISERROR(HI!F15),#REF!,HI!F15)</f>
        <v>1.7990702489976789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60" bestFit="1" customWidth="1"/>
    <col min="2" max="2" width="12.77734375" style="260" bestFit="1" customWidth="1"/>
    <col min="3" max="3" width="13.6640625" style="260" bestFit="1" customWidth="1"/>
    <col min="4" max="15" width="7.77734375" style="260" bestFit="1" customWidth="1"/>
    <col min="16" max="16" width="8.88671875" style="260" customWidth="1"/>
    <col min="17" max="17" width="6.6640625" style="260" bestFit="1" customWidth="1"/>
    <col min="18" max="16384" width="8.88671875" style="260"/>
  </cols>
  <sheetData>
    <row r="1" spans="1:17" s="340" customFormat="1" ht="18.600000000000001" customHeight="1" thickBot="1" x14ac:dyDescent="0.4">
      <c r="A1" s="471" t="s">
        <v>300</v>
      </c>
      <c r="B1" s="471"/>
      <c r="C1" s="471"/>
      <c r="D1" s="471"/>
      <c r="E1" s="471"/>
      <c r="F1" s="471"/>
      <c r="G1" s="471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s="340" customFormat="1" ht="14.4" customHeight="1" thickBot="1" x14ac:dyDescent="0.3">
      <c r="A2" s="389" t="s">
        <v>298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7" ht="14.4" customHeight="1" x14ac:dyDescent="0.3">
      <c r="A3" s="101"/>
      <c r="B3" s="472" t="s">
        <v>32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269"/>
      <c r="Q3" s="271"/>
    </row>
    <row r="4" spans="1:17" ht="14.4" customHeight="1" x14ac:dyDescent="0.3">
      <c r="A4" s="102"/>
      <c r="B4" s="24">
        <v>2014</v>
      </c>
      <c r="C4" s="270" t="s">
        <v>33</v>
      </c>
      <c r="D4" s="248" t="s">
        <v>215</v>
      </c>
      <c r="E4" s="248" t="s">
        <v>216</v>
      </c>
      <c r="F4" s="248" t="s">
        <v>217</v>
      </c>
      <c r="G4" s="248" t="s">
        <v>218</v>
      </c>
      <c r="H4" s="248" t="s">
        <v>219</v>
      </c>
      <c r="I4" s="248" t="s">
        <v>220</v>
      </c>
      <c r="J4" s="248" t="s">
        <v>221</v>
      </c>
      <c r="K4" s="248" t="s">
        <v>222</v>
      </c>
      <c r="L4" s="248" t="s">
        <v>223</v>
      </c>
      <c r="M4" s="248" t="s">
        <v>224</v>
      </c>
      <c r="N4" s="248" t="s">
        <v>225</v>
      </c>
      <c r="O4" s="248" t="s">
        <v>226</v>
      </c>
      <c r="P4" s="474" t="s">
        <v>6</v>
      </c>
      <c r="Q4" s="475"/>
    </row>
    <row r="5" spans="1:17" ht="14.4" customHeight="1" thickBot="1" x14ac:dyDescent="0.35">
      <c r="A5" s="103"/>
      <c r="B5" s="25" t="s">
        <v>34</v>
      </c>
      <c r="C5" s="26" t="s">
        <v>34</v>
      </c>
      <c r="D5" s="26" t="s">
        <v>35</v>
      </c>
      <c r="E5" s="26" t="s">
        <v>35</v>
      </c>
      <c r="F5" s="26" t="s">
        <v>35</v>
      </c>
      <c r="G5" s="26" t="s">
        <v>35</v>
      </c>
      <c r="H5" s="26" t="s">
        <v>35</v>
      </c>
      <c r="I5" s="26" t="s">
        <v>35</v>
      </c>
      <c r="J5" s="26" t="s">
        <v>35</v>
      </c>
      <c r="K5" s="26" t="s">
        <v>35</v>
      </c>
      <c r="L5" s="26" t="s">
        <v>35</v>
      </c>
      <c r="M5" s="26" t="s">
        <v>35</v>
      </c>
      <c r="N5" s="26" t="s">
        <v>35</v>
      </c>
      <c r="O5" s="26" t="s">
        <v>35</v>
      </c>
      <c r="P5" s="26" t="s">
        <v>35</v>
      </c>
      <c r="Q5" s="27" t="s">
        <v>36</v>
      </c>
    </row>
    <row r="6" spans="1:17" ht="14.4" customHeight="1" x14ac:dyDescent="0.3">
      <c r="A6" s="18" t="s">
        <v>37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9.8813129168249309E-324</v>
      </c>
      <c r="Q6" s="188" t="s">
        <v>299</v>
      </c>
    </row>
    <row r="7" spans="1:17" ht="14.4" customHeight="1" x14ac:dyDescent="0.3">
      <c r="A7" s="19" t="s">
        <v>38</v>
      </c>
      <c r="B7" s="55">
        <v>5919.0414242851703</v>
      </c>
      <c r="C7" s="56">
        <v>493.253452023764</v>
      </c>
      <c r="D7" s="56">
        <v>533.78883000000303</v>
      </c>
      <c r="E7" s="56">
        <v>322.02643999999998</v>
      </c>
      <c r="F7" s="56">
        <v>4.9406564584124654E-324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855.81527000000301</v>
      </c>
      <c r="Q7" s="189">
        <v>0.86752081155100003</v>
      </c>
    </row>
    <row r="8" spans="1:17" ht="14.4" customHeight="1" x14ac:dyDescent="0.3">
      <c r="A8" s="19" t="s">
        <v>39</v>
      </c>
      <c r="B8" s="55">
        <v>995.21330965123195</v>
      </c>
      <c r="C8" s="56">
        <v>82.934442470936006</v>
      </c>
      <c r="D8" s="56">
        <v>61.795000000000002</v>
      </c>
      <c r="E8" s="56">
        <v>98.974999999999994</v>
      </c>
      <c r="F8" s="56">
        <v>4.9406564584124654E-324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160.77000000000001</v>
      </c>
      <c r="Q8" s="189">
        <v>0.96925954531000003</v>
      </c>
    </row>
    <row r="9" spans="1:17" ht="14.4" customHeight="1" x14ac:dyDescent="0.3">
      <c r="A9" s="19" t="s">
        <v>40</v>
      </c>
      <c r="B9" s="55">
        <v>57998.576785761397</v>
      </c>
      <c r="C9" s="56">
        <v>4833.2147321467801</v>
      </c>
      <c r="D9" s="56">
        <v>5013.2842700000201</v>
      </c>
      <c r="E9" s="56">
        <v>4753.1748399999997</v>
      </c>
      <c r="F9" s="56">
        <v>4.9406564584124654E-324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9766.4591100000198</v>
      </c>
      <c r="Q9" s="189">
        <v>1.0103481483079999</v>
      </c>
    </row>
    <row r="10" spans="1:17" ht="14.4" customHeight="1" x14ac:dyDescent="0.3">
      <c r="A10" s="19" t="s">
        <v>41</v>
      </c>
      <c r="B10" s="55">
        <v>677.99760883551903</v>
      </c>
      <c r="C10" s="56">
        <v>56.499800736292997</v>
      </c>
      <c r="D10" s="56">
        <v>58.081420000000001</v>
      </c>
      <c r="E10" s="56">
        <v>54.138689999999997</v>
      </c>
      <c r="F10" s="56">
        <v>4.9406564584124654E-324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112.22011000000001</v>
      </c>
      <c r="Q10" s="189">
        <v>0.99310182104599998</v>
      </c>
    </row>
    <row r="11" spans="1:17" ht="14.4" customHeight="1" x14ac:dyDescent="0.3">
      <c r="A11" s="19" t="s">
        <v>42</v>
      </c>
      <c r="B11" s="55">
        <v>979.49270045997503</v>
      </c>
      <c r="C11" s="56">
        <v>81.624391704996995</v>
      </c>
      <c r="D11" s="56">
        <v>70.532470000000004</v>
      </c>
      <c r="E11" s="56">
        <v>66.903989999999993</v>
      </c>
      <c r="F11" s="56">
        <v>4.9406564584124654E-324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137.43646000000001</v>
      </c>
      <c r="Q11" s="189">
        <v>0.84188351747000001</v>
      </c>
    </row>
    <row r="12" spans="1:17" ht="14.4" customHeight="1" x14ac:dyDescent="0.3">
      <c r="A12" s="19" t="s">
        <v>43</v>
      </c>
      <c r="B12" s="55">
        <v>138.37858686212601</v>
      </c>
      <c r="C12" s="56">
        <v>11.531548905177001</v>
      </c>
      <c r="D12" s="56">
        <v>6.9576700000000002</v>
      </c>
      <c r="E12" s="56">
        <v>4.6539599999999997</v>
      </c>
      <c r="F12" s="56">
        <v>4.9406564584124654E-324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11.61163</v>
      </c>
      <c r="Q12" s="189">
        <v>0.503472260989</v>
      </c>
    </row>
    <row r="13" spans="1:17" ht="14.4" customHeight="1" x14ac:dyDescent="0.3">
      <c r="A13" s="19" t="s">
        <v>44</v>
      </c>
      <c r="B13" s="55">
        <v>1449.77286767179</v>
      </c>
      <c r="C13" s="56">
        <v>120.81440563931601</v>
      </c>
      <c r="D13" s="56">
        <v>130.38780000000099</v>
      </c>
      <c r="E13" s="56">
        <v>129.82153</v>
      </c>
      <c r="F13" s="56">
        <v>4.9406564584124654E-324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260.20933000000099</v>
      </c>
      <c r="Q13" s="189">
        <v>1.076896950421</v>
      </c>
    </row>
    <row r="14" spans="1:17" ht="14.4" customHeight="1" x14ac:dyDescent="0.3">
      <c r="A14" s="19" t="s">
        <v>45</v>
      </c>
      <c r="B14" s="55">
        <v>2528.9628617049202</v>
      </c>
      <c r="C14" s="56">
        <v>210.746905142076</v>
      </c>
      <c r="D14" s="56">
        <v>280.78200000000101</v>
      </c>
      <c r="E14" s="56">
        <v>236.38</v>
      </c>
      <c r="F14" s="56">
        <v>4.9406564584124654E-324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517.16200000000094</v>
      </c>
      <c r="Q14" s="189">
        <v>1.2269741272150001</v>
      </c>
    </row>
    <row r="15" spans="1:17" ht="14.4" customHeight="1" x14ac:dyDescent="0.3">
      <c r="A15" s="19" t="s">
        <v>46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9.8813129168249309E-324</v>
      </c>
      <c r="Q15" s="189" t="s">
        <v>299</v>
      </c>
    </row>
    <row r="16" spans="1:17" ht="14.4" customHeight="1" x14ac:dyDescent="0.3">
      <c r="A16" s="19" t="s">
        <v>47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9.8813129168249309E-324</v>
      </c>
      <c r="Q16" s="189" t="s">
        <v>299</v>
      </c>
    </row>
    <row r="17" spans="1:17" ht="14.4" customHeight="1" x14ac:dyDescent="0.3">
      <c r="A17" s="19" t="s">
        <v>48</v>
      </c>
      <c r="B17" s="55">
        <v>772.41117210530399</v>
      </c>
      <c r="C17" s="56">
        <v>64.367597675441999</v>
      </c>
      <c r="D17" s="56">
        <v>11.168369999999999</v>
      </c>
      <c r="E17" s="56">
        <v>83.952830000000006</v>
      </c>
      <c r="F17" s="56">
        <v>4.9406564584124654E-324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95.121200000000002</v>
      </c>
      <c r="Q17" s="189">
        <v>0.73889040010100004</v>
      </c>
    </row>
    <row r="18" spans="1:17" ht="14.4" customHeight="1" x14ac:dyDescent="0.3">
      <c r="A18" s="19" t="s">
        <v>49</v>
      </c>
      <c r="B18" s="55">
        <v>0</v>
      </c>
      <c r="C18" s="56">
        <v>0</v>
      </c>
      <c r="D18" s="56">
        <v>2.1440000000000001</v>
      </c>
      <c r="E18" s="56">
        <v>5.0049999999999999</v>
      </c>
      <c r="F18" s="56">
        <v>4.9406564584124654E-324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7.149</v>
      </c>
      <c r="Q18" s="189" t="s">
        <v>299</v>
      </c>
    </row>
    <row r="19" spans="1:17" ht="14.4" customHeight="1" x14ac:dyDescent="0.3">
      <c r="A19" s="19" t="s">
        <v>50</v>
      </c>
      <c r="B19" s="55">
        <v>2329.2791374028302</v>
      </c>
      <c r="C19" s="56">
        <v>194.10659478356899</v>
      </c>
      <c r="D19" s="56">
        <v>215.90504000000101</v>
      </c>
      <c r="E19" s="56">
        <v>212.74364</v>
      </c>
      <c r="F19" s="56">
        <v>4.9406564584124654E-324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428.64868000000098</v>
      </c>
      <c r="Q19" s="189">
        <v>1.1041579511449999</v>
      </c>
    </row>
    <row r="20" spans="1:17" ht="14.4" customHeight="1" x14ac:dyDescent="0.3">
      <c r="A20" s="19" t="s">
        <v>51</v>
      </c>
      <c r="B20" s="55">
        <v>49757.2461881731</v>
      </c>
      <c r="C20" s="56">
        <v>4146.4371823477604</v>
      </c>
      <c r="D20" s="56">
        <v>3936.6383100000198</v>
      </c>
      <c r="E20" s="56">
        <v>4038.0060600000002</v>
      </c>
      <c r="F20" s="56">
        <v>4.9406564584124654E-324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7974.64437000002</v>
      </c>
      <c r="Q20" s="189">
        <v>0.96162609238899999</v>
      </c>
    </row>
    <row r="21" spans="1:17" ht="14.4" customHeight="1" x14ac:dyDescent="0.3">
      <c r="A21" s="20" t="s">
        <v>52</v>
      </c>
      <c r="B21" s="55">
        <v>6443.9826655916104</v>
      </c>
      <c r="C21" s="56">
        <v>536.99855546596802</v>
      </c>
      <c r="D21" s="56">
        <v>525.66100000000301</v>
      </c>
      <c r="E21" s="56">
        <v>538.40700000000004</v>
      </c>
      <c r="F21" s="56">
        <v>1.4821969375237396E-323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1064.068</v>
      </c>
      <c r="Q21" s="189">
        <v>0.99075499288500002</v>
      </c>
    </row>
    <row r="22" spans="1:17" ht="14.4" customHeight="1" x14ac:dyDescent="0.3">
      <c r="A22" s="19" t="s">
        <v>53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9.8813129168249309E-324</v>
      </c>
      <c r="Q22" s="189" t="s">
        <v>299</v>
      </c>
    </row>
    <row r="23" spans="1:17" ht="14.4" customHeight="1" x14ac:dyDescent="0.3">
      <c r="A23" s="20" t="s">
        <v>54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3.9525251667299724E-323</v>
      </c>
      <c r="Q23" s="189" t="s">
        <v>299</v>
      </c>
    </row>
    <row r="24" spans="1:17" ht="14.4" customHeight="1" x14ac:dyDescent="0.3">
      <c r="A24" s="20" t="s">
        <v>55</v>
      </c>
      <c r="B24" s="55">
        <v>-1.45519152283669E-11</v>
      </c>
      <c r="C24" s="56">
        <v>0</v>
      </c>
      <c r="D24" s="56">
        <v>0.23068</v>
      </c>
      <c r="E24" s="56">
        <v>11.951009999997</v>
      </c>
      <c r="F24" s="56">
        <v>-1.0869444208507424E-322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12.181689999996999</v>
      </c>
      <c r="Q24" s="189"/>
    </row>
    <row r="25" spans="1:17" ht="14.4" customHeight="1" x14ac:dyDescent="0.3">
      <c r="A25" s="21" t="s">
        <v>56</v>
      </c>
      <c r="B25" s="58">
        <v>129990.35530850499</v>
      </c>
      <c r="C25" s="59">
        <v>10832.5296090421</v>
      </c>
      <c r="D25" s="59">
        <v>10847.3568600001</v>
      </c>
      <c r="E25" s="59">
        <v>10556.13999</v>
      </c>
      <c r="F25" s="59">
        <v>4.9406564584124654E-324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21403.49685</v>
      </c>
      <c r="Q25" s="190">
        <v>0.98792699500799996</v>
      </c>
    </row>
    <row r="26" spans="1:17" ht="14.4" customHeight="1" x14ac:dyDescent="0.3">
      <c r="A26" s="19" t="s">
        <v>57</v>
      </c>
      <c r="B26" s="55">
        <v>9638.1684150836409</v>
      </c>
      <c r="C26" s="56">
        <v>803.18070125697</v>
      </c>
      <c r="D26" s="56">
        <v>784.98995000000002</v>
      </c>
      <c r="E26" s="56">
        <v>767.34987999999998</v>
      </c>
      <c r="F26" s="56">
        <v>4.9406564584124654E-324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1552.3398299999999</v>
      </c>
      <c r="Q26" s="189">
        <v>0.96637022501299996</v>
      </c>
    </row>
    <row r="27" spans="1:17" ht="14.4" customHeight="1" x14ac:dyDescent="0.3">
      <c r="A27" s="22" t="s">
        <v>58</v>
      </c>
      <c r="B27" s="58">
        <v>139628.52372358899</v>
      </c>
      <c r="C27" s="59">
        <v>11635.7103102991</v>
      </c>
      <c r="D27" s="59">
        <v>11632.346810000099</v>
      </c>
      <c r="E27" s="59">
        <v>11323.489869999999</v>
      </c>
      <c r="F27" s="59">
        <v>9.8813129168249309E-324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22955.83668</v>
      </c>
      <c r="Q27" s="190">
        <v>0.98643899116599998</v>
      </c>
    </row>
    <row r="28" spans="1:17" ht="14.4" customHeight="1" x14ac:dyDescent="0.3">
      <c r="A28" s="20" t="s">
        <v>59</v>
      </c>
      <c r="B28" s="55">
        <v>14.328517349527999</v>
      </c>
      <c r="C28" s="56">
        <v>1.1940431124599999</v>
      </c>
      <c r="D28" s="56">
        <v>0.28100000000000003</v>
      </c>
      <c r="E28" s="56">
        <v>0.11570999999999999</v>
      </c>
      <c r="F28" s="56">
        <v>1.2351641146031164E-322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0.39671000000000001</v>
      </c>
      <c r="Q28" s="189">
        <v>0.16612046745199999</v>
      </c>
    </row>
    <row r="29" spans="1:17" ht="14.4" customHeight="1" x14ac:dyDescent="0.3">
      <c r="A29" s="20" t="s">
        <v>60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1.9762625833649862E-323</v>
      </c>
      <c r="Q29" s="189" t="s">
        <v>299</v>
      </c>
    </row>
    <row r="30" spans="1:17" ht="14.4" customHeight="1" x14ac:dyDescent="0.3">
      <c r="A30" s="20" t="s">
        <v>61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9.8813129168249309E-323</v>
      </c>
      <c r="Q30" s="189">
        <v>0</v>
      </c>
    </row>
    <row r="31" spans="1:17" ht="14.4" customHeight="1" thickBot="1" x14ac:dyDescent="0.35">
      <c r="A31" s="23" t="s">
        <v>62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4.9406564584124654E-323</v>
      </c>
      <c r="Q31" s="191" t="s">
        <v>299</v>
      </c>
    </row>
    <row r="32" spans="1:17" ht="14.4" customHeight="1" x14ac:dyDescent="0.3"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</row>
    <row r="33" spans="1:17" ht="14.4" customHeight="1" x14ac:dyDescent="0.3">
      <c r="A33" s="232" t="s">
        <v>207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17" ht="14.4" customHeight="1" x14ac:dyDescent="0.3">
      <c r="A34" s="266" t="s">
        <v>243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17" ht="14.4" customHeight="1" x14ac:dyDescent="0.3">
      <c r="A35" s="267" t="s">
        <v>63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60" customWidth="1"/>
    <col min="2" max="11" width="10" style="260" customWidth="1"/>
    <col min="12" max="16384" width="8.88671875" style="260"/>
  </cols>
  <sheetData>
    <row r="1" spans="1:11" s="64" customFormat="1" ht="18.600000000000001" customHeight="1" thickBot="1" x14ac:dyDescent="0.4">
      <c r="A1" s="471" t="s">
        <v>64</v>
      </c>
      <c r="B1" s="471"/>
      <c r="C1" s="471"/>
      <c r="D1" s="471"/>
      <c r="E1" s="471"/>
      <c r="F1" s="471"/>
      <c r="G1" s="471"/>
      <c r="H1" s="476"/>
      <c r="I1" s="476"/>
      <c r="J1" s="476"/>
      <c r="K1" s="476"/>
    </row>
    <row r="2" spans="1:11" s="64" customFormat="1" ht="14.4" customHeight="1" thickBot="1" x14ac:dyDescent="0.35">
      <c r="A2" s="389" t="s">
        <v>298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72" t="s">
        <v>65</v>
      </c>
      <c r="C3" s="473"/>
      <c r="D3" s="473"/>
      <c r="E3" s="473"/>
      <c r="F3" s="479" t="s">
        <v>66</v>
      </c>
      <c r="G3" s="473"/>
      <c r="H3" s="473"/>
      <c r="I3" s="473"/>
      <c r="J3" s="473"/>
      <c r="K3" s="480"/>
    </row>
    <row r="4" spans="1:11" ht="14.4" customHeight="1" x14ac:dyDescent="0.3">
      <c r="A4" s="102"/>
      <c r="B4" s="477"/>
      <c r="C4" s="478"/>
      <c r="D4" s="478"/>
      <c r="E4" s="478"/>
      <c r="F4" s="481" t="s">
        <v>231</v>
      </c>
      <c r="G4" s="483" t="s">
        <v>67</v>
      </c>
      <c r="H4" s="272" t="s">
        <v>187</v>
      </c>
      <c r="I4" s="481" t="s">
        <v>68</v>
      </c>
      <c r="J4" s="483" t="s">
        <v>233</v>
      </c>
      <c r="K4" s="484" t="s">
        <v>234</v>
      </c>
    </row>
    <row r="5" spans="1:11" ht="42" thickBot="1" x14ac:dyDescent="0.35">
      <c r="A5" s="103"/>
      <c r="B5" s="28" t="s">
        <v>227</v>
      </c>
      <c r="C5" s="29" t="s">
        <v>228</v>
      </c>
      <c r="D5" s="30" t="s">
        <v>229</v>
      </c>
      <c r="E5" s="30" t="s">
        <v>230</v>
      </c>
      <c r="F5" s="482"/>
      <c r="G5" s="482"/>
      <c r="H5" s="29" t="s">
        <v>232</v>
      </c>
      <c r="I5" s="482"/>
      <c r="J5" s="482"/>
      <c r="K5" s="485"/>
    </row>
    <row r="6" spans="1:11" ht="14.4" customHeight="1" thickBot="1" x14ac:dyDescent="0.35">
      <c r="A6" s="605" t="s">
        <v>301</v>
      </c>
      <c r="B6" s="587">
        <v>126238.77586014901</v>
      </c>
      <c r="C6" s="587">
        <v>127165.3841</v>
      </c>
      <c r="D6" s="588">
        <v>926.60823985059699</v>
      </c>
      <c r="E6" s="589">
        <v>1.007340123773</v>
      </c>
      <c r="F6" s="587">
        <v>129990.35530850499</v>
      </c>
      <c r="G6" s="588">
        <v>21665.0592180842</v>
      </c>
      <c r="H6" s="590">
        <v>10556.13999</v>
      </c>
      <c r="I6" s="587">
        <v>21403.49685</v>
      </c>
      <c r="J6" s="588">
        <v>-261.56236808411302</v>
      </c>
      <c r="K6" s="591">
        <v>0.16465449916800001</v>
      </c>
    </row>
    <row r="7" spans="1:11" ht="14.4" customHeight="1" thickBot="1" x14ac:dyDescent="0.35">
      <c r="A7" s="606" t="s">
        <v>302</v>
      </c>
      <c r="B7" s="587">
        <v>68818.016212907707</v>
      </c>
      <c r="C7" s="587">
        <v>68135.993409999995</v>
      </c>
      <c r="D7" s="588">
        <v>-682.02280290766805</v>
      </c>
      <c r="E7" s="589">
        <v>0.99008947306999995</v>
      </c>
      <c r="F7" s="587">
        <v>70687.436145232103</v>
      </c>
      <c r="G7" s="588">
        <v>11781.2393575387</v>
      </c>
      <c r="H7" s="590">
        <v>5666.0744599999998</v>
      </c>
      <c r="I7" s="587">
        <v>11821.684600000001</v>
      </c>
      <c r="J7" s="588">
        <v>40.445242461344002</v>
      </c>
      <c r="K7" s="591">
        <v>0.167238836838</v>
      </c>
    </row>
    <row r="8" spans="1:11" ht="14.4" customHeight="1" thickBot="1" x14ac:dyDescent="0.35">
      <c r="A8" s="607" t="s">
        <v>303</v>
      </c>
      <c r="B8" s="587">
        <v>66242.471576116601</v>
      </c>
      <c r="C8" s="587">
        <v>65623.299410000007</v>
      </c>
      <c r="D8" s="588">
        <v>-619.17216611660797</v>
      </c>
      <c r="E8" s="589">
        <v>0.99065294287200001</v>
      </c>
      <c r="F8" s="587">
        <v>68158.473283527201</v>
      </c>
      <c r="G8" s="588">
        <v>11359.745547254501</v>
      </c>
      <c r="H8" s="590">
        <v>5429.6944599999997</v>
      </c>
      <c r="I8" s="587">
        <v>11304.5226</v>
      </c>
      <c r="J8" s="588">
        <v>-55.222947254502003</v>
      </c>
      <c r="K8" s="591">
        <v>0.165856452696</v>
      </c>
    </row>
    <row r="9" spans="1:11" ht="14.4" customHeight="1" thickBot="1" x14ac:dyDescent="0.35">
      <c r="A9" s="608" t="s">
        <v>304</v>
      </c>
      <c r="B9" s="592">
        <v>4.9406564584124654E-324</v>
      </c>
      <c r="C9" s="592">
        <v>6.8999999999999999E-3</v>
      </c>
      <c r="D9" s="593">
        <v>6.8999999999999999E-3</v>
      </c>
      <c r="E9" s="594" t="s">
        <v>305</v>
      </c>
      <c r="F9" s="592">
        <v>0</v>
      </c>
      <c r="G9" s="593">
        <v>0</v>
      </c>
      <c r="H9" s="595">
        <v>9.9999999999999805E-6</v>
      </c>
      <c r="I9" s="592">
        <v>6.8999999999999997E-4</v>
      </c>
      <c r="J9" s="593">
        <v>6.8999999999999997E-4</v>
      </c>
      <c r="K9" s="596" t="s">
        <v>299</v>
      </c>
    </row>
    <row r="10" spans="1:11" ht="14.4" customHeight="1" thickBot="1" x14ac:dyDescent="0.35">
      <c r="A10" s="609" t="s">
        <v>306</v>
      </c>
      <c r="B10" s="587">
        <v>4.9406564584124654E-324</v>
      </c>
      <c r="C10" s="587">
        <v>6.8999999999999999E-3</v>
      </c>
      <c r="D10" s="588">
        <v>6.8999999999999999E-3</v>
      </c>
      <c r="E10" s="597" t="s">
        <v>305</v>
      </c>
      <c r="F10" s="587">
        <v>0</v>
      </c>
      <c r="G10" s="588">
        <v>0</v>
      </c>
      <c r="H10" s="590">
        <v>9.9999999999999805E-6</v>
      </c>
      <c r="I10" s="587">
        <v>6.8999999999999997E-4</v>
      </c>
      <c r="J10" s="588">
        <v>6.8999999999999997E-4</v>
      </c>
      <c r="K10" s="598" t="s">
        <v>299</v>
      </c>
    </row>
    <row r="11" spans="1:11" ht="14.4" customHeight="1" thickBot="1" x14ac:dyDescent="0.35">
      <c r="A11" s="608" t="s">
        <v>307</v>
      </c>
      <c r="B11" s="592">
        <v>6302.2567939462297</v>
      </c>
      <c r="C11" s="592">
        <v>6059.8486800000001</v>
      </c>
      <c r="D11" s="593">
        <v>-242.408113946226</v>
      </c>
      <c r="E11" s="599">
        <v>0.96153630011000002</v>
      </c>
      <c r="F11" s="592">
        <v>5919.0414242851703</v>
      </c>
      <c r="G11" s="593">
        <v>986.506904047528</v>
      </c>
      <c r="H11" s="595">
        <v>322.02643999999998</v>
      </c>
      <c r="I11" s="592">
        <v>855.81527000000301</v>
      </c>
      <c r="J11" s="593">
        <v>-130.69163404752601</v>
      </c>
      <c r="K11" s="600">
        <v>0.14458680192500001</v>
      </c>
    </row>
    <row r="12" spans="1:11" ht="14.4" customHeight="1" thickBot="1" x14ac:dyDescent="0.35">
      <c r="A12" s="609" t="s">
        <v>308</v>
      </c>
      <c r="B12" s="587">
        <v>4625.9911524481604</v>
      </c>
      <c r="C12" s="587">
        <v>4258.17587</v>
      </c>
      <c r="D12" s="588">
        <v>-367.81528244816002</v>
      </c>
      <c r="E12" s="589">
        <v>0.92048941073799995</v>
      </c>
      <c r="F12" s="587">
        <v>4251.0120873333099</v>
      </c>
      <c r="G12" s="588">
        <v>708.502014555551</v>
      </c>
      <c r="H12" s="590">
        <v>230.39883</v>
      </c>
      <c r="I12" s="587">
        <v>661.66762000000199</v>
      </c>
      <c r="J12" s="588">
        <v>-46.834394555548997</v>
      </c>
      <c r="K12" s="591">
        <v>0.155649432748</v>
      </c>
    </row>
    <row r="13" spans="1:11" ht="14.4" customHeight="1" thickBot="1" x14ac:dyDescent="0.35">
      <c r="A13" s="609" t="s">
        <v>309</v>
      </c>
      <c r="B13" s="587">
        <v>474.01218474721998</v>
      </c>
      <c r="C13" s="587">
        <v>445.72645999999997</v>
      </c>
      <c r="D13" s="588">
        <v>-28.285724747219</v>
      </c>
      <c r="E13" s="589">
        <v>0.94032700918300005</v>
      </c>
      <c r="F13" s="587">
        <v>445.060538042563</v>
      </c>
      <c r="G13" s="588">
        <v>74.176756340427005</v>
      </c>
      <c r="H13" s="590">
        <v>13.114190000000001</v>
      </c>
      <c r="I13" s="587">
        <v>28.37013</v>
      </c>
      <c r="J13" s="588">
        <v>-45.806626340427002</v>
      </c>
      <c r="K13" s="591">
        <v>6.3744429295999994E-2</v>
      </c>
    </row>
    <row r="14" spans="1:11" ht="14.4" customHeight="1" thickBot="1" x14ac:dyDescent="0.35">
      <c r="A14" s="609" t="s">
        <v>310</v>
      </c>
      <c r="B14" s="587">
        <v>19.992697012707001</v>
      </c>
      <c r="C14" s="587">
        <v>7.6840799999999998</v>
      </c>
      <c r="D14" s="588">
        <v>-12.308617012707</v>
      </c>
      <c r="E14" s="589">
        <v>0.384344343092</v>
      </c>
      <c r="F14" s="587">
        <v>7.4859190879800002</v>
      </c>
      <c r="G14" s="588">
        <v>1.24765318133</v>
      </c>
      <c r="H14" s="590">
        <v>4.9406564584124654E-324</v>
      </c>
      <c r="I14" s="587">
        <v>9.8813129168249309E-324</v>
      </c>
      <c r="J14" s="588">
        <v>-1.24765318133</v>
      </c>
      <c r="K14" s="591">
        <v>0</v>
      </c>
    </row>
    <row r="15" spans="1:11" ht="14.4" customHeight="1" thickBot="1" x14ac:dyDescent="0.35">
      <c r="A15" s="609" t="s">
        <v>311</v>
      </c>
      <c r="B15" s="587">
        <v>100.996898003694</v>
      </c>
      <c r="C15" s="587">
        <v>435.69243999999998</v>
      </c>
      <c r="D15" s="588">
        <v>334.69554199630602</v>
      </c>
      <c r="E15" s="589">
        <v>4.3139190273350003</v>
      </c>
      <c r="F15" s="587">
        <v>435.00381959075298</v>
      </c>
      <c r="G15" s="588">
        <v>72.500636598458001</v>
      </c>
      <c r="H15" s="590">
        <v>17.55546</v>
      </c>
      <c r="I15" s="587">
        <v>40.607700000000001</v>
      </c>
      <c r="J15" s="588">
        <v>-31.892936598458</v>
      </c>
      <c r="K15" s="591">
        <v>9.3350214804999998E-2</v>
      </c>
    </row>
    <row r="16" spans="1:11" ht="14.4" customHeight="1" thickBot="1" x14ac:dyDescent="0.35">
      <c r="A16" s="609" t="s">
        <v>312</v>
      </c>
      <c r="B16" s="587">
        <v>1.8384578718090001</v>
      </c>
      <c r="C16" s="587">
        <v>7.9175700000000004</v>
      </c>
      <c r="D16" s="588">
        <v>6.0791121281900002</v>
      </c>
      <c r="E16" s="589">
        <v>4.3066366226849997</v>
      </c>
      <c r="F16" s="587">
        <v>7.4152632684080002</v>
      </c>
      <c r="G16" s="588">
        <v>1.2358772114009999</v>
      </c>
      <c r="H16" s="590">
        <v>4.9406564584124654E-324</v>
      </c>
      <c r="I16" s="587">
        <v>8.45838</v>
      </c>
      <c r="J16" s="588">
        <v>7.2225027885979998</v>
      </c>
      <c r="K16" s="591">
        <v>1.140671570763</v>
      </c>
    </row>
    <row r="17" spans="1:11" ht="14.4" customHeight="1" thickBot="1" x14ac:dyDescent="0.35">
      <c r="A17" s="609" t="s">
        <v>313</v>
      </c>
      <c r="B17" s="587">
        <v>606.00888682102004</v>
      </c>
      <c r="C17" s="587">
        <v>554.21286999999995</v>
      </c>
      <c r="D17" s="588">
        <v>-51.796016821019002</v>
      </c>
      <c r="E17" s="589">
        <v>0.91452927845200005</v>
      </c>
      <c r="F17" s="587">
        <v>454.35004290439798</v>
      </c>
      <c r="G17" s="588">
        <v>75.725007150731997</v>
      </c>
      <c r="H17" s="590">
        <v>40.253549999999997</v>
      </c>
      <c r="I17" s="587">
        <v>70.145700000000005</v>
      </c>
      <c r="J17" s="588">
        <v>-5.5793071507320002</v>
      </c>
      <c r="K17" s="591">
        <v>0.15438691179899999</v>
      </c>
    </row>
    <row r="18" spans="1:11" ht="14.4" customHeight="1" thickBot="1" x14ac:dyDescent="0.35">
      <c r="A18" s="609" t="s">
        <v>314</v>
      </c>
      <c r="B18" s="587">
        <v>103.972833985839</v>
      </c>
      <c r="C18" s="587">
        <v>70.618790000000004</v>
      </c>
      <c r="D18" s="588">
        <v>-33.354043985838999</v>
      </c>
      <c r="E18" s="589">
        <v>0.67920424300000004</v>
      </c>
      <c r="F18" s="587">
        <v>51.003457957054998</v>
      </c>
      <c r="G18" s="588">
        <v>8.5005763261750005</v>
      </c>
      <c r="H18" s="590">
        <v>0.41066999999999998</v>
      </c>
      <c r="I18" s="587">
        <v>3.4371</v>
      </c>
      <c r="J18" s="588">
        <v>-5.0634763261750004</v>
      </c>
      <c r="K18" s="591">
        <v>6.7389548428000004E-2</v>
      </c>
    </row>
    <row r="19" spans="1:11" ht="14.4" customHeight="1" thickBot="1" x14ac:dyDescent="0.35">
      <c r="A19" s="609" t="s">
        <v>315</v>
      </c>
      <c r="B19" s="587">
        <v>323.44416157539501</v>
      </c>
      <c r="C19" s="587">
        <v>279.82060000000001</v>
      </c>
      <c r="D19" s="588">
        <v>-43.623561575394</v>
      </c>
      <c r="E19" s="589">
        <v>0.86512799809700003</v>
      </c>
      <c r="F19" s="587">
        <v>267.71029610070298</v>
      </c>
      <c r="G19" s="588">
        <v>44.618382683450001</v>
      </c>
      <c r="H19" s="590">
        <v>20.29374</v>
      </c>
      <c r="I19" s="587">
        <v>43.128639999999997</v>
      </c>
      <c r="J19" s="588">
        <v>-1.48974268345</v>
      </c>
      <c r="K19" s="591">
        <v>0.16110190989299999</v>
      </c>
    </row>
    <row r="20" spans="1:11" ht="14.4" customHeight="1" thickBot="1" x14ac:dyDescent="0.35">
      <c r="A20" s="608" t="s">
        <v>316</v>
      </c>
      <c r="B20" s="592">
        <v>1040.0186805094099</v>
      </c>
      <c r="C20" s="592">
        <v>994.904</v>
      </c>
      <c r="D20" s="593">
        <v>-45.114680509407002</v>
      </c>
      <c r="E20" s="599">
        <v>0.95662127868000002</v>
      </c>
      <c r="F20" s="592">
        <v>995.21330965123195</v>
      </c>
      <c r="G20" s="593">
        <v>165.86888494187201</v>
      </c>
      <c r="H20" s="595">
        <v>98.974999999999994</v>
      </c>
      <c r="I20" s="592">
        <v>160.77000000000001</v>
      </c>
      <c r="J20" s="593">
        <v>-5.0988849418709998</v>
      </c>
      <c r="K20" s="600">
        <v>0.16154325755099999</v>
      </c>
    </row>
    <row r="21" spans="1:11" ht="14.4" customHeight="1" thickBot="1" x14ac:dyDescent="0.35">
      <c r="A21" s="609" t="s">
        <v>317</v>
      </c>
      <c r="B21" s="587">
        <v>815.01463905304604</v>
      </c>
      <c r="C21" s="587">
        <v>749.88800000000003</v>
      </c>
      <c r="D21" s="588">
        <v>-65.126639053044997</v>
      </c>
      <c r="E21" s="589">
        <v>0.92009144875100002</v>
      </c>
      <c r="F21" s="587">
        <v>749.99555616582904</v>
      </c>
      <c r="G21" s="588">
        <v>124.999259360972</v>
      </c>
      <c r="H21" s="590">
        <v>82.819000000000003</v>
      </c>
      <c r="I21" s="587">
        <v>129.97399999999999</v>
      </c>
      <c r="J21" s="588">
        <v>4.974740639028</v>
      </c>
      <c r="K21" s="591">
        <v>0.17329969348599999</v>
      </c>
    </row>
    <row r="22" spans="1:11" ht="14.4" customHeight="1" thickBot="1" x14ac:dyDescent="0.35">
      <c r="A22" s="609" t="s">
        <v>318</v>
      </c>
      <c r="B22" s="587">
        <v>225.00404145636199</v>
      </c>
      <c r="C22" s="587">
        <v>245.01599999999999</v>
      </c>
      <c r="D22" s="588">
        <v>20.011958543637</v>
      </c>
      <c r="E22" s="589">
        <v>1.0889404404209999</v>
      </c>
      <c r="F22" s="587">
        <v>245.21775348540299</v>
      </c>
      <c r="G22" s="588">
        <v>40.869625580899999</v>
      </c>
      <c r="H22" s="590">
        <v>16.155999999999999</v>
      </c>
      <c r="I22" s="587">
        <v>30.795999999999999</v>
      </c>
      <c r="J22" s="588">
        <v>-10.0736255809</v>
      </c>
      <c r="K22" s="591">
        <v>0.12558633933400001</v>
      </c>
    </row>
    <row r="23" spans="1:11" ht="14.4" customHeight="1" thickBot="1" x14ac:dyDescent="0.35">
      <c r="A23" s="608" t="s">
        <v>319</v>
      </c>
      <c r="B23" s="592">
        <v>56142.627052156698</v>
      </c>
      <c r="C23" s="592">
        <v>55740.115559999998</v>
      </c>
      <c r="D23" s="593">
        <v>-402.51149215671501</v>
      </c>
      <c r="E23" s="599">
        <v>0.99283055472600001</v>
      </c>
      <c r="F23" s="592">
        <v>57998.576785761397</v>
      </c>
      <c r="G23" s="593">
        <v>9666.4294642935602</v>
      </c>
      <c r="H23" s="595">
        <v>4753.1748399999997</v>
      </c>
      <c r="I23" s="592">
        <v>9766.4591100000198</v>
      </c>
      <c r="J23" s="593">
        <v>100.029645706461</v>
      </c>
      <c r="K23" s="600">
        <v>0.168391358051</v>
      </c>
    </row>
    <row r="24" spans="1:11" ht="14.4" customHeight="1" thickBot="1" x14ac:dyDescent="0.35">
      <c r="A24" s="609" t="s">
        <v>320</v>
      </c>
      <c r="B24" s="587">
        <v>20507.421186591098</v>
      </c>
      <c r="C24" s="587">
        <v>20438.017189999999</v>
      </c>
      <c r="D24" s="588">
        <v>-69.403996591139006</v>
      </c>
      <c r="E24" s="589">
        <v>0.99661566435000004</v>
      </c>
      <c r="F24" s="587">
        <v>20151.9891493635</v>
      </c>
      <c r="G24" s="588">
        <v>3358.6648582272501</v>
      </c>
      <c r="H24" s="590">
        <v>788.47679000000005</v>
      </c>
      <c r="I24" s="587">
        <v>2063.9428900000098</v>
      </c>
      <c r="J24" s="588">
        <v>-1294.72196822724</v>
      </c>
      <c r="K24" s="591">
        <v>0.102418817055</v>
      </c>
    </row>
    <row r="25" spans="1:11" ht="14.4" customHeight="1" thickBot="1" x14ac:dyDescent="0.35">
      <c r="A25" s="609" t="s">
        <v>321</v>
      </c>
      <c r="B25" s="587">
        <v>8274.9999248369204</v>
      </c>
      <c r="C25" s="587">
        <v>7839.6718800000099</v>
      </c>
      <c r="D25" s="588">
        <v>-435.32804483690302</v>
      </c>
      <c r="E25" s="589">
        <v>0.94739238080999999</v>
      </c>
      <c r="F25" s="587">
        <v>7999.9956924826702</v>
      </c>
      <c r="G25" s="588">
        <v>1333.3326154137801</v>
      </c>
      <c r="H25" s="590">
        <v>413.84485999999998</v>
      </c>
      <c r="I25" s="587">
        <v>413.84485999999998</v>
      </c>
      <c r="J25" s="588">
        <v>-919.48775541377904</v>
      </c>
      <c r="K25" s="591">
        <v>5.1730635353000001E-2</v>
      </c>
    </row>
    <row r="26" spans="1:11" ht="14.4" customHeight="1" thickBot="1" x14ac:dyDescent="0.35">
      <c r="A26" s="609" t="s">
        <v>322</v>
      </c>
      <c r="B26" s="587">
        <v>18715</v>
      </c>
      <c r="C26" s="587">
        <v>18648.353449999999</v>
      </c>
      <c r="D26" s="588">
        <v>-66.646550000003998</v>
      </c>
      <c r="E26" s="589">
        <v>0.99643886988999997</v>
      </c>
      <c r="F26" s="587">
        <v>19999.989231206699</v>
      </c>
      <c r="G26" s="588">
        <v>3333.3315385344399</v>
      </c>
      <c r="H26" s="590">
        <v>2833.1435700000002</v>
      </c>
      <c r="I26" s="587">
        <v>5768.7391100000204</v>
      </c>
      <c r="J26" s="588">
        <v>2435.4075714655701</v>
      </c>
      <c r="K26" s="591">
        <v>0.28843711080500001</v>
      </c>
    </row>
    <row r="27" spans="1:11" ht="14.4" customHeight="1" thickBot="1" x14ac:dyDescent="0.35">
      <c r="A27" s="609" t="s">
        <v>323</v>
      </c>
      <c r="B27" s="587">
        <v>4.9406564584124654E-324</v>
      </c>
      <c r="C27" s="587">
        <v>4.9406564584124654E-324</v>
      </c>
      <c r="D27" s="588">
        <v>0</v>
      </c>
      <c r="E27" s="589">
        <v>1</v>
      </c>
      <c r="F27" s="587">
        <v>541.999708165691</v>
      </c>
      <c r="G27" s="588">
        <v>90.333284694281005</v>
      </c>
      <c r="H27" s="590">
        <v>176.39406</v>
      </c>
      <c r="I27" s="587">
        <v>286.964460000001</v>
      </c>
      <c r="J27" s="588">
        <v>196.63117530571901</v>
      </c>
      <c r="K27" s="591">
        <v>0.52945500832600001</v>
      </c>
    </row>
    <row r="28" spans="1:11" ht="14.4" customHeight="1" thickBot="1" x14ac:dyDescent="0.35">
      <c r="A28" s="609" t="s">
        <v>324</v>
      </c>
      <c r="B28" s="587">
        <v>18.370414194378998</v>
      </c>
      <c r="C28" s="587">
        <v>12.08746</v>
      </c>
      <c r="D28" s="588">
        <v>-6.2829541943790002</v>
      </c>
      <c r="E28" s="589">
        <v>0.65798516419300002</v>
      </c>
      <c r="F28" s="587">
        <v>12.087447197544</v>
      </c>
      <c r="G28" s="588">
        <v>2.0145745329240001</v>
      </c>
      <c r="H28" s="590">
        <v>1.11547</v>
      </c>
      <c r="I28" s="587">
        <v>1.11547</v>
      </c>
      <c r="J28" s="588">
        <v>-0.89910453292400005</v>
      </c>
      <c r="K28" s="591">
        <v>9.2283340044000003E-2</v>
      </c>
    </row>
    <row r="29" spans="1:11" ht="14.4" customHeight="1" thickBot="1" x14ac:dyDescent="0.35">
      <c r="A29" s="609" t="s">
        <v>325</v>
      </c>
      <c r="B29" s="587">
        <v>1.899932860454</v>
      </c>
      <c r="C29" s="587">
        <v>1.6200600000000001</v>
      </c>
      <c r="D29" s="588">
        <v>-0.27987286045400001</v>
      </c>
      <c r="E29" s="589">
        <v>0.85269328917800002</v>
      </c>
      <c r="F29" s="587">
        <v>1.620162417313</v>
      </c>
      <c r="G29" s="588">
        <v>0.27002706955200001</v>
      </c>
      <c r="H29" s="590">
        <v>4.9406564584124654E-324</v>
      </c>
      <c r="I29" s="587">
        <v>0.1275</v>
      </c>
      <c r="J29" s="588">
        <v>-0.14252706955200001</v>
      </c>
      <c r="K29" s="591">
        <v>7.8695813850000004E-2</v>
      </c>
    </row>
    <row r="30" spans="1:11" ht="14.4" customHeight="1" thickBot="1" x14ac:dyDescent="0.35">
      <c r="A30" s="609" t="s">
        <v>326</v>
      </c>
      <c r="B30" s="587">
        <v>728.03896267996595</v>
      </c>
      <c r="C30" s="587">
        <v>757.46901000000003</v>
      </c>
      <c r="D30" s="588">
        <v>29.430047320033999</v>
      </c>
      <c r="E30" s="589">
        <v>1.0404237256910001</v>
      </c>
      <c r="F30" s="587">
        <v>759.19153351064699</v>
      </c>
      <c r="G30" s="588">
        <v>126.531922251775</v>
      </c>
      <c r="H30" s="590">
        <v>52.04616</v>
      </c>
      <c r="I30" s="587">
        <v>147.68863999999999</v>
      </c>
      <c r="J30" s="588">
        <v>21.156717748226001</v>
      </c>
      <c r="K30" s="591">
        <v>0.194534097761</v>
      </c>
    </row>
    <row r="31" spans="1:11" ht="14.4" customHeight="1" thickBot="1" x14ac:dyDescent="0.35">
      <c r="A31" s="609" t="s">
        <v>327</v>
      </c>
      <c r="B31" s="587">
        <v>4616.7980003803104</v>
      </c>
      <c r="C31" s="587">
        <v>4772.9617399999997</v>
      </c>
      <c r="D31" s="588">
        <v>156.16373961968699</v>
      </c>
      <c r="E31" s="589">
        <v>1.0338251185359999</v>
      </c>
      <c r="F31" s="587">
        <v>5408.9245591905201</v>
      </c>
      <c r="G31" s="588">
        <v>901.48742653175304</v>
      </c>
      <c r="H31" s="590">
        <v>245.75868</v>
      </c>
      <c r="I31" s="587">
        <v>672.652260000002</v>
      </c>
      <c r="J31" s="588">
        <v>-228.83516653175101</v>
      </c>
      <c r="K31" s="591">
        <v>0.12435970452800001</v>
      </c>
    </row>
    <row r="32" spans="1:11" ht="14.4" customHeight="1" thickBot="1" x14ac:dyDescent="0.35">
      <c r="A32" s="609" t="s">
        <v>328</v>
      </c>
      <c r="B32" s="587">
        <v>133.484791605922</v>
      </c>
      <c r="C32" s="587">
        <v>116.06401</v>
      </c>
      <c r="D32" s="588">
        <v>-17.420781605921</v>
      </c>
      <c r="E32" s="589">
        <v>0.86949238638799997</v>
      </c>
      <c r="F32" s="587">
        <v>113.69913311637001</v>
      </c>
      <c r="G32" s="588">
        <v>18.949855519395001</v>
      </c>
      <c r="H32" s="590">
        <v>5.0077299999999996</v>
      </c>
      <c r="I32" s="587">
        <v>7.4587300000000001</v>
      </c>
      <c r="J32" s="588">
        <v>-11.491125519395</v>
      </c>
      <c r="K32" s="591">
        <v>6.5600588109000005E-2</v>
      </c>
    </row>
    <row r="33" spans="1:11" ht="14.4" customHeight="1" thickBot="1" x14ac:dyDescent="0.35">
      <c r="A33" s="609" t="s">
        <v>329</v>
      </c>
      <c r="B33" s="587">
        <v>775.97856371887895</v>
      </c>
      <c r="C33" s="587">
        <v>717.12391000000002</v>
      </c>
      <c r="D33" s="588">
        <v>-58.854653718877998</v>
      </c>
      <c r="E33" s="589">
        <v>0.92415427890500002</v>
      </c>
      <c r="F33" s="587">
        <v>703.08246257772896</v>
      </c>
      <c r="G33" s="588">
        <v>117.180410429622</v>
      </c>
      <c r="H33" s="590">
        <v>56.972859999999997</v>
      </c>
      <c r="I33" s="587">
        <v>116.35584</v>
      </c>
      <c r="J33" s="588">
        <v>-0.82457042962100002</v>
      </c>
      <c r="K33" s="591">
        <v>0.16549387332599999</v>
      </c>
    </row>
    <row r="34" spans="1:11" ht="14.4" customHeight="1" thickBot="1" x14ac:dyDescent="0.35">
      <c r="A34" s="609" t="s">
        <v>330</v>
      </c>
      <c r="B34" s="587">
        <v>92.602902647991002</v>
      </c>
      <c r="C34" s="587">
        <v>52.315640000000002</v>
      </c>
      <c r="D34" s="588">
        <v>-40.287262647991</v>
      </c>
      <c r="E34" s="589">
        <v>0.56494600605400003</v>
      </c>
      <c r="F34" s="587">
        <v>53.666208288697</v>
      </c>
      <c r="G34" s="588">
        <v>8.9443680481160008</v>
      </c>
      <c r="H34" s="590">
        <v>0.88900000000000001</v>
      </c>
      <c r="I34" s="587">
        <v>4.1423199999999998</v>
      </c>
      <c r="J34" s="588">
        <v>-4.8020480481160002</v>
      </c>
      <c r="K34" s="591">
        <v>7.7186746224E-2</v>
      </c>
    </row>
    <row r="35" spans="1:11" ht="14.4" customHeight="1" thickBot="1" x14ac:dyDescent="0.35">
      <c r="A35" s="609" t="s">
        <v>331</v>
      </c>
      <c r="B35" s="587">
        <v>326.35493658148698</v>
      </c>
      <c r="C35" s="587">
        <v>276.32423</v>
      </c>
      <c r="D35" s="588">
        <v>-50.030706581486001</v>
      </c>
      <c r="E35" s="589">
        <v>0.84669848384799995</v>
      </c>
      <c r="F35" s="587">
        <v>280.23435087424599</v>
      </c>
      <c r="G35" s="588">
        <v>46.705725145707</v>
      </c>
      <c r="H35" s="590">
        <v>21.9208</v>
      </c>
      <c r="I35" s="587">
        <v>43.681930000000001</v>
      </c>
      <c r="J35" s="588">
        <v>-3.023795145707</v>
      </c>
      <c r="K35" s="591">
        <v>0.15587642936599999</v>
      </c>
    </row>
    <row r="36" spans="1:11" ht="14.4" customHeight="1" thickBot="1" x14ac:dyDescent="0.35">
      <c r="A36" s="609" t="s">
        <v>332</v>
      </c>
      <c r="B36" s="587">
        <v>1951.6774360592699</v>
      </c>
      <c r="C36" s="587">
        <v>2108.10698</v>
      </c>
      <c r="D36" s="588">
        <v>156.42954394073001</v>
      </c>
      <c r="E36" s="589">
        <v>1.0801513308749999</v>
      </c>
      <c r="F36" s="587">
        <v>1972.09714736979</v>
      </c>
      <c r="G36" s="588">
        <v>328.68285789496503</v>
      </c>
      <c r="H36" s="590">
        <v>157.60486</v>
      </c>
      <c r="I36" s="587">
        <v>239.74510000000001</v>
      </c>
      <c r="J36" s="588">
        <v>-88.937757894965003</v>
      </c>
      <c r="K36" s="591">
        <v>0.121568605441</v>
      </c>
    </row>
    <row r="37" spans="1:11" ht="14.4" customHeight="1" thickBot="1" x14ac:dyDescent="0.35">
      <c r="A37" s="608" t="s">
        <v>333</v>
      </c>
      <c r="B37" s="592">
        <v>651.122159349855</v>
      </c>
      <c r="C37" s="592">
        <v>740.69308000000103</v>
      </c>
      <c r="D37" s="593">
        <v>89.570920650144998</v>
      </c>
      <c r="E37" s="599">
        <v>1.1375639261599999</v>
      </c>
      <c r="F37" s="592">
        <v>677.99760883551903</v>
      </c>
      <c r="G37" s="593">
        <v>112.99960147258599</v>
      </c>
      <c r="H37" s="595">
        <v>54.138689999999997</v>
      </c>
      <c r="I37" s="592">
        <v>112.22011000000001</v>
      </c>
      <c r="J37" s="593">
        <v>-0.77949147258600004</v>
      </c>
      <c r="K37" s="600">
        <v>0.16551697017399999</v>
      </c>
    </row>
    <row r="38" spans="1:11" ht="14.4" customHeight="1" thickBot="1" x14ac:dyDescent="0.35">
      <c r="A38" s="609" t="s">
        <v>334</v>
      </c>
      <c r="B38" s="587">
        <v>568.038354763033</v>
      </c>
      <c r="C38" s="587">
        <v>658.62449000000095</v>
      </c>
      <c r="D38" s="588">
        <v>90.586135236966996</v>
      </c>
      <c r="E38" s="589">
        <v>1.1594718639629999</v>
      </c>
      <c r="F38" s="587">
        <v>587.99792624673296</v>
      </c>
      <c r="G38" s="588">
        <v>97.999654374455005</v>
      </c>
      <c r="H38" s="590">
        <v>48.189190000000004</v>
      </c>
      <c r="I38" s="587">
        <v>99.837710000000001</v>
      </c>
      <c r="J38" s="588">
        <v>1.8380556255439999</v>
      </c>
      <c r="K38" s="591">
        <v>0.16979262263200001</v>
      </c>
    </row>
    <row r="39" spans="1:11" ht="14.4" customHeight="1" thickBot="1" x14ac:dyDescent="0.35">
      <c r="A39" s="609" t="s">
        <v>335</v>
      </c>
      <c r="B39" s="587">
        <v>83.083804586821003</v>
      </c>
      <c r="C39" s="587">
        <v>77.115629999999996</v>
      </c>
      <c r="D39" s="588">
        <v>-5.9681745868210001</v>
      </c>
      <c r="E39" s="589">
        <v>0.92816681161199999</v>
      </c>
      <c r="F39" s="587">
        <v>89.999682588785006</v>
      </c>
      <c r="G39" s="588">
        <v>14.999947098131001</v>
      </c>
      <c r="H39" s="590">
        <v>5.9494999999999996</v>
      </c>
      <c r="I39" s="587">
        <v>12.382400000000001</v>
      </c>
      <c r="J39" s="588">
        <v>-2.6175470981300002</v>
      </c>
      <c r="K39" s="591">
        <v>0.13758270744699999</v>
      </c>
    </row>
    <row r="40" spans="1:11" ht="14.4" customHeight="1" thickBot="1" x14ac:dyDescent="0.35">
      <c r="A40" s="609" t="s">
        <v>336</v>
      </c>
      <c r="B40" s="587">
        <v>0</v>
      </c>
      <c r="C40" s="587">
        <v>4.95296</v>
      </c>
      <c r="D40" s="588">
        <v>4.95296</v>
      </c>
      <c r="E40" s="597" t="s">
        <v>299</v>
      </c>
      <c r="F40" s="587">
        <v>0</v>
      </c>
      <c r="G40" s="588">
        <v>0</v>
      </c>
      <c r="H40" s="590">
        <v>4.9406564584124654E-324</v>
      </c>
      <c r="I40" s="587">
        <v>9.8813129168249309E-324</v>
      </c>
      <c r="J40" s="588">
        <v>9.8813129168249309E-324</v>
      </c>
      <c r="K40" s="598" t="s">
        <v>299</v>
      </c>
    </row>
    <row r="41" spans="1:11" ht="14.4" customHeight="1" thickBot="1" x14ac:dyDescent="0.35">
      <c r="A41" s="608" t="s">
        <v>337</v>
      </c>
      <c r="B41" s="592">
        <v>963.18092375912602</v>
      </c>
      <c r="C41" s="592">
        <v>1049.2983200000001</v>
      </c>
      <c r="D41" s="593">
        <v>86.117396240874001</v>
      </c>
      <c r="E41" s="599">
        <v>1.089409366523</v>
      </c>
      <c r="F41" s="592">
        <v>979.49270045997503</v>
      </c>
      <c r="G41" s="593">
        <v>163.24878340999601</v>
      </c>
      <c r="H41" s="595">
        <v>66.903989999999993</v>
      </c>
      <c r="I41" s="592">
        <v>137.43646000000001</v>
      </c>
      <c r="J41" s="593">
        <v>-25.812323409994999</v>
      </c>
      <c r="K41" s="600">
        <v>0.14031391957799999</v>
      </c>
    </row>
    <row r="42" spans="1:11" ht="14.4" customHeight="1" thickBot="1" x14ac:dyDescent="0.35">
      <c r="A42" s="609" t="s">
        <v>338</v>
      </c>
      <c r="B42" s="587">
        <v>226.547151327492</v>
      </c>
      <c r="C42" s="587">
        <v>4.6249599999999997</v>
      </c>
      <c r="D42" s="588">
        <v>-221.92219132749199</v>
      </c>
      <c r="E42" s="589">
        <v>2.0414999582999999E-2</v>
      </c>
      <c r="F42" s="587">
        <v>5.3376903158199998</v>
      </c>
      <c r="G42" s="588">
        <v>0.88961505263600005</v>
      </c>
      <c r="H42" s="590">
        <v>4.9406564584124654E-324</v>
      </c>
      <c r="I42" s="587">
        <v>9.8813129168249309E-324</v>
      </c>
      <c r="J42" s="588">
        <v>-0.88961505263600005</v>
      </c>
      <c r="K42" s="591">
        <v>0</v>
      </c>
    </row>
    <row r="43" spans="1:11" ht="14.4" customHeight="1" thickBot="1" x14ac:dyDescent="0.35">
      <c r="A43" s="609" t="s">
        <v>339</v>
      </c>
      <c r="B43" s="587">
        <v>27.712095319332001</v>
      </c>
      <c r="C43" s="587">
        <v>37.422060000000002</v>
      </c>
      <c r="D43" s="588">
        <v>9.7099646806669995</v>
      </c>
      <c r="E43" s="589">
        <v>1.350387243143</v>
      </c>
      <c r="F43" s="587">
        <v>33.917681925758998</v>
      </c>
      <c r="G43" s="588">
        <v>5.6529469876259997</v>
      </c>
      <c r="H43" s="590">
        <v>2.8413300000000001</v>
      </c>
      <c r="I43" s="587">
        <v>4.8653500000000003</v>
      </c>
      <c r="J43" s="588">
        <v>-0.78759698762599994</v>
      </c>
      <c r="K43" s="591">
        <v>0.143445828952</v>
      </c>
    </row>
    <row r="44" spans="1:11" ht="14.4" customHeight="1" thickBot="1" x14ac:dyDescent="0.35">
      <c r="A44" s="609" t="s">
        <v>340</v>
      </c>
      <c r="B44" s="587">
        <v>335.57850866696498</v>
      </c>
      <c r="C44" s="587">
        <v>481.13862999999998</v>
      </c>
      <c r="D44" s="588">
        <v>145.560121333035</v>
      </c>
      <c r="E44" s="589">
        <v>1.4337587705220001</v>
      </c>
      <c r="F44" s="587">
        <v>494.92236201667203</v>
      </c>
      <c r="G44" s="588">
        <v>82.487060336111995</v>
      </c>
      <c r="H44" s="590">
        <v>24.51116</v>
      </c>
      <c r="I44" s="587">
        <v>56.545859999999998</v>
      </c>
      <c r="J44" s="588">
        <v>-25.941200336110999</v>
      </c>
      <c r="K44" s="591">
        <v>0.11425198038999999</v>
      </c>
    </row>
    <row r="45" spans="1:11" ht="14.4" customHeight="1" thickBot="1" x14ac:dyDescent="0.35">
      <c r="A45" s="609" t="s">
        <v>341</v>
      </c>
      <c r="B45" s="587">
        <v>95.072375412512002</v>
      </c>
      <c r="C45" s="587">
        <v>88.603279999999998</v>
      </c>
      <c r="D45" s="588">
        <v>-6.4690954125119999</v>
      </c>
      <c r="E45" s="589">
        <v>0.93195609782</v>
      </c>
      <c r="F45" s="587">
        <v>92.050994310378002</v>
      </c>
      <c r="G45" s="588">
        <v>15.341832385063</v>
      </c>
      <c r="H45" s="590">
        <v>6.82653</v>
      </c>
      <c r="I45" s="587">
        <v>13.05072</v>
      </c>
      <c r="J45" s="588">
        <v>-2.2911123850630002</v>
      </c>
      <c r="K45" s="591">
        <v>0.141777067132</v>
      </c>
    </row>
    <row r="46" spans="1:11" ht="14.4" customHeight="1" thickBot="1" x14ac:dyDescent="0.35">
      <c r="A46" s="609" t="s">
        <v>342</v>
      </c>
      <c r="B46" s="587">
        <v>43.051763553820997</v>
      </c>
      <c r="C46" s="587">
        <v>32.059460000000001</v>
      </c>
      <c r="D46" s="588">
        <v>-10.992303553820999</v>
      </c>
      <c r="E46" s="589">
        <v>0.74467239791200002</v>
      </c>
      <c r="F46" s="587">
        <v>20.998298451703999</v>
      </c>
      <c r="G46" s="588">
        <v>3.4997164086170001</v>
      </c>
      <c r="H46" s="590">
        <v>2.82768</v>
      </c>
      <c r="I46" s="587">
        <v>6.0545499999999999</v>
      </c>
      <c r="J46" s="588">
        <v>2.5548335913820002</v>
      </c>
      <c r="K46" s="591">
        <v>0.28833526744600002</v>
      </c>
    </row>
    <row r="47" spans="1:11" ht="14.4" customHeight="1" thickBot="1" x14ac:dyDescent="0.35">
      <c r="A47" s="609" t="s">
        <v>343</v>
      </c>
      <c r="B47" s="587">
        <v>1.3560498611730001</v>
      </c>
      <c r="C47" s="587">
        <v>2.1292800000000001</v>
      </c>
      <c r="D47" s="588">
        <v>0.773230138826</v>
      </c>
      <c r="E47" s="589">
        <v>1.570207748966</v>
      </c>
      <c r="F47" s="587">
        <v>3.697573342463</v>
      </c>
      <c r="G47" s="588">
        <v>0.61626222374299999</v>
      </c>
      <c r="H47" s="590">
        <v>0.17913999999999999</v>
      </c>
      <c r="I47" s="587">
        <v>0.35830000000000001</v>
      </c>
      <c r="J47" s="588">
        <v>-0.25796222374299999</v>
      </c>
      <c r="K47" s="591">
        <v>9.6901390943000001E-2</v>
      </c>
    </row>
    <row r="48" spans="1:11" ht="14.4" customHeight="1" thickBot="1" x14ac:dyDescent="0.35">
      <c r="A48" s="609" t="s">
        <v>344</v>
      </c>
      <c r="B48" s="587">
        <v>11.313265244168999</v>
      </c>
      <c r="C48" s="587">
        <v>23.492889999999999</v>
      </c>
      <c r="D48" s="588">
        <v>12.17962475583</v>
      </c>
      <c r="E48" s="589">
        <v>2.076579085963</v>
      </c>
      <c r="F48" s="587">
        <v>13.114220372145001</v>
      </c>
      <c r="G48" s="588">
        <v>2.1857033953570002</v>
      </c>
      <c r="H48" s="590">
        <v>1.50424</v>
      </c>
      <c r="I48" s="587">
        <v>2.15543</v>
      </c>
      <c r="J48" s="588">
        <v>-3.0273395357000001E-2</v>
      </c>
      <c r="K48" s="591">
        <v>0.16435822632399999</v>
      </c>
    </row>
    <row r="49" spans="1:11" ht="14.4" customHeight="1" thickBot="1" x14ac:dyDescent="0.35">
      <c r="A49" s="609" t="s">
        <v>345</v>
      </c>
      <c r="B49" s="587">
        <v>197.016965279895</v>
      </c>
      <c r="C49" s="587">
        <v>178.24736999999999</v>
      </c>
      <c r="D49" s="588">
        <v>-18.769595279895</v>
      </c>
      <c r="E49" s="589">
        <v>0.90473107098500005</v>
      </c>
      <c r="F49" s="587">
        <v>178.981588078534</v>
      </c>
      <c r="G49" s="588">
        <v>29.830264679755</v>
      </c>
      <c r="H49" s="590">
        <v>16.997530000000001</v>
      </c>
      <c r="I49" s="587">
        <v>30.59244</v>
      </c>
      <c r="J49" s="588">
        <v>0.76217532024400003</v>
      </c>
      <c r="K49" s="591">
        <v>0.17092506736800001</v>
      </c>
    </row>
    <row r="50" spans="1:11" ht="14.4" customHeight="1" thickBot="1" x14ac:dyDescent="0.35">
      <c r="A50" s="609" t="s">
        <v>346</v>
      </c>
      <c r="B50" s="587">
        <v>25.532749093764998</v>
      </c>
      <c r="C50" s="587">
        <v>35.310659999999999</v>
      </c>
      <c r="D50" s="588">
        <v>9.7779109062350003</v>
      </c>
      <c r="E50" s="589">
        <v>1.3829556649120001</v>
      </c>
      <c r="F50" s="587">
        <v>39.480526485284997</v>
      </c>
      <c r="G50" s="588">
        <v>6.5800877475470001</v>
      </c>
      <c r="H50" s="590">
        <v>4.3744199999999998</v>
      </c>
      <c r="I50" s="587">
        <v>5.8475700000000002</v>
      </c>
      <c r="J50" s="588">
        <v>-0.73251774754700005</v>
      </c>
      <c r="K50" s="591">
        <v>0.14811276648400001</v>
      </c>
    </row>
    <row r="51" spans="1:11" ht="14.4" customHeight="1" thickBot="1" x14ac:dyDescent="0.35">
      <c r="A51" s="609" t="s">
        <v>347</v>
      </c>
      <c r="B51" s="587">
        <v>4.9406564584124654E-324</v>
      </c>
      <c r="C51" s="587">
        <v>36.366</v>
      </c>
      <c r="D51" s="588">
        <v>36.366</v>
      </c>
      <c r="E51" s="597" t="s">
        <v>305</v>
      </c>
      <c r="F51" s="587">
        <v>0</v>
      </c>
      <c r="G51" s="588">
        <v>0</v>
      </c>
      <c r="H51" s="590">
        <v>4.9406564584124654E-324</v>
      </c>
      <c r="I51" s="587">
        <v>9.8813129168249309E-324</v>
      </c>
      <c r="J51" s="588">
        <v>9.8813129168249309E-324</v>
      </c>
      <c r="K51" s="598" t="s">
        <v>299</v>
      </c>
    </row>
    <row r="52" spans="1:11" ht="14.4" customHeight="1" thickBot="1" x14ac:dyDescent="0.35">
      <c r="A52" s="609" t="s">
        <v>348</v>
      </c>
      <c r="B52" s="587">
        <v>4.9406564584124654E-324</v>
      </c>
      <c r="C52" s="587">
        <v>0.26400000000000001</v>
      </c>
      <c r="D52" s="588">
        <v>0.26400000000000001</v>
      </c>
      <c r="E52" s="597" t="s">
        <v>305</v>
      </c>
      <c r="F52" s="587">
        <v>0</v>
      </c>
      <c r="G52" s="588">
        <v>0</v>
      </c>
      <c r="H52" s="590">
        <v>4.9406564584124654E-324</v>
      </c>
      <c r="I52" s="587">
        <v>9.8813129168249309E-324</v>
      </c>
      <c r="J52" s="588">
        <v>9.8813129168249309E-324</v>
      </c>
      <c r="K52" s="598" t="s">
        <v>299</v>
      </c>
    </row>
    <row r="53" spans="1:11" ht="14.4" customHeight="1" thickBot="1" x14ac:dyDescent="0.35">
      <c r="A53" s="609" t="s">
        <v>349</v>
      </c>
      <c r="B53" s="587">
        <v>4.9406564584124654E-324</v>
      </c>
      <c r="C53" s="587">
        <v>3.6326000000000001</v>
      </c>
      <c r="D53" s="588">
        <v>3.6326000000000001</v>
      </c>
      <c r="E53" s="597" t="s">
        <v>305</v>
      </c>
      <c r="F53" s="587">
        <v>0</v>
      </c>
      <c r="G53" s="588">
        <v>0</v>
      </c>
      <c r="H53" s="590">
        <v>4.9406564584124654E-324</v>
      </c>
      <c r="I53" s="587">
        <v>9.8813129168249309E-324</v>
      </c>
      <c r="J53" s="588">
        <v>9.8813129168249309E-324</v>
      </c>
      <c r="K53" s="598" t="s">
        <v>299</v>
      </c>
    </row>
    <row r="54" spans="1:11" ht="14.4" customHeight="1" thickBot="1" x14ac:dyDescent="0.35">
      <c r="A54" s="609" t="s">
        <v>350</v>
      </c>
      <c r="B54" s="587">
        <v>4.9406564584124654E-324</v>
      </c>
      <c r="C54" s="587">
        <v>1.6688499999999999</v>
      </c>
      <c r="D54" s="588">
        <v>1.6688499999999999</v>
      </c>
      <c r="E54" s="597" t="s">
        <v>305</v>
      </c>
      <c r="F54" s="587">
        <v>0</v>
      </c>
      <c r="G54" s="588">
        <v>0</v>
      </c>
      <c r="H54" s="590">
        <v>4.9406564584124654E-324</v>
      </c>
      <c r="I54" s="587">
        <v>9.8813129168249309E-324</v>
      </c>
      <c r="J54" s="588">
        <v>9.8813129168249309E-324</v>
      </c>
      <c r="K54" s="598" t="s">
        <v>299</v>
      </c>
    </row>
    <row r="55" spans="1:11" ht="14.4" customHeight="1" thickBot="1" x14ac:dyDescent="0.35">
      <c r="A55" s="609" t="s">
        <v>351</v>
      </c>
      <c r="B55" s="587">
        <v>4.9406564584124654E-324</v>
      </c>
      <c r="C55" s="587">
        <v>123.50118999999999</v>
      </c>
      <c r="D55" s="588">
        <v>123.50118999999999</v>
      </c>
      <c r="E55" s="597" t="s">
        <v>305</v>
      </c>
      <c r="F55" s="587">
        <v>96.991765161209003</v>
      </c>
      <c r="G55" s="588">
        <v>16.165294193535001</v>
      </c>
      <c r="H55" s="590">
        <v>6.8419600000000003</v>
      </c>
      <c r="I55" s="587">
        <v>17.813649999999999</v>
      </c>
      <c r="J55" s="588">
        <v>1.6483558064649999</v>
      </c>
      <c r="K55" s="591">
        <v>0.18366146827400001</v>
      </c>
    </row>
    <row r="56" spans="1:11" ht="14.4" customHeight="1" thickBot="1" x14ac:dyDescent="0.35">
      <c r="A56" s="609" t="s">
        <v>352</v>
      </c>
      <c r="B56" s="587">
        <v>4.9406564584124654E-324</v>
      </c>
      <c r="C56" s="587">
        <v>3.9999999999000002E-2</v>
      </c>
      <c r="D56" s="588">
        <v>3.9999999999000002E-2</v>
      </c>
      <c r="E56" s="597" t="s">
        <v>305</v>
      </c>
      <c r="F56" s="587">
        <v>0</v>
      </c>
      <c r="G56" s="588">
        <v>0</v>
      </c>
      <c r="H56" s="590">
        <v>4.9406564584124654E-324</v>
      </c>
      <c r="I56" s="587">
        <v>9.8813129168249309E-324</v>
      </c>
      <c r="J56" s="588">
        <v>9.8813129168249309E-324</v>
      </c>
      <c r="K56" s="598" t="s">
        <v>299</v>
      </c>
    </row>
    <row r="57" spans="1:11" ht="14.4" customHeight="1" thickBot="1" x14ac:dyDescent="0.35">
      <c r="A57" s="609" t="s">
        <v>353</v>
      </c>
      <c r="B57" s="587">
        <v>4.9406564584124654E-324</v>
      </c>
      <c r="C57" s="587">
        <v>0.79708999999999997</v>
      </c>
      <c r="D57" s="588">
        <v>0.79708999999999997</v>
      </c>
      <c r="E57" s="597" t="s">
        <v>305</v>
      </c>
      <c r="F57" s="587">
        <v>0</v>
      </c>
      <c r="G57" s="588">
        <v>0</v>
      </c>
      <c r="H57" s="590">
        <v>4.9406564584124654E-324</v>
      </c>
      <c r="I57" s="587">
        <v>0.15259</v>
      </c>
      <c r="J57" s="588">
        <v>0.15259</v>
      </c>
      <c r="K57" s="598" t="s">
        <v>299</v>
      </c>
    </row>
    <row r="58" spans="1:11" ht="14.4" customHeight="1" thickBot="1" x14ac:dyDescent="0.35">
      <c r="A58" s="608" t="s">
        <v>354</v>
      </c>
      <c r="B58" s="592">
        <v>276.11828064270901</v>
      </c>
      <c r="C58" s="592">
        <v>172.32612</v>
      </c>
      <c r="D58" s="593">
        <v>-103.79216064270901</v>
      </c>
      <c r="E58" s="599">
        <v>0.62410253895099999</v>
      </c>
      <c r="F58" s="592">
        <v>138.37858686212601</v>
      </c>
      <c r="G58" s="593">
        <v>23.063097810354002</v>
      </c>
      <c r="H58" s="595">
        <v>4.6539599999999997</v>
      </c>
      <c r="I58" s="592">
        <v>11.61163</v>
      </c>
      <c r="J58" s="593">
        <v>-11.451467810354</v>
      </c>
      <c r="K58" s="600">
        <v>8.3912043497999994E-2</v>
      </c>
    </row>
    <row r="59" spans="1:11" ht="14.4" customHeight="1" thickBot="1" x14ac:dyDescent="0.35">
      <c r="A59" s="609" t="s">
        <v>355</v>
      </c>
      <c r="B59" s="587">
        <v>8.0486832402800008</v>
      </c>
      <c r="C59" s="587">
        <v>18.88195</v>
      </c>
      <c r="D59" s="588">
        <v>10.833266759719001</v>
      </c>
      <c r="E59" s="589">
        <v>2.3459675870329999</v>
      </c>
      <c r="F59" s="587">
        <v>29.841236677729</v>
      </c>
      <c r="G59" s="588">
        <v>4.973539446288</v>
      </c>
      <c r="H59" s="590">
        <v>3.7303700000000002</v>
      </c>
      <c r="I59" s="587">
        <v>7.4862399999999996</v>
      </c>
      <c r="J59" s="588">
        <v>2.5127005537109999</v>
      </c>
      <c r="K59" s="591">
        <v>0.25086895964900002</v>
      </c>
    </row>
    <row r="60" spans="1:11" ht="14.4" customHeight="1" thickBot="1" x14ac:dyDescent="0.35">
      <c r="A60" s="609" t="s">
        <v>356</v>
      </c>
      <c r="B60" s="587">
        <v>0</v>
      </c>
      <c r="C60" s="587">
        <v>2.17177</v>
      </c>
      <c r="D60" s="588">
        <v>2.17177</v>
      </c>
      <c r="E60" s="597" t="s">
        <v>299</v>
      </c>
      <c r="F60" s="587">
        <v>0</v>
      </c>
      <c r="G60" s="588">
        <v>0</v>
      </c>
      <c r="H60" s="590">
        <v>4.9406564584124654E-324</v>
      </c>
      <c r="I60" s="587">
        <v>9.8813129168249309E-324</v>
      </c>
      <c r="J60" s="588">
        <v>9.8813129168249309E-324</v>
      </c>
      <c r="K60" s="598" t="s">
        <v>299</v>
      </c>
    </row>
    <row r="61" spans="1:11" ht="14.4" customHeight="1" thickBot="1" x14ac:dyDescent="0.35">
      <c r="A61" s="609" t="s">
        <v>357</v>
      </c>
      <c r="B61" s="587">
        <v>1.2530302798249999</v>
      </c>
      <c r="C61" s="587">
        <v>9.02</v>
      </c>
      <c r="D61" s="588">
        <v>7.766969720174</v>
      </c>
      <c r="E61" s="589">
        <v>7.1985491054989996</v>
      </c>
      <c r="F61" s="587">
        <v>7.3066690406579999</v>
      </c>
      <c r="G61" s="588">
        <v>1.217778173443</v>
      </c>
      <c r="H61" s="590">
        <v>0.65600000000000003</v>
      </c>
      <c r="I61" s="587">
        <v>0.65600000000000003</v>
      </c>
      <c r="J61" s="588">
        <v>-0.56177817344299996</v>
      </c>
      <c r="K61" s="591">
        <v>8.9780992727000006E-2</v>
      </c>
    </row>
    <row r="62" spans="1:11" ht="14.4" customHeight="1" thickBot="1" x14ac:dyDescent="0.35">
      <c r="A62" s="609" t="s">
        <v>358</v>
      </c>
      <c r="B62" s="587">
        <v>247.07863338622801</v>
      </c>
      <c r="C62" s="587">
        <v>138.35899000000001</v>
      </c>
      <c r="D62" s="588">
        <v>-108.719643386228</v>
      </c>
      <c r="E62" s="589">
        <v>0.55997958262799996</v>
      </c>
      <c r="F62" s="587">
        <v>92.229002661601996</v>
      </c>
      <c r="G62" s="588">
        <v>15.3715004436</v>
      </c>
      <c r="H62" s="590">
        <v>4.9406564584124654E-324</v>
      </c>
      <c r="I62" s="587">
        <v>3.0975999999999999</v>
      </c>
      <c r="J62" s="588">
        <v>-12.273900443600001</v>
      </c>
      <c r="K62" s="591">
        <v>3.3585964399000003E-2</v>
      </c>
    </row>
    <row r="63" spans="1:11" ht="14.4" customHeight="1" thickBot="1" x14ac:dyDescent="0.35">
      <c r="A63" s="609" t="s">
        <v>359</v>
      </c>
      <c r="B63" s="587">
        <v>19.737933736374998</v>
      </c>
      <c r="C63" s="587">
        <v>3.8934099999999998</v>
      </c>
      <c r="D63" s="588">
        <v>-15.844523736375001</v>
      </c>
      <c r="E63" s="589">
        <v>0.197255196617</v>
      </c>
      <c r="F63" s="587">
        <v>9.0016784821340003</v>
      </c>
      <c r="G63" s="588">
        <v>1.500279747022</v>
      </c>
      <c r="H63" s="590">
        <v>0.26758999999999999</v>
      </c>
      <c r="I63" s="587">
        <v>0.37179000000000001</v>
      </c>
      <c r="J63" s="588">
        <v>-1.1284897470219999</v>
      </c>
      <c r="K63" s="591">
        <v>4.1302297203E-2</v>
      </c>
    </row>
    <row r="64" spans="1:11" ht="14.4" customHeight="1" thickBot="1" x14ac:dyDescent="0.35">
      <c r="A64" s="608" t="s">
        <v>360</v>
      </c>
      <c r="B64" s="592">
        <v>867.14768575254402</v>
      </c>
      <c r="C64" s="592">
        <v>866.10675000000003</v>
      </c>
      <c r="D64" s="593">
        <v>-1.0409357525430001</v>
      </c>
      <c r="E64" s="599">
        <v>0.99879958654099998</v>
      </c>
      <c r="F64" s="592">
        <v>1449.77286767179</v>
      </c>
      <c r="G64" s="593">
        <v>241.62881127863201</v>
      </c>
      <c r="H64" s="595">
        <v>129.82153</v>
      </c>
      <c r="I64" s="592">
        <v>260.20933000000099</v>
      </c>
      <c r="J64" s="593">
        <v>18.580518721368001</v>
      </c>
      <c r="K64" s="600">
        <v>0.17948282506999999</v>
      </c>
    </row>
    <row r="65" spans="1:11" ht="14.4" customHeight="1" thickBot="1" x14ac:dyDescent="0.35">
      <c r="A65" s="609" t="s">
        <v>361</v>
      </c>
      <c r="B65" s="587">
        <v>0</v>
      </c>
      <c r="C65" s="587">
        <v>4.9406564584124654E-324</v>
      </c>
      <c r="D65" s="588">
        <v>4.9406564584124654E-324</v>
      </c>
      <c r="E65" s="597" t="s">
        <v>299</v>
      </c>
      <c r="F65" s="587">
        <v>4.9406564584124654E-324</v>
      </c>
      <c r="G65" s="588">
        <v>0</v>
      </c>
      <c r="H65" s="590">
        <v>0.318</v>
      </c>
      <c r="I65" s="587">
        <v>0.318</v>
      </c>
      <c r="J65" s="588">
        <v>0.318</v>
      </c>
      <c r="K65" s="598" t="s">
        <v>305</v>
      </c>
    </row>
    <row r="66" spans="1:11" ht="14.4" customHeight="1" thickBot="1" x14ac:dyDescent="0.35">
      <c r="A66" s="609" t="s">
        <v>362</v>
      </c>
      <c r="B66" s="587">
        <v>38.951541222349</v>
      </c>
      <c r="C66" s="587">
        <v>47.820180000000001</v>
      </c>
      <c r="D66" s="588">
        <v>8.8686387776500002</v>
      </c>
      <c r="E66" s="589">
        <v>1.227683899002</v>
      </c>
      <c r="F66" s="587">
        <v>42.776604452077002</v>
      </c>
      <c r="G66" s="588">
        <v>7.1294340753460004</v>
      </c>
      <c r="H66" s="590">
        <v>2.5202200000000001</v>
      </c>
      <c r="I66" s="587">
        <v>5.9241700000000002</v>
      </c>
      <c r="J66" s="588">
        <v>-1.205264075346</v>
      </c>
      <c r="K66" s="591">
        <v>0.138490889491</v>
      </c>
    </row>
    <row r="67" spans="1:11" ht="14.4" customHeight="1" thickBot="1" x14ac:dyDescent="0.35">
      <c r="A67" s="609" t="s">
        <v>363</v>
      </c>
      <c r="B67" s="587">
        <v>1.940933296331</v>
      </c>
      <c r="C67" s="587">
        <v>5.5175999999999998</v>
      </c>
      <c r="D67" s="588">
        <v>3.5766667036680002</v>
      </c>
      <c r="E67" s="589">
        <v>2.8427561165689998</v>
      </c>
      <c r="F67" s="587">
        <v>0</v>
      </c>
      <c r="G67" s="588">
        <v>0</v>
      </c>
      <c r="H67" s="590">
        <v>1.9313800000000001</v>
      </c>
      <c r="I67" s="587">
        <v>1.9313800000000001</v>
      </c>
      <c r="J67" s="588">
        <v>1.9313800000000001</v>
      </c>
      <c r="K67" s="598" t="s">
        <v>299</v>
      </c>
    </row>
    <row r="68" spans="1:11" ht="14.4" customHeight="1" thickBot="1" x14ac:dyDescent="0.35">
      <c r="A68" s="609" t="s">
        <v>364</v>
      </c>
      <c r="B68" s="587">
        <v>9.2020424160609995</v>
      </c>
      <c r="C68" s="587">
        <v>6.6132900000000001</v>
      </c>
      <c r="D68" s="588">
        <v>-2.5887524160609998</v>
      </c>
      <c r="E68" s="589">
        <v>0.71867632216599997</v>
      </c>
      <c r="F68" s="587">
        <v>0</v>
      </c>
      <c r="G68" s="588">
        <v>0</v>
      </c>
      <c r="H68" s="590">
        <v>1.34965</v>
      </c>
      <c r="I68" s="587">
        <v>3.70777</v>
      </c>
      <c r="J68" s="588">
        <v>3.70777</v>
      </c>
      <c r="K68" s="598" t="s">
        <v>299</v>
      </c>
    </row>
    <row r="69" spans="1:11" ht="14.4" customHeight="1" thickBot="1" x14ac:dyDescent="0.35">
      <c r="A69" s="609" t="s">
        <v>365</v>
      </c>
      <c r="B69" s="587">
        <v>817.05316881780095</v>
      </c>
      <c r="C69" s="587">
        <v>806.15567999999996</v>
      </c>
      <c r="D69" s="588">
        <v>-10.897488817799999</v>
      </c>
      <c r="E69" s="589">
        <v>0.98666244837700001</v>
      </c>
      <c r="F69" s="587">
        <v>0</v>
      </c>
      <c r="G69" s="588">
        <v>0</v>
      </c>
      <c r="H69" s="590">
        <v>4.9406564584124654E-324</v>
      </c>
      <c r="I69" s="587">
        <v>9.8813129168249309E-324</v>
      </c>
      <c r="J69" s="588">
        <v>9.8813129168249309E-324</v>
      </c>
      <c r="K69" s="598" t="s">
        <v>299</v>
      </c>
    </row>
    <row r="70" spans="1:11" ht="14.4" customHeight="1" thickBot="1" x14ac:dyDescent="0.35">
      <c r="A70" s="609" t="s">
        <v>366</v>
      </c>
      <c r="B70" s="587">
        <v>4.9406564584124654E-324</v>
      </c>
      <c r="C70" s="587">
        <v>4.9406564584124654E-324</v>
      </c>
      <c r="D70" s="588">
        <v>0</v>
      </c>
      <c r="E70" s="589">
        <v>1</v>
      </c>
      <c r="F70" s="587">
        <v>54.005194479095003</v>
      </c>
      <c r="G70" s="588">
        <v>9.0008657465150002</v>
      </c>
      <c r="H70" s="590">
        <v>3.50326</v>
      </c>
      <c r="I70" s="587">
        <v>5.7429800000000002</v>
      </c>
      <c r="J70" s="588">
        <v>-3.257885746515</v>
      </c>
      <c r="K70" s="591">
        <v>0.106341252084</v>
      </c>
    </row>
    <row r="71" spans="1:11" ht="14.4" customHeight="1" thickBot="1" x14ac:dyDescent="0.35">
      <c r="A71" s="609" t="s">
        <v>367</v>
      </c>
      <c r="B71" s="587">
        <v>4.9406564584124654E-324</v>
      </c>
      <c r="C71" s="587">
        <v>4.9406564584124654E-324</v>
      </c>
      <c r="D71" s="588">
        <v>0</v>
      </c>
      <c r="E71" s="589">
        <v>1</v>
      </c>
      <c r="F71" s="587">
        <v>1287.99990291268</v>
      </c>
      <c r="G71" s="588">
        <v>214.66665048544701</v>
      </c>
      <c r="H71" s="590">
        <v>114.16515</v>
      </c>
      <c r="I71" s="587">
        <v>232.937700000001</v>
      </c>
      <c r="J71" s="588">
        <v>18.271049514552999</v>
      </c>
      <c r="K71" s="591">
        <v>0.180852265185</v>
      </c>
    </row>
    <row r="72" spans="1:11" ht="14.4" customHeight="1" thickBot="1" x14ac:dyDescent="0.35">
      <c r="A72" s="609" t="s">
        <v>368</v>
      </c>
      <c r="B72" s="587">
        <v>4.9406564584124654E-324</v>
      </c>
      <c r="C72" s="587">
        <v>4.9406564584124654E-324</v>
      </c>
      <c r="D72" s="588">
        <v>0</v>
      </c>
      <c r="E72" s="589">
        <v>1</v>
      </c>
      <c r="F72" s="587">
        <v>64.991165827936001</v>
      </c>
      <c r="G72" s="588">
        <v>10.831860971322</v>
      </c>
      <c r="H72" s="590">
        <v>6.0338700000000003</v>
      </c>
      <c r="I72" s="587">
        <v>9.6473300000000002</v>
      </c>
      <c r="J72" s="588">
        <v>-1.184530971322</v>
      </c>
      <c r="K72" s="591">
        <v>0.148440636155</v>
      </c>
    </row>
    <row r="73" spans="1:11" ht="14.4" customHeight="1" thickBot="1" x14ac:dyDescent="0.35">
      <c r="A73" s="607" t="s">
        <v>45</v>
      </c>
      <c r="B73" s="587">
        <v>2575.5446367910599</v>
      </c>
      <c r="C73" s="587">
        <v>2512.694</v>
      </c>
      <c r="D73" s="588">
        <v>-62.850636791055997</v>
      </c>
      <c r="E73" s="589">
        <v>0.97559714714500001</v>
      </c>
      <c r="F73" s="587">
        <v>2528.9628617049202</v>
      </c>
      <c r="G73" s="588">
        <v>421.49381028415303</v>
      </c>
      <c r="H73" s="590">
        <v>236.38</v>
      </c>
      <c r="I73" s="587">
        <v>517.16200000000094</v>
      </c>
      <c r="J73" s="588">
        <v>95.668189715848001</v>
      </c>
      <c r="K73" s="591">
        <v>0.20449568786899999</v>
      </c>
    </row>
    <row r="74" spans="1:11" ht="14.4" customHeight="1" thickBot="1" x14ac:dyDescent="0.35">
      <c r="A74" s="608" t="s">
        <v>369</v>
      </c>
      <c r="B74" s="592">
        <v>2575.5446367910599</v>
      </c>
      <c r="C74" s="592">
        <v>2512.694</v>
      </c>
      <c r="D74" s="593">
        <v>-62.850636791055997</v>
      </c>
      <c r="E74" s="599">
        <v>0.97559714714500001</v>
      </c>
      <c r="F74" s="592">
        <v>2528.9628617049202</v>
      </c>
      <c r="G74" s="593">
        <v>421.49381028415303</v>
      </c>
      <c r="H74" s="595">
        <v>236.38</v>
      </c>
      <c r="I74" s="592">
        <v>517.16200000000094</v>
      </c>
      <c r="J74" s="593">
        <v>95.668189715848001</v>
      </c>
      <c r="K74" s="600">
        <v>0.20449568786899999</v>
      </c>
    </row>
    <row r="75" spans="1:11" ht="14.4" customHeight="1" thickBot="1" x14ac:dyDescent="0.35">
      <c r="A75" s="609" t="s">
        <v>370</v>
      </c>
      <c r="B75" s="587">
        <v>945.42739629508401</v>
      </c>
      <c r="C75" s="587">
        <v>955.90499999999997</v>
      </c>
      <c r="D75" s="588">
        <v>10.477603704916</v>
      </c>
      <c r="E75" s="589">
        <v>1.0110823990769999</v>
      </c>
      <c r="F75" s="587">
        <v>948.76076816498505</v>
      </c>
      <c r="G75" s="588">
        <v>158.126794694164</v>
      </c>
      <c r="H75" s="590">
        <v>61.66</v>
      </c>
      <c r="I75" s="587">
        <v>130.42099999999999</v>
      </c>
      <c r="J75" s="588">
        <v>-27.705794694163</v>
      </c>
      <c r="K75" s="591">
        <v>0.13746457945500001</v>
      </c>
    </row>
    <row r="76" spans="1:11" ht="14.4" customHeight="1" thickBot="1" x14ac:dyDescent="0.35">
      <c r="A76" s="609" t="s">
        <v>371</v>
      </c>
      <c r="B76" s="587">
        <v>223.00958452773199</v>
      </c>
      <c r="C76" s="587">
        <v>218.33199999999999</v>
      </c>
      <c r="D76" s="588">
        <v>-4.6775845277309998</v>
      </c>
      <c r="E76" s="589">
        <v>0.979025186125</v>
      </c>
      <c r="F76" s="587">
        <v>223.03145137249001</v>
      </c>
      <c r="G76" s="588">
        <v>37.171908562081001</v>
      </c>
      <c r="H76" s="590">
        <v>16.408000000000001</v>
      </c>
      <c r="I76" s="587">
        <v>38.296999999999997</v>
      </c>
      <c r="J76" s="588">
        <v>1.1250914379179999</v>
      </c>
      <c r="K76" s="591">
        <v>0.17171120828100001</v>
      </c>
    </row>
    <row r="77" spans="1:11" ht="14.4" customHeight="1" thickBot="1" x14ac:dyDescent="0.35">
      <c r="A77" s="609" t="s">
        <v>372</v>
      </c>
      <c r="B77" s="587">
        <v>1407.1076559682399</v>
      </c>
      <c r="C77" s="587">
        <v>1338.4570000000001</v>
      </c>
      <c r="D77" s="588">
        <v>-68.650655968240002</v>
      </c>
      <c r="E77" s="589">
        <v>0.95121151130299997</v>
      </c>
      <c r="F77" s="587">
        <v>1357.1706421674401</v>
      </c>
      <c r="G77" s="588">
        <v>226.195107027907</v>
      </c>
      <c r="H77" s="590">
        <v>158.31200000000001</v>
      </c>
      <c r="I77" s="587">
        <v>348.44400000000098</v>
      </c>
      <c r="J77" s="588">
        <v>122.248892972094</v>
      </c>
      <c r="K77" s="591">
        <v>0.25674295418199999</v>
      </c>
    </row>
    <row r="78" spans="1:11" ht="14.4" customHeight="1" thickBot="1" x14ac:dyDescent="0.35">
      <c r="A78" s="610" t="s">
        <v>373</v>
      </c>
      <c r="B78" s="592">
        <v>3923.7725522342398</v>
      </c>
      <c r="C78" s="592">
        <v>3178.25992</v>
      </c>
      <c r="D78" s="593">
        <v>-745.51263223423803</v>
      </c>
      <c r="E78" s="599">
        <v>0.810001058341</v>
      </c>
      <c r="F78" s="592">
        <v>3101.6903095081402</v>
      </c>
      <c r="G78" s="593">
        <v>516.94838491802295</v>
      </c>
      <c r="H78" s="595">
        <v>301.70146999999997</v>
      </c>
      <c r="I78" s="592">
        <v>530.91888000000097</v>
      </c>
      <c r="J78" s="593">
        <v>13.970495081977999</v>
      </c>
      <c r="K78" s="600">
        <v>0.17117082204199999</v>
      </c>
    </row>
    <row r="79" spans="1:11" ht="14.4" customHeight="1" thickBot="1" x14ac:dyDescent="0.35">
      <c r="A79" s="607" t="s">
        <v>48</v>
      </c>
      <c r="B79" s="587">
        <v>1928.8567891139201</v>
      </c>
      <c r="C79" s="587">
        <v>885.47629000000097</v>
      </c>
      <c r="D79" s="588">
        <v>-1043.38049911392</v>
      </c>
      <c r="E79" s="589">
        <v>0.45906792821300002</v>
      </c>
      <c r="F79" s="587">
        <v>772.41117210530399</v>
      </c>
      <c r="G79" s="588">
        <v>128.735195350884</v>
      </c>
      <c r="H79" s="590">
        <v>83.952830000000006</v>
      </c>
      <c r="I79" s="587">
        <v>95.121200000000002</v>
      </c>
      <c r="J79" s="588">
        <v>-33.613995350883002</v>
      </c>
      <c r="K79" s="591">
        <v>0.123148400016</v>
      </c>
    </row>
    <row r="80" spans="1:11" ht="14.4" customHeight="1" thickBot="1" x14ac:dyDescent="0.35">
      <c r="A80" s="611" t="s">
        <v>374</v>
      </c>
      <c r="B80" s="587">
        <v>1228.8557891139601</v>
      </c>
      <c r="C80" s="587">
        <v>885.47629000000097</v>
      </c>
      <c r="D80" s="588">
        <v>-343.37949911395702</v>
      </c>
      <c r="E80" s="589">
        <v>0.72056973474300001</v>
      </c>
      <c r="F80" s="587">
        <v>772.41117210530399</v>
      </c>
      <c r="G80" s="588">
        <v>128.735195350884</v>
      </c>
      <c r="H80" s="590">
        <v>83.952830000000006</v>
      </c>
      <c r="I80" s="587">
        <v>95.121200000000002</v>
      </c>
      <c r="J80" s="588">
        <v>-33.613995350883002</v>
      </c>
      <c r="K80" s="591">
        <v>0.123148400016</v>
      </c>
    </row>
    <row r="81" spans="1:11" ht="14.4" customHeight="1" thickBot="1" x14ac:dyDescent="0.35">
      <c r="A81" s="609" t="s">
        <v>375</v>
      </c>
      <c r="B81" s="587">
        <v>471.98997160600902</v>
      </c>
      <c r="C81" s="587">
        <v>508.02086000000003</v>
      </c>
      <c r="D81" s="588">
        <v>36.030888393990999</v>
      </c>
      <c r="E81" s="589">
        <v>1.0763382498809999</v>
      </c>
      <c r="F81" s="587">
        <v>468.46628561324502</v>
      </c>
      <c r="G81" s="588">
        <v>78.077714268874004</v>
      </c>
      <c r="H81" s="590">
        <v>32.226190000000003</v>
      </c>
      <c r="I81" s="587">
        <v>32.226190000000003</v>
      </c>
      <c r="J81" s="588">
        <v>-45.851524268874002</v>
      </c>
      <c r="K81" s="591">
        <v>6.8790841495999996E-2</v>
      </c>
    </row>
    <row r="82" spans="1:11" ht="14.4" customHeight="1" thickBot="1" x14ac:dyDescent="0.35">
      <c r="A82" s="609" t="s">
        <v>376</v>
      </c>
      <c r="B82" s="587">
        <v>4.9406564584124654E-324</v>
      </c>
      <c r="C82" s="587">
        <v>6.454999999999</v>
      </c>
      <c r="D82" s="588">
        <v>6.454999999999</v>
      </c>
      <c r="E82" s="597" t="s">
        <v>305</v>
      </c>
      <c r="F82" s="587">
        <v>0</v>
      </c>
      <c r="G82" s="588">
        <v>0</v>
      </c>
      <c r="H82" s="590">
        <v>4.9406564584124654E-324</v>
      </c>
      <c r="I82" s="587">
        <v>1.6279999999999999</v>
      </c>
      <c r="J82" s="588">
        <v>1.6279999999999999</v>
      </c>
      <c r="K82" s="598" t="s">
        <v>299</v>
      </c>
    </row>
    <row r="83" spans="1:11" ht="14.4" customHeight="1" thickBot="1" x14ac:dyDescent="0.35">
      <c r="A83" s="609" t="s">
        <v>377</v>
      </c>
      <c r="B83" s="587">
        <v>187.935240729756</v>
      </c>
      <c r="C83" s="587">
        <v>21.34102</v>
      </c>
      <c r="D83" s="588">
        <v>-166.59422072975599</v>
      </c>
      <c r="E83" s="589">
        <v>0.113555179524</v>
      </c>
      <c r="F83" s="587">
        <v>27.749618607422999</v>
      </c>
      <c r="G83" s="588">
        <v>4.6249364345700004</v>
      </c>
      <c r="H83" s="590">
        <v>8.2352600000000002</v>
      </c>
      <c r="I83" s="587">
        <v>8.2352600000000002</v>
      </c>
      <c r="J83" s="588">
        <v>3.6103235654289998</v>
      </c>
      <c r="K83" s="591">
        <v>0.29677020489900002</v>
      </c>
    </row>
    <row r="84" spans="1:11" ht="14.4" customHeight="1" thickBot="1" x14ac:dyDescent="0.35">
      <c r="A84" s="609" t="s">
        <v>378</v>
      </c>
      <c r="B84" s="587">
        <v>356.97121118759401</v>
      </c>
      <c r="C84" s="587">
        <v>226.93329</v>
      </c>
      <c r="D84" s="588">
        <v>-130.03792118759401</v>
      </c>
      <c r="E84" s="589">
        <v>0.63571874394299999</v>
      </c>
      <c r="F84" s="587">
        <v>151.99974337787901</v>
      </c>
      <c r="G84" s="588">
        <v>25.333290562978998</v>
      </c>
      <c r="H84" s="590">
        <v>19.705110000000001</v>
      </c>
      <c r="I84" s="587">
        <v>29.245480000000001</v>
      </c>
      <c r="J84" s="588">
        <v>3.9121894370199999</v>
      </c>
      <c r="K84" s="591">
        <v>0.19240479852100001</v>
      </c>
    </row>
    <row r="85" spans="1:11" ht="14.4" customHeight="1" thickBot="1" x14ac:dyDescent="0.35">
      <c r="A85" s="609" t="s">
        <v>379</v>
      </c>
      <c r="B85" s="587">
        <v>201.985100563635</v>
      </c>
      <c r="C85" s="587">
        <v>122.72611999999999</v>
      </c>
      <c r="D85" s="588">
        <v>-79.258980563635006</v>
      </c>
      <c r="E85" s="589">
        <v>0.60759986581900005</v>
      </c>
      <c r="F85" s="587">
        <v>124.195524506756</v>
      </c>
      <c r="G85" s="588">
        <v>20.699254084459</v>
      </c>
      <c r="H85" s="590">
        <v>23.786269999999998</v>
      </c>
      <c r="I85" s="587">
        <v>23.786269999999998</v>
      </c>
      <c r="J85" s="588">
        <v>3.0870159155399999</v>
      </c>
      <c r="K85" s="591">
        <v>0.191522762953</v>
      </c>
    </row>
    <row r="86" spans="1:11" ht="14.4" customHeight="1" thickBot="1" x14ac:dyDescent="0.35">
      <c r="A86" s="612" t="s">
        <v>49</v>
      </c>
      <c r="B86" s="592">
        <v>0</v>
      </c>
      <c r="C86" s="592">
        <v>48.529000000000003</v>
      </c>
      <c r="D86" s="593">
        <v>48.529000000000003</v>
      </c>
      <c r="E86" s="594" t="s">
        <v>299</v>
      </c>
      <c r="F86" s="592">
        <v>0</v>
      </c>
      <c r="G86" s="593">
        <v>0</v>
      </c>
      <c r="H86" s="595">
        <v>5.0049999999999999</v>
      </c>
      <c r="I86" s="592">
        <v>7.149</v>
      </c>
      <c r="J86" s="593">
        <v>7.149</v>
      </c>
      <c r="K86" s="596" t="s">
        <v>299</v>
      </c>
    </row>
    <row r="87" spans="1:11" ht="14.4" customHeight="1" thickBot="1" x14ac:dyDescent="0.35">
      <c r="A87" s="608" t="s">
        <v>380</v>
      </c>
      <c r="B87" s="592">
        <v>0</v>
      </c>
      <c r="C87" s="592">
        <v>48.529000000000003</v>
      </c>
      <c r="D87" s="593">
        <v>48.529000000000003</v>
      </c>
      <c r="E87" s="594" t="s">
        <v>299</v>
      </c>
      <c r="F87" s="592">
        <v>0</v>
      </c>
      <c r="G87" s="593">
        <v>0</v>
      </c>
      <c r="H87" s="595">
        <v>5.0049999999999999</v>
      </c>
      <c r="I87" s="592">
        <v>7.149</v>
      </c>
      <c r="J87" s="593">
        <v>7.149</v>
      </c>
      <c r="K87" s="596" t="s">
        <v>299</v>
      </c>
    </row>
    <row r="88" spans="1:11" ht="14.4" customHeight="1" thickBot="1" x14ac:dyDescent="0.35">
      <c r="A88" s="609" t="s">
        <v>381</v>
      </c>
      <c r="B88" s="587">
        <v>0</v>
      </c>
      <c r="C88" s="587">
        <v>18.439</v>
      </c>
      <c r="D88" s="588">
        <v>18.439</v>
      </c>
      <c r="E88" s="597" t="s">
        <v>299</v>
      </c>
      <c r="F88" s="587">
        <v>0</v>
      </c>
      <c r="G88" s="588">
        <v>0</v>
      </c>
      <c r="H88" s="590">
        <v>4.9406564584124654E-324</v>
      </c>
      <c r="I88" s="587">
        <v>2.1440000000000001</v>
      </c>
      <c r="J88" s="588">
        <v>2.1440000000000001</v>
      </c>
      <c r="K88" s="598" t="s">
        <v>299</v>
      </c>
    </row>
    <row r="89" spans="1:11" ht="14.4" customHeight="1" thickBot="1" x14ac:dyDescent="0.35">
      <c r="A89" s="609" t="s">
        <v>382</v>
      </c>
      <c r="B89" s="587">
        <v>0</v>
      </c>
      <c r="C89" s="587">
        <v>30.09</v>
      </c>
      <c r="D89" s="588">
        <v>30.09</v>
      </c>
      <c r="E89" s="597" t="s">
        <v>299</v>
      </c>
      <c r="F89" s="587">
        <v>0</v>
      </c>
      <c r="G89" s="588">
        <v>0</v>
      </c>
      <c r="H89" s="590">
        <v>5.0049999999999999</v>
      </c>
      <c r="I89" s="587">
        <v>5.0049999999999999</v>
      </c>
      <c r="J89" s="588">
        <v>5.0049999999999999</v>
      </c>
      <c r="K89" s="598" t="s">
        <v>299</v>
      </c>
    </row>
    <row r="90" spans="1:11" ht="14.4" customHeight="1" thickBot="1" x14ac:dyDescent="0.35">
      <c r="A90" s="607" t="s">
        <v>50</v>
      </c>
      <c r="B90" s="587">
        <v>1994.91576312032</v>
      </c>
      <c r="C90" s="587">
        <v>2244.2546299999999</v>
      </c>
      <c r="D90" s="588">
        <v>249.33886687968001</v>
      </c>
      <c r="E90" s="589">
        <v>1.1249871656179999</v>
      </c>
      <c r="F90" s="587">
        <v>2329.2791374028302</v>
      </c>
      <c r="G90" s="588">
        <v>388.21318956713901</v>
      </c>
      <c r="H90" s="590">
        <v>212.74364</v>
      </c>
      <c r="I90" s="587">
        <v>428.64868000000098</v>
      </c>
      <c r="J90" s="588">
        <v>40.435490432861997</v>
      </c>
      <c r="K90" s="591">
        <v>0.18402632519000001</v>
      </c>
    </row>
    <row r="91" spans="1:11" ht="14.4" customHeight="1" thickBot="1" x14ac:dyDescent="0.35">
      <c r="A91" s="608" t="s">
        <v>383</v>
      </c>
      <c r="B91" s="592">
        <v>2.4133858951140001</v>
      </c>
      <c r="C91" s="592">
        <v>1.97</v>
      </c>
      <c r="D91" s="593">
        <v>-0.44338589511400001</v>
      </c>
      <c r="E91" s="599">
        <v>0.81628056416000006</v>
      </c>
      <c r="F91" s="592">
        <v>0.78740660723099998</v>
      </c>
      <c r="G91" s="593">
        <v>0.13123443453799999</v>
      </c>
      <c r="H91" s="595">
        <v>4.9406564584124654E-324</v>
      </c>
      <c r="I91" s="592">
        <v>9.8813129168249309E-324</v>
      </c>
      <c r="J91" s="593">
        <v>-0.13123443453799999</v>
      </c>
      <c r="K91" s="600">
        <v>1.4821969375237396E-323</v>
      </c>
    </row>
    <row r="92" spans="1:11" ht="14.4" customHeight="1" thickBot="1" x14ac:dyDescent="0.35">
      <c r="A92" s="609" t="s">
        <v>384</v>
      </c>
      <c r="B92" s="587">
        <v>2.4133858951140001</v>
      </c>
      <c r="C92" s="587">
        <v>1.97</v>
      </c>
      <c r="D92" s="588">
        <v>-0.44338589511400001</v>
      </c>
      <c r="E92" s="589">
        <v>0.81628056416000006</v>
      </c>
      <c r="F92" s="587">
        <v>0.78740660723099998</v>
      </c>
      <c r="G92" s="588">
        <v>0.13123443453799999</v>
      </c>
      <c r="H92" s="590">
        <v>4.9406564584124654E-324</v>
      </c>
      <c r="I92" s="587">
        <v>9.8813129168249309E-324</v>
      </c>
      <c r="J92" s="588">
        <v>-0.13123443453799999</v>
      </c>
      <c r="K92" s="591">
        <v>1.4821969375237396E-323</v>
      </c>
    </row>
    <row r="93" spans="1:11" ht="14.4" customHeight="1" thickBot="1" x14ac:dyDescent="0.35">
      <c r="A93" s="608" t="s">
        <v>385</v>
      </c>
      <c r="B93" s="592">
        <v>60.395860576383001</v>
      </c>
      <c r="C93" s="592">
        <v>65.20102</v>
      </c>
      <c r="D93" s="593">
        <v>4.8051594236159998</v>
      </c>
      <c r="E93" s="599">
        <v>1.079561072195</v>
      </c>
      <c r="F93" s="592">
        <v>62.280564989722997</v>
      </c>
      <c r="G93" s="593">
        <v>10.380094164953</v>
      </c>
      <c r="H93" s="595">
        <v>5.0815999999999999</v>
      </c>
      <c r="I93" s="592">
        <v>8.8589400000000005</v>
      </c>
      <c r="J93" s="593">
        <v>-1.521154164953</v>
      </c>
      <c r="K93" s="600">
        <v>0.142242447567</v>
      </c>
    </row>
    <row r="94" spans="1:11" ht="14.4" customHeight="1" thickBot="1" x14ac:dyDescent="0.35">
      <c r="A94" s="609" t="s">
        <v>386</v>
      </c>
      <c r="B94" s="587">
        <v>8.9552959771919998</v>
      </c>
      <c r="C94" s="587">
        <v>12.4627</v>
      </c>
      <c r="D94" s="588">
        <v>3.507404022807</v>
      </c>
      <c r="E94" s="589">
        <v>1.391656962733</v>
      </c>
      <c r="F94" s="587">
        <v>12.749170460467001</v>
      </c>
      <c r="G94" s="588">
        <v>2.124861743411</v>
      </c>
      <c r="H94" s="590">
        <v>1.1182000000000001</v>
      </c>
      <c r="I94" s="587">
        <v>2.3523000000000001</v>
      </c>
      <c r="J94" s="588">
        <v>0.22743825658799999</v>
      </c>
      <c r="K94" s="591">
        <v>0.18450612196999999</v>
      </c>
    </row>
    <row r="95" spans="1:11" ht="14.4" customHeight="1" thickBot="1" x14ac:dyDescent="0.35">
      <c r="A95" s="609" t="s">
        <v>387</v>
      </c>
      <c r="B95" s="587">
        <v>51.440564599190999</v>
      </c>
      <c r="C95" s="587">
        <v>52.738320000000002</v>
      </c>
      <c r="D95" s="588">
        <v>1.297755400809</v>
      </c>
      <c r="E95" s="589">
        <v>1.025228249552</v>
      </c>
      <c r="F95" s="587">
        <v>49.531394529255003</v>
      </c>
      <c r="G95" s="588">
        <v>8.2552324215420008</v>
      </c>
      <c r="H95" s="590">
        <v>3.9634</v>
      </c>
      <c r="I95" s="587">
        <v>6.50664</v>
      </c>
      <c r="J95" s="588">
        <v>-1.7485924215419999</v>
      </c>
      <c r="K95" s="591">
        <v>0.13136395738100001</v>
      </c>
    </row>
    <row r="96" spans="1:11" ht="14.4" customHeight="1" thickBot="1" x14ac:dyDescent="0.35">
      <c r="A96" s="608" t="s">
        <v>388</v>
      </c>
      <c r="B96" s="592">
        <v>56.598271671968</v>
      </c>
      <c r="C96" s="592">
        <v>55.295819999999999</v>
      </c>
      <c r="D96" s="593">
        <v>-1.3024516719679999</v>
      </c>
      <c r="E96" s="599">
        <v>0.97698778366299999</v>
      </c>
      <c r="F96" s="592">
        <v>59.601226047631997</v>
      </c>
      <c r="G96" s="593">
        <v>9.9335376746050006</v>
      </c>
      <c r="H96" s="595">
        <v>3.8719999999999999</v>
      </c>
      <c r="I96" s="592">
        <v>14.788679999999999</v>
      </c>
      <c r="J96" s="593">
        <v>4.8551423253939996</v>
      </c>
      <c r="K96" s="600">
        <v>0.248127110475</v>
      </c>
    </row>
    <row r="97" spans="1:11" ht="14.4" customHeight="1" thickBot="1" x14ac:dyDescent="0.35">
      <c r="A97" s="609" t="s">
        <v>389</v>
      </c>
      <c r="B97" s="587">
        <v>26.945650720031999</v>
      </c>
      <c r="C97" s="587">
        <v>26.055</v>
      </c>
      <c r="D97" s="588">
        <v>-0.89065072003199997</v>
      </c>
      <c r="E97" s="589">
        <v>0.96694640150599998</v>
      </c>
      <c r="F97" s="587">
        <v>32.834163601204999</v>
      </c>
      <c r="G97" s="588">
        <v>5.4723606002</v>
      </c>
      <c r="H97" s="590">
        <v>4.9406564584124654E-324</v>
      </c>
      <c r="I97" s="587">
        <v>8.2349999999999994</v>
      </c>
      <c r="J97" s="588">
        <v>2.7626393997990002</v>
      </c>
      <c r="K97" s="591">
        <v>0.25080584052600002</v>
      </c>
    </row>
    <row r="98" spans="1:11" ht="14.4" customHeight="1" thickBot="1" x14ac:dyDescent="0.35">
      <c r="A98" s="609" t="s">
        <v>390</v>
      </c>
      <c r="B98" s="587">
        <v>29.652620951934999</v>
      </c>
      <c r="C98" s="587">
        <v>29.240819999999999</v>
      </c>
      <c r="D98" s="588">
        <v>-0.41180095193499999</v>
      </c>
      <c r="E98" s="589">
        <v>0.98611249398099998</v>
      </c>
      <c r="F98" s="587">
        <v>26.767062446427001</v>
      </c>
      <c r="G98" s="588">
        <v>4.4611770744039996</v>
      </c>
      <c r="H98" s="590">
        <v>3.8719999999999999</v>
      </c>
      <c r="I98" s="587">
        <v>6.5536799999999999</v>
      </c>
      <c r="J98" s="588">
        <v>2.0925029255949998</v>
      </c>
      <c r="K98" s="591">
        <v>0.244841211586</v>
      </c>
    </row>
    <row r="99" spans="1:11" ht="14.4" customHeight="1" thickBot="1" x14ac:dyDescent="0.35">
      <c r="A99" s="608" t="s">
        <v>391</v>
      </c>
      <c r="B99" s="592">
        <v>1208.8614853571501</v>
      </c>
      <c r="C99" s="592">
        <v>1249.2883300000001</v>
      </c>
      <c r="D99" s="593">
        <v>40.426844642851997</v>
      </c>
      <c r="E99" s="599">
        <v>1.0334420817700001</v>
      </c>
      <c r="F99" s="592">
        <v>1258.64497272935</v>
      </c>
      <c r="G99" s="593">
        <v>209.77416212155899</v>
      </c>
      <c r="H99" s="595">
        <v>21.773499999999999</v>
      </c>
      <c r="I99" s="592">
        <v>132.73841000000101</v>
      </c>
      <c r="J99" s="593">
        <v>-77.035752121558005</v>
      </c>
      <c r="K99" s="600">
        <v>0.105461359538</v>
      </c>
    </row>
    <row r="100" spans="1:11" ht="14.4" customHeight="1" thickBot="1" x14ac:dyDescent="0.35">
      <c r="A100" s="609" t="s">
        <v>392</v>
      </c>
      <c r="B100" s="587">
        <v>934.00094840208806</v>
      </c>
      <c r="C100" s="587">
        <v>975.87598000000003</v>
      </c>
      <c r="D100" s="588">
        <v>41.875031597911999</v>
      </c>
      <c r="E100" s="589">
        <v>1.044834035414</v>
      </c>
      <c r="F100" s="587">
        <v>983.21469377995697</v>
      </c>
      <c r="G100" s="588">
        <v>163.86911562999299</v>
      </c>
      <c r="H100" s="590">
        <v>4.9406564584124654E-324</v>
      </c>
      <c r="I100" s="587">
        <v>86.811700000000002</v>
      </c>
      <c r="J100" s="588">
        <v>-77.057415629991993</v>
      </c>
      <c r="K100" s="591">
        <v>8.8293737418999999E-2</v>
      </c>
    </row>
    <row r="101" spans="1:11" ht="14.4" customHeight="1" thickBot="1" x14ac:dyDescent="0.35">
      <c r="A101" s="609" t="s">
        <v>393</v>
      </c>
      <c r="B101" s="587">
        <v>270.41023552564502</v>
      </c>
      <c r="C101" s="587">
        <v>273.41235</v>
      </c>
      <c r="D101" s="588">
        <v>3.0021144743549999</v>
      </c>
      <c r="E101" s="589">
        <v>1.011102074107</v>
      </c>
      <c r="F101" s="587">
        <v>275.43027894939701</v>
      </c>
      <c r="G101" s="588">
        <v>45.905046491565997</v>
      </c>
      <c r="H101" s="590">
        <v>21.773499999999999</v>
      </c>
      <c r="I101" s="587">
        <v>45.92671</v>
      </c>
      <c r="J101" s="588">
        <v>2.1663508434000001E-2</v>
      </c>
      <c r="K101" s="591">
        <v>0.166745319995</v>
      </c>
    </row>
    <row r="102" spans="1:11" ht="14.4" customHeight="1" thickBot="1" x14ac:dyDescent="0.35">
      <c r="A102" s="608" t="s">
        <v>394</v>
      </c>
      <c r="B102" s="592">
        <v>666.64675961970602</v>
      </c>
      <c r="C102" s="592">
        <v>872.49946</v>
      </c>
      <c r="D102" s="593">
        <v>205.85270038029401</v>
      </c>
      <c r="E102" s="599">
        <v>1.308788271164</v>
      </c>
      <c r="F102" s="592">
        <v>947.96496702889306</v>
      </c>
      <c r="G102" s="593">
        <v>157.99416117148201</v>
      </c>
      <c r="H102" s="595">
        <v>182.01653999999999</v>
      </c>
      <c r="I102" s="592">
        <v>272.26265000000001</v>
      </c>
      <c r="J102" s="593">
        <v>114.268488828518</v>
      </c>
      <c r="K102" s="600">
        <v>0.287207501827</v>
      </c>
    </row>
    <row r="103" spans="1:11" ht="14.4" customHeight="1" thickBot="1" x14ac:dyDescent="0.35">
      <c r="A103" s="609" t="s">
        <v>395</v>
      </c>
      <c r="B103" s="587">
        <v>0</v>
      </c>
      <c r="C103" s="587">
        <v>1.19</v>
      </c>
      <c r="D103" s="588">
        <v>1.19</v>
      </c>
      <c r="E103" s="597" t="s">
        <v>299</v>
      </c>
      <c r="F103" s="587">
        <v>0.34894762467599999</v>
      </c>
      <c r="G103" s="588">
        <v>5.8157937446000001E-2</v>
      </c>
      <c r="H103" s="590">
        <v>4.9406564584124654E-324</v>
      </c>
      <c r="I103" s="587">
        <v>9.8813129168249309E-324</v>
      </c>
      <c r="J103" s="588">
        <v>-5.8157937446000001E-2</v>
      </c>
      <c r="K103" s="591">
        <v>2.9643938750474793E-323</v>
      </c>
    </row>
    <row r="104" spans="1:11" ht="14.4" customHeight="1" thickBot="1" x14ac:dyDescent="0.35">
      <c r="A104" s="609" t="s">
        <v>396</v>
      </c>
      <c r="B104" s="587">
        <v>331.10679907183101</v>
      </c>
      <c r="C104" s="587">
        <v>350.54306000000003</v>
      </c>
      <c r="D104" s="588">
        <v>19.436260928168</v>
      </c>
      <c r="E104" s="589">
        <v>1.0587008813550001</v>
      </c>
      <c r="F104" s="587">
        <v>340.48366699077201</v>
      </c>
      <c r="G104" s="588">
        <v>56.747277831795003</v>
      </c>
      <c r="H104" s="590">
        <v>69.131479999999996</v>
      </c>
      <c r="I104" s="587">
        <v>159.37759</v>
      </c>
      <c r="J104" s="588">
        <v>102.63031216820499</v>
      </c>
      <c r="K104" s="591">
        <v>0.46809173376300001</v>
      </c>
    </row>
    <row r="105" spans="1:11" ht="14.4" customHeight="1" thickBot="1" x14ac:dyDescent="0.35">
      <c r="A105" s="609" t="s">
        <v>397</v>
      </c>
      <c r="B105" s="587">
        <v>15.991751311879</v>
      </c>
      <c r="C105" s="587">
        <v>20.2074</v>
      </c>
      <c r="D105" s="588">
        <v>4.2156486881199999</v>
      </c>
      <c r="E105" s="589">
        <v>1.263613947334</v>
      </c>
      <c r="F105" s="587">
        <v>17.006195084590001</v>
      </c>
      <c r="G105" s="588">
        <v>2.8343658474310001</v>
      </c>
      <c r="H105" s="590">
        <v>4.9406564584124654E-324</v>
      </c>
      <c r="I105" s="587">
        <v>9.8813129168249309E-324</v>
      </c>
      <c r="J105" s="588">
        <v>-2.8343658474310001</v>
      </c>
      <c r="K105" s="591">
        <v>0</v>
      </c>
    </row>
    <row r="106" spans="1:11" ht="14.4" customHeight="1" thickBot="1" x14ac:dyDescent="0.35">
      <c r="A106" s="609" t="s">
        <v>398</v>
      </c>
      <c r="B106" s="587">
        <v>2.3514759762609998</v>
      </c>
      <c r="C106" s="587">
        <v>1.16157</v>
      </c>
      <c r="D106" s="588">
        <v>-1.189905976261</v>
      </c>
      <c r="E106" s="589">
        <v>0.49397485312400002</v>
      </c>
      <c r="F106" s="587">
        <v>1.09741733958</v>
      </c>
      <c r="G106" s="588">
        <v>0.18290288993000001</v>
      </c>
      <c r="H106" s="590">
        <v>2.2989999999999999</v>
      </c>
      <c r="I106" s="587">
        <v>2.2989999999999999</v>
      </c>
      <c r="J106" s="588">
        <v>2.116097110069</v>
      </c>
      <c r="K106" s="591">
        <v>2.0949186030520002</v>
      </c>
    </row>
    <row r="107" spans="1:11" ht="14.4" customHeight="1" thickBot="1" x14ac:dyDescent="0.35">
      <c r="A107" s="609" t="s">
        <v>399</v>
      </c>
      <c r="B107" s="587">
        <v>317.196733259734</v>
      </c>
      <c r="C107" s="587">
        <v>499.39742999999999</v>
      </c>
      <c r="D107" s="588">
        <v>182.20069674026601</v>
      </c>
      <c r="E107" s="589">
        <v>1.5744091210140001</v>
      </c>
      <c r="F107" s="587">
        <v>589.02873998927396</v>
      </c>
      <c r="G107" s="588">
        <v>98.171456664879003</v>
      </c>
      <c r="H107" s="590">
        <v>110.58606</v>
      </c>
      <c r="I107" s="587">
        <v>110.58606</v>
      </c>
      <c r="J107" s="588">
        <v>12.414603335121001</v>
      </c>
      <c r="K107" s="591">
        <v>0.18774306327000001</v>
      </c>
    </row>
    <row r="108" spans="1:11" ht="14.4" customHeight="1" thickBot="1" x14ac:dyDescent="0.35">
      <c r="A108" s="606" t="s">
        <v>51</v>
      </c>
      <c r="B108" s="587">
        <v>47732.987095007797</v>
      </c>
      <c r="C108" s="587">
        <v>48801.338689999997</v>
      </c>
      <c r="D108" s="588">
        <v>1068.3515949922</v>
      </c>
      <c r="E108" s="589">
        <v>1.0223818298409999</v>
      </c>
      <c r="F108" s="587">
        <v>49757.2461881731</v>
      </c>
      <c r="G108" s="588">
        <v>8292.8743646955209</v>
      </c>
      <c r="H108" s="590">
        <v>4038.0060600000002</v>
      </c>
      <c r="I108" s="587">
        <v>7974.64437000002</v>
      </c>
      <c r="J108" s="588">
        <v>-318.22999469550098</v>
      </c>
      <c r="K108" s="591">
        <v>0.16027101539800001</v>
      </c>
    </row>
    <row r="109" spans="1:11" ht="14.4" customHeight="1" thickBot="1" x14ac:dyDescent="0.35">
      <c r="A109" s="612" t="s">
        <v>400</v>
      </c>
      <c r="B109" s="592">
        <v>35355.999999998101</v>
      </c>
      <c r="C109" s="592">
        <v>36413.618999999999</v>
      </c>
      <c r="D109" s="593">
        <v>1057.6190000019301</v>
      </c>
      <c r="E109" s="599">
        <v>1.0299134234639999</v>
      </c>
      <c r="F109" s="592">
        <v>36885.999999999302</v>
      </c>
      <c r="G109" s="593">
        <v>6147.6666666665596</v>
      </c>
      <c r="H109" s="595">
        <v>2991.4380000000001</v>
      </c>
      <c r="I109" s="592">
        <v>5908.6640000000098</v>
      </c>
      <c r="J109" s="593">
        <v>-239.00266666654201</v>
      </c>
      <c r="K109" s="600">
        <v>0.16018717128400001</v>
      </c>
    </row>
    <row r="110" spans="1:11" ht="14.4" customHeight="1" thickBot="1" x14ac:dyDescent="0.35">
      <c r="A110" s="608" t="s">
        <v>401</v>
      </c>
      <c r="B110" s="592">
        <v>35355.999999998101</v>
      </c>
      <c r="C110" s="592">
        <v>36354.775000000001</v>
      </c>
      <c r="D110" s="593">
        <v>998.77500000193697</v>
      </c>
      <c r="E110" s="599">
        <v>1.0282490949200001</v>
      </c>
      <c r="F110" s="592">
        <v>36765.999999999302</v>
      </c>
      <c r="G110" s="593">
        <v>6127.6666666665596</v>
      </c>
      <c r="H110" s="595">
        <v>2990.163</v>
      </c>
      <c r="I110" s="592">
        <v>5902.6140000000096</v>
      </c>
      <c r="J110" s="593">
        <v>-225.052666666541</v>
      </c>
      <c r="K110" s="600">
        <v>0.1605454496</v>
      </c>
    </row>
    <row r="111" spans="1:11" ht="14.4" customHeight="1" thickBot="1" x14ac:dyDescent="0.35">
      <c r="A111" s="609" t="s">
        <v>402</v>
      </c>
      <c r="B111" s="587">
        <v>35355.999999998101</v>
      </c>
      <c r="C111" s="587">
        <v>36354.775000000001</v>
      </c>
      <c r="D111" s="588">
        <v>998.77500000193697</v>
      </c>
      <c r="E111" s="589">
        <v>1.0282490949200001</v>
      </c>
      <c r="F111" s="587">
        <v>36765.999999999302</v>
      </c>
      <c r="G111" s="588">
        <v>6127.6666666665596</v>
      </c>
      <c r="H111" s="590">
        <v>2990.163</v>
      </c>
      <c r="I111" s="587">
        <v>5902.6140000000096</v>
      </c>
      <c r="J111" s="588">
        <v>-225.052666666541</v>
      </c>
      <c r="K111" s="591">
        <v>0.1605454496</v>
      </c>
    </row>
    <row r="112" spans="1:11" ht="14.4" customHeight="1" thickBot="1" x14ac:dyDescent="0.35">
      <c r="A112" s="608" t="s">
        <v>403</v>
      </c>
      <c r="B112" s="592">
        <v>0</v>
      </c>
      <c r="C112" s="592">
        <v>58.844000000000001</v>
      </c>
      <c r="D112" s="593">
        <v>58.844000000000001</v>
      </c>
      <c r="E112" s="594" t="s">
        <v>299</v>
      </c>
      <c r="F112" s="592">
        <v>119.999999999998</v>
      </c>
      <c r="G112" s="593">
        <v>19.999999999999002</v>
      </c>
      <c r="H112" s="595">
        <v>1.2749999999999999</v>
      </c>
      <c r="I112" s="592">
        <v>6.05</v>
      </c>
      <c r="J112" s="593">
        <v>-13.949999999998999</v>
      </c>
      <c r="K112" s="600">
        <v>5.0416666665999997E-2</v>
      </c>
    </row>
    <row r="113" spans="1:11" ht="14.4" customHeight="1" thickBot="1" x14ac:dyDescent="0.35">
      <c r="A113" s="609" t="s">
        <v>404</v>
      </c>
      <c r="B113" s="587">
        <v>0</v>
      </c>
      <c r="C113" s="587">
        <v>58.844000000000001</v>
      </c>
      <c r="D113" s="588">
        <v>58.844000000000001</v>
      </c>
      <c r="E113" s="597" t="s">
        <v>299</v>
      </c>
      <c r="F113" s="587">
        <v>119.999999999998</v>
      </c>
      <c r="G113" s="588">
        <v>19.999999999999002</v>
      </c>
      <c r="H113" s="590">
        <v>1.2749999999999999</v>
      </c>
      <c r="I113" s="587">
        <v>6.05</v>
      </c>
      <c r="J113" s="588">
        <v>-13.949999999998999</v>
      </c>
      <c r="K113" s="591">
        <v>5.0416666665999997E-2</v>
      </c>
    </row>
    <row r="114" spans="1:11" ht="14.4" customHeight="1" thickBot="1" x14ac:dyDescent="0.35">
      <c r="A114" s="607" t="s">
        <v>405</v>
      </c>
      <c r="B114" s="587">
        <v>12022.987095009799</v>
      </c>
      <c r="C114" s="587">
        <v>12023.58106</v>
      </c>
      <c r="D114" s="588">
        <v>0.59396499024100002</v>
      </c>
      <c r="E114" s="589">
        <v>1.0000494024469999</v>
      </c>
      <c r="F114" s="587">
        <v>12503.2461881738</v>
      </c>
      <c r="G114" s="588">
        <v>2083.87436469563</v>
      </c>
      <c r="H114" s="590">
        <v>1016.65475</v>
      </c>
      <c r="I114" s="587">
        <v>2006.8944200000001</v>
      </c>
      <c r="J114" s="588">
        <v>-76.979944695629001</v>
      </c>
      <c r="K114" s="591">
        <v>0.16050986998</v>
      </c>
    </row>
    <row r="115" spans="1:11" ht="14.4" customHeight="1" thickBot="1" x14ac:dyDescent="0.35">
      <c r="A115" s="608" t="s">
        <v>406</v>
      </c>
      <c r="B115" s="592">
        <v>3181.99997550841</v>
      </c>
      <c r="C115" s="592">
        <v>3271.9511299999999</v>
      </c>
      <c r="D115" s="593">
        <v>89.951154491590003</v>
      </c>
      <c r="E115" s="599">
        <v>1.0282687477000001</v>
      </c>
      <c r="F115" s="592">
        <v>3310.24618817399</v>
      </c>
      <c r="G115" s="593">
        <v>551.70769802899804</v>
      </c>
      <c r="H115" s="595">
        <v>269.11399999999998</v>
      </c>
      <c r="I115" s="592">
        <v>531.24092000000098</v>
      </c>
      <c r="J115" s="593">
        <v>-20.466778028996998</v>
      </c>
      <c r="K115" s="600">
        <v>0.16048380990399999</v>
      </c>
    </row>
    <row r="116" spans="1:11" ht="14.4" customHeight="1" thickBot="1" x14ac:dyDescent="0.35">
      <c r="A116" s="609" t="s">
        <v>407</v>
      </c>
      <c r="B116" s="587">
        <v>3181.99997550841</v>
      </c>
      <c r="C116" s="587">
        <v>3271.9511299999999</v>
      </c>
      <c r="D116" s="588">
        <v>89.951154491590003</v>
      </c>
      <c r="E116" s="589">
        <v>1.0282687477000001</v>
      </c>
      <c r="F116" s="587">
        <v>3310.24618817399</v>
      </c>
      <c r="G116" s="588">
        <v>551.70769802899804</v>
      </c>
      <c r="H116" s="590">
        <v>269.11399999999998</v>
      </c>
      <c r="I116" s="587">
        <v>531.24092000000098</v>
      </c>
      <c r="J116" s="588">
        <v>-20.466778028996998</v>
      </c>
      <c r="K116" s="591">
        <v>0.16048380990399999</v>
      </c>
    </row>
    <row r="117" spans="1:11" ht="14.4" customHeight="1" thickBot="1" x14ac:dyDescent="0.35">
      <c r="A117" s="608" t="s">
        <v>408</v>
      </c>
      <c r="B117" s="592">
        <v>8840.9871195013493</v>
      </c>
      <c r="C117" s="592">
        <v>8751.6299299999991</v>
      </c>
      <c r="D117" s="593">
        <v>-89.357189501348003</v>
      </c>
      <c r="E117" s="599">
        <v>0.98989284925999999</v>
      </c>
      <c r="F117" s="592">
        <v>9192.9999999998108</v>
      </c>
      <c r="G117" s="593">
        <v>1532.1666666666399</v>
      </c>
      <c r="H117" s="595">
        <v>747.54075</v>
      </c>
      <c r="I117" s="592">
        <v>1475.6534999999999</v>
      </c>
      <c r="J117" s="593">
        <v>-56.513166666632003</v>
      </c>
      <c r="K117" s="600">
        <v>0.16051925378000001</v>
      </c>
    </row>
    <row r="118" spans="1:11" ht="14.4" customHeight="1" thickBot="1" x14ac:dyDescent="0.35">
      <c r="A118" s="609" t="s">
        <v>409</v>
      </c>
      <c r="B118" s="587">
        <v>8840.9871195013493</v>
      </c>
      <c r="C118" s="587">
        <v>8751.6299299999991</v>
      </c>
      <c r="D118" s="588">
        <v>-89.357189501348003</v>
      </c>
      <c r="E118" s="589">
        <v>0.98989284925999999</v>
      </c>
      <c r="F118" s="587">
        <v>9192.9999999998108</v>
      </c>
      <c r="G118" s="588">
        <v>1532.1666666666399</v>
      </c>
      <c r="H118" s="590">
        <v>747.54075</v>
      </c>
      <c r="I118" s="587">
        <v>1475.6534999999999</v>
      </c>
      <c r="J118" s="588">
        <v>-56.513166666632003</v>
      </c>
      <c r="K118" s="591">
        <v>0.16051925378000001</v>
      </c>
    </row>
    <row r="119" spans="1:11" ht="14.4" customHeight="1" thickBot="1" x14ac:dyDescent="0.35">
      <c r="A119" s="607" t="s">
        <v>410</v>
      </c>
      <c r="B119" s="587">
        <v>353.99999999998101</v>
      </c>
      <c r="C119" s="587">
        <v>364.13862999999998</v>
      </c>
      <c r="D119" s="588">
        <v>10.138630000019001</v>
      </c>
      <c r="E119" s="589">
        <v>1.0286401977399999</v>
      </c>
      <c r="F119" s="587">
        <v>367.99999999999301</v>
      </c>
      <c r="G119" s="588">
        <v>61.333333333332</v>
      </c>
      <c r="H119" s="590">
        <v>29.913309999999999</v>
      </c>
      <c r="I119" s="587">
        <v>59.085949999999997</v>
      </c>
      <c r="J119" s="588">
        <v>-2.2473833333309998</v>
      </c>
      <c r="K119" s="591">
        <v>0.160559646739</v>
      </c>
    </row>
    <row r="120" spans="1:11" ht="14.4" customHeight="1" thickBot="1" x14ac:dyDescent="0.35">
      <c r="A120" s="608" t="s">
        <v>411</v>
      </c>
      <c r="B120" s="592">
        <v>353.99999999998101</v>
      </c>
      <c r="C120" s="592">
        <v>364.13862999999998</v>
      </c>
      <c r="D120" s="593">
        <v>10.138630000019001</v>
      </c>
      <c r="E120" s="599">
        <v>1.0286401977399999</v>
      </c>
      <c r="F120" s="592">
        <v>367.99999999999301</v>
      </c>
      <c r="G120" s="593">
        <v>61.333333333332</v>
      </c>
      <c r="H120" s="595">
        <v>29.913309999999999</v>
      </c>
      <c r="I120" s="592">
        <v>59.085949999999997</v>
      </c>
      <c r="J120" s="593">
        <v>-2.2473833333309998</v>
      </c>
      <c r="K120" s="600">
        <v>0.160559646739</v>
      </c>
    </row>
    <row r="121" spans="1:11" ht="14.4" customHeight="1" thickBot="1" x14ac:dyDescent="0.35">
      <c r="A121" s="609" t="s">
        <v>412</v>
      </c>
      <c r="B121" s="587">
        <v>353.99999999998101</v>
      </c>
      <c r="C121" s="587">
        <v>364.13862999999998</v>
      </c>
      <c r="D121" s="588">
        <v>10.138630000019001</v>
      </c>
      <c r="E121" s="589">
        <v>1.0286401977399999</v>
      </c>
      <c r="F121" s="587">
        <v>367.99999999999301</v>
      </c>
      <c r="G121" s="588">
        <v>61.333333333332</v>
      </c>
      <c r="H121" s="590">
        <v>29.913309999999999</v>
      </c>
      <c r="I121" s="587">
        <v>59.085949999999997</v>
      </c>
      <c r="J121" s="588">
        <v>-2.2473833333309998</v>
      </c>
      <c r="K121" s="591">
        <v>0.160559646739</v>
      </c>
    </row>
    <row r="122" spans="1:11" ht="14.4" customHeight="1" thickBot="1" x14ac:dyDescent="0.35">
      <c r="A122" s="606" t="s">
        <v>413</v>
      </c>
      <c r="B122" s="587">
        <v>0</v>
      </c>
      <c r="C122" s="587">
        <v>138.71465000000001</v>
      </c>
      <c r="D122" s="588">
        <v>138.71465000000001</v>
      </c>
      <c r="E122" s="597" t="s">
        <v>299</v>
      </c>
      <c r="F122" s="587">
        <v>0</v>
      </c>
      <c r="G122" s="588">
        <v>0</v>
      </c>
      <c r="H122" s="590">
        <v>11.951000000000001</v>
      </c>
      <c r="I122" s="587">
        <v>12.180999999999999</v>
      </c>
      <c r="J122" s="588">
        <v>12.180999999999999</v>
      </c>
      <c r="K122" s="598" t="s">
        <v>299</v>
      </c>
    </row>
    <row r="123" spans="1:11" ht="14.4" customHeight="1" thickBot="1" x14ac:dyDescent="0.35">
      <c r="A123" s="607" t="s">
        <v>414</v>
      </c>
      <c r="B123" s="587">
        <v>0</v>
      </c>
      <c r="C123" s="587">
        <v>15.835000000000001</v>
      </c>
      <c r="D123" s="588">
        <v>15.835000000000001</v>
      </c>
      <c r="E123" s="597" t="s">
        <v>299</v>
      </c>
      <c r="F123" s="587">
        <v>0</v>
      </c>
      <c r="G123" s="588">
        <v>0</v>
      </c>
      <c r="H123" s="590">
        <v>4.9406564584124654E-324</v>
      </c>
      <c r="I123" s="587">
        <v>9.8813129168249309E-324</v>
      </c>
      <c r="J123" s="588">
        <v>9.8813129168249309E-324</v>
      </c>
      <c r="K123" s="598" t="s">
        <v>299</v>
      </c>
    </row>
    <row r="124" spans="1:11" ht="14.4" customHeight="1" thickBot="1" x14ac:dyDescent="0.35">
      <c r="A124" s="608" t="s">
        <v>415</v>
      </c>
      <c r="B124" s="592">
        <v>0</v>
      </c>
      <c r="C124" s="592">
        <v>15.835000000000001</v>
      </c>
      <c r="D124" s="593">
        <v>15.835000000000001</v>
      </c>
      <c r="E124" s="594" t="s">
        <v>299</v>
      </c>
      <c r="F124" s="592">
        <v>0</v>
      </c>
      <c r="G124" s="593">
        <v>0</v>
      </c>
      <c r="H124" s="595">
        <v>4.9406564584124654E-324</v>
      </c>
      <c r="I124" s="592">
        <v>9.8813129168249309E-324</v>
      </c>
      <c r="J124" s="593">
        <v>9.8813129168249309E-324</v>
      </c>
      <c r="K124" s="596" t="s">
        <v>299</v>
      </c>
    </row>
    <row r="125" spans="1:11" ht="14.4" customHeight="1" thickBot="1" x14ac:dyDescent="0.35">
      <c r="A125" s="609" t="s">
        <v>416</v>
      </c>
      <c r="B125" s="587">
        <v>0</v>
      </c>
      <c r="C125" s="587">
        <v>15.835000000000001</v>
      </c>
      <c r="D125" s="588">
        <v>15.835000000000001</v>
      </c>
      <c r="E125" s="597" t="s">
        <v>299</v>
      </c>
      <c r="F125" s="587">
        <v>0</v>
      </c>
      <c r="G125" s="588">
        <v>0</v>
      </c>
      <c r="H125" s="590">
        <v>4.9406564584124654E-324</v>
      </c>
      <c r="I125" s="587">
        <v>9.8813129168249309E-324</v>
      </c>
      <c r="J125" s="588">
        <v>9.8813129168249309E-324</v>
      </c>
      <c r="K125" s="598" t="s">
        <v>299</v>
      </c>
    </row>
    <row r="126" spans="1:11" ht="14.4" customHeight="1" thickBot="1" x14ac:dyDescent="0.35">
      <c r="A126" s="607" t="s">
        <v>417</v>
      </c>
      <c r="B126" s="587">
        <v>0</v>
      </c>
      <c r="C126" s="587">
        <v>122.87965</v>
      </c>
      <c r="D126" s="588">
        <v>122.87965</v>
      </c>
      <c r="E126" s="597" t="s">
        <v>299</v>
      </c>
      <c r="F126" s="587">
        <v>0</v>
      </c>
      <c r="G126" s="588">
        <v>0</v>
      </c>
      <c r="H126" s="590">
        <v>11.951000000000001</v>
      </c>
      <c r="I126" s="587">
        <v>12.180999999999999</v>
      </c>
      <c r="J126" s="588">
        <v>12.180999999999999</v>
      </c>
      <c r="K126" s="598" t="s">
        <v>299</v>
      </c>
    </row>
    <row r="127" spans="1:11" ht="14.4" customHeight="1" thickBot="1" x14ac:dyDescent="0.35">
      <c r="A127" s="608" t="s">
        <v>418</v>
      </c>
      <c r="B127" s="592">
        <v>0</v>
      </c>
      <c r="C127" s="592">
        <v>122.07965</v>
      </c>
      <c r="D127" s="593">
        <v>122.07965</v>
      </c>
      <c r="E127" s="594" t="s">
        <v>299</v>
      </c>
      <c r="F127" s="592">
        <v>0</v>
      </c>
      <c r="G127" s="593">
        <v>0</v>
      </c>
      <c r="H127" s="595">
        <v>11.951000000000001</v>
      </c>
      <c r="I127" s="592">
        <v>12.180999999999999</v>
      </c>
      <c r="J127" s="593">
        <v>12.180999999999999</v>
      </c>
      <c r="K127" s="596" t="s">
        <v>299</v>
      </c>
    </row>
    <row r="128" spans="1:11" ht="14.4" customHeight="1" thickBot="1" x14ac:dyDescent="0.35">
      <c r="A128" s="609" t="s">
        <v>419</v>
      </c>
      <c r="B128" s="587">
        <v>0</v>
      </c>
      <c r="C128" s="587">
        <v>6.6006499999999999</v>
      </c>
      <c r="D128" s="588">
        <v>6.6006499999999999</v>
      </c>
      <c r="E128" s="597" t="s">
        <v>299</v>
      </c>
      <c r="F128" s="587">
        <v>0</v>
      </c>
      <c r="G128" s="588">
        <v>0</v>
      </c>
      <c r="H128" s="590">
        <v>4.9406564584124654E-324</v>
      </c>
      <c r="I128" s="587">
        <v>0.23</v>
      </c>
      <c r="J128" s="588">
        <v>0.23</v>
      </c>
      <c r="K128" s="598" t="s">
        <v>299</v>
      </c>
    </row>
    <row r="129" spans="1:11" ht="14.4" customHeight="1" thickBot="1" x14ac:dyDescent="0.35">
      <c r="A129" s="609" t="s">
        <v>420</v>
      </c>
      <c r="B129" s="587">
        <v>4.9406564584124654E-324</v>
      </c>
      <c r="C129" s="587">
        <v>32.246000000000002</v>
      </c>
      <c r="D129" s="588">
        <v>32.246000000000002</v>
      </c>
      <c r="E129" s="597" t="s">
        <v>305</v>
      </c>
      <c r="F129" s="587">
        <v>0</v>
      </c>
      <c r="G129" s="588">
        <v>0</v>
      </c>
      <c r="H129" s="590">
        <v>4.9406564584124654E-324</v>
      </c>
      <c r="I129" s="587">
        <v>9.8813129168249309E-324</v>
      </c>
      <c r="J129" s="588">
        <v>9.8813129168249309E-324</v>
      </c>
      <c r="K129" s="598" t="s">
        <v>299</v>
      </c>
    </row>
    <row r="130" spans="1:11" ht="14.4" customHeight="1" thickBot="1" x14ac:dyDescent="0.35">
      <c r="A130" s="609" t="s">
        <v>421</v>
      </c>
      <c r="B130" s="587">
        <v>0</v>
      </c>
      <c r="C130" s="587">
        <v>83.233000000000004</v>
      </c>
      <c r="D130" s="588">
        <v>83.233000000000004</v>
      </c>
      <c r="E130" s="597" t="s">
        <v>299</v>
      </c>
      <c r="F130" s="587">
        <v>0</v>
      </c>
      <c r="G130" s="588">
        <v>0</v>
      </c>
      <c r="H130" s="590">
        <v>11.951000000000001</v>
      </c>
      <c r="I130" s="587">
        <v>11.951000000000001</v>
      </c>
      <c r="J130" s="588">
        <v>11.951000000000001</v>
      </c>
      <c r="K130" s="598" t="s">
        <v>299</v>
      </c>
    </row>
    <row r="131" spans="1:11" ht="14.4" customHeight="1" thickBot="1" x14ac:dyDescent="0.35">
      <c r="A131" s="611" t="s">
        <v>422</v>
      </c>
      <c r="B131" s="587">
        <v>4.9406564584124654E-324</v>
      </c>
      <c r="C131" s="587">
        <v>0.8</v>
      </c>
      <c r="D131" s="588">
        <v>0.8</v>
      </c>
      <c r="E131" s="597" t="s">
        <v>305</v>
      </c>
      <c r="F131" s="587">
        <v>0</v>
      </c>
      <c r="G131" s="588">
        <v>0</v>
      </c>
      <c r="H131" s="590">
        <v>4.9406564584124654E-324</v>
      </c>
      <c r="I131" s="587">
        <v>9.8813129168249309E-324</v>
      </c>
      <c r="J131" s="588">
        <v>9.8813129168249309E-324</v>
      </c>
      <c r="K131" s="598" t="s">
        <v>299</v>
      </c>
    </row>
    <row r="132" spans="1:11" ht="14.4" customHeight="1" thickBot="1" x14ac:dyDescent="0.35">
      <c r="A132" s="609" t="s">
        <v>423</v>
      </c>
      <c r="B132" s="587">
        <v>4.9406564584124654E-324</v>
      </c>
      <c r="C132" s="587">
        <v>0.8</v>
      </c>
      <c r="D132" s="588">
        <v>0.8</v>
      </c>
      <c r="E132" s="597" t="s">
        <v>305</v>
      </c>
      <c r="F132" s="587">
        <v>0</v>
      </c>
      <c r="G132" s="588">
        <v>0</v>
      </c>
      <c r="H132" s="590">
        <v>4.9406564584124654E-324</v>
      </c>
      <c r="I132" s="587">
        <v>9.8813129168249309E-324</v>
      </c>
      <c r="J132" s="588">
        <v>9.8813129168249309E-324</v>
      </c>
      <c r="K132" s="598" t="s">
        <v>299</v>
      </c>
    </row>
    <row r="133" spans="1:11" ht="14.4" customHeight="1" thickBot="1" x14ac:dyDescent="0.35">
      <c r="A133" s="606" t="s">
        <v>424</v>
      </c>
      <c r="B133" s="587">
        <v>5763.9999999996799</v>
      </c>
      <c r="C133" s="587">
        <v>6911.0774300000103</v>
      </c>
      <c r="D133" s="588">
        <v>1147.07743000032</v>
      </c>
      <c r="E133" s="589">
        <v>1.199007187716</v>
      </c>
      <c r="F133" s="587">
        <v>6443.9826655916104</v>
      </c>
      <c r="G133" s="588">
        <v>1073.9971109319399</v>
      </c>
      <c r="H133" s="590">
        <v>538.40700000000004</v>
      </c>
      <c r="I133" s="587">
        <v>1064.068</v>
      </c>
      <c r="J133" s="588">
        <v>-9.9291109319319997</v>
      </c>
      <c r="K133" s="591">
        <v>0.165125832147</v>
      </c>
    </row>
    <row r="134" spans="1:11" ht="14.4" customHeight="1" thickBot="1" x14ac:dyDescent="0.35">
      <c r="A134" s="607" t="s">
        <v>425</v>
      </c>
      <c r="B134" s="587">
        <v>5763.9999999996799</v>
      </c>
      <c r="C134" s="587">
        <v>5626.6049999999996</v>
      </c>
      <c r="D134" s="588">
        <v>-137.394999999681</v>
      </c>
      <c r="E134" s="589">
        <v>0.976163254684</v>
      </c>
      <c r="F134" s="587">
        <v>6443.9826655916104</v>
      </c>
      <c r="G134" s="588">
        <v>1073.9971109319399</v>
      </c>
      <c r="H134" s="590">
        <v>538.40700000000004</v>
      </c>
      <c r="I134" s="587">
        <v>1064.068</v>
      </c>
      <c r="J134" s="588">
        <v>-9.9291109319319997</v>
      </c>
      <c r="K134" s="591">
        <v>0.165125832147</v>
      </c>
    </row>
    <row r="135" spans="1:11" ht="14.4" customHeight="1" thickBot="1" x14ac:dyDescent="0.35">
      <c r="A135" s="608" t="s">
        <v>426</v>
      </c>
      <c r="B135" s="592">
        <v>5763.9999999996799</v>
      </c>
      <c r="C135" s="592">
        <v>5626.6049999999996</v>
      </c>
      <c r="D135" s="593">
        <v>-137.394999999681</v>
      </c>
      <c r="E135" s="599">
        <v>0.976163254684</v>
      </c>
      <c r="F135" s="592">
        <v>6443.9826655916104</v>
      </c>
      <c r="G135" s="593">
        <v>1073.9971109319399</v>
      </c>
      <c r="H135" s="595">
        <v>538.40700000000004</v>
      </c>
      <c r="I135" s="592">
        <v>1064.068</v>
      </c>
      <c r="J135" s="593">
        <v>-9.9291109319319997</v>
      </c>
      <c r="K135" s="600">
        <v>0.165125832147</v>
      </c>
    </row>
    <row r="136" spans="1:11" ht="14.4" customHeight="1" thickBot="1" x14ac:dyDescent="0.35">
      <c r="A136" s="609" t="s">
        <v>427</v>
      </c>
      <c r="B136" s="587">
        <v>43.999999999997002</v>
      </c>
      <c r="C136" s="587">
        <v>44.04</v>
      </c>
      <c r="D136" s="588">
        <v>4.0000000001999998E-2</v>
      </c>
      <c r="E136" s="589">
        <v>1.0009090909089999</v>
      </c>
      <c r="F136" s="587">
        <v>43.999999999998998</v>
      </c>
      <c r="G136" s="588">
        <v>7.333333333333</v>
      </c>
      <c r="H136" s="590">
        <v>3.67</v>
      </c>
      <c r="I136" s="587">
        <v>7.34</v>
      </c>
      <c r="J136" s="588">
        <v>6.6666666659999999E-3</v>
      </c>
      <c r="K136" s="591">
        <v>0.16681818181800001</v>
      </c>
    </row>
    <row r="137" spans="1:11" ht="14.4" customHeight="1" thickBot="1" x14ac:dyDescent="0.35">
      <c r="A137" s="609" t="s">
        <v>428</v>
      </c>
      <c r="B137" s="587">
        <v>407.999999999978</v>
      </c>
      <c r="C137" s="587">
        <v>417.54599999999999</v>
      </c>
      <c r="D137" s="588">
        <v>9.5460000000219996</v>
      </c>
      <c r="E137" s="589">
        <v>1.0233970588229999</v>
      </c>
      <c r="F137" s="587">
        <v>444.98232024859902</v>
      </c>
      <c r="G137" s="588">
        <v>74.163720041432995</v>
      </c>
      <c r="H137" s="590">
        <v>37.351999999999997</v>
      </c>
      <c r="I137" s="587">
        <v>74.477000000000004</v>
      </c>
      <c r="J137" s="588">
        <v>0.31327995856599999</v>
      </c>
      <c r="K137" s="591">
        <v>0.167370694544</v>
      </c>
    </row>
    <row r="138" spans="1:11" ht="14.4" customHeight="1" thickBot="1" x14ac:dyDescent="0.35">
      <c r="A138" s="609" t="s">
        <v>429</v>
      </c>
      <c r="B138" s="587">
        <v>1734.99999999991</v>
      </c>
      <c r="C138" s="587">
        <v>1651.0329999999999</v>
      </c>
      <c r="D138" s="588">
        <v>-83.966999999904004</v>
      </c>
      <c r="E138" s="589">
        <v>0.95160403458200005</v>
      </c>
      <c r="F138" s="587">
        <v>1831.99999999997</v>
      </c>
      <c r="G138" s="588">
        <v>305.33333333332803</v>
      </c>
      <c r="H138" s="590">
        <v>153.048</v>
      </c>
      <c r="I138" s="587">
        <v>303.42000000000098</v>
      </c>
      <c r="J138" s="588">
        <v>-1.9133333333260001</v>
      </c>
      <c r="K138" s="591">
        <v>0.16562227074200001</v>
      </c>
    </row>
    <row r="139" spans="1:11" ht="14.4" customHeight="1" thickBot="1" x14ac:dyDescent="0.35">
      <c r="A139" s="609" t="s">
        <v>430</v>
      </c>
      <c r="B139" s="587">
        <v>55.999999999996</v>
      </c>
      <c r="C139" s="587">
        <v>56.4</v>
      </c>
      <c r="D139" s="588">
        <v>0.40000000000300001</v>
      </c>
      <c r="E139" s="589">
        <v>1.007142857142</v>
      </c>
      <c r="F139" s="587">
        <v>56.00046852162</v>
      </c>
      <c r="G139" s="588">
        <v>9.33341142027</v>
      </c>
      <c r="H139" s="590">
        <v>4.7</v>
      </c>
      <c r="I139" s="587">
        <v>9.4</v>
      </c>
      <c r="J139" s="588">
        <v>6.6588579728999994E-2</v>
      </c>
      <c r="K139" s="591">
        <v>0.16785573849900001</v>
      </c>
    </row>
    <row r="140" spans="1:11" ht="14.4" customHeight="1" thickBot="1" x14ac:dyDescent="0.35">
      <c r="A140" s="609" t="s">
        <v>431</v>
      </c>
      <c r="B140" s="587">
        <v>249.99999999998599</v>
      </c>
      <c r="C140" s="587">
        <v>249.57599999999999</v>
      </c>
      <c r="D140" s="588">
        <v>-0.42399999998600002</v>
      </c>
      <c r="E140" s="589">
        <v>0.99830399999999997</v>
      </c>
      <c r="F140" s="587">
        <v>249.999999999995</v>
      </c>
      <c r="G140" s="588">
        <v>41.666666666665002</v>
      </c>
      <c r="H140" s="590">
        <v>20.797999999999998</v>
      </c>
      <c r="I140" s="587">
        <v>41.595999999999997</v>
      </c>
      <c r="J140" s="588">
        <v>-7.0666666665000002E-2</v>
      </c>
      <c r="K140" s="591">
        <v>0.166384</v>
      </c>
    </row>
    <row r="141" spans="1:11" ht="14.4" customHeight="1" thickBot="1" x14ac:dyDescent="0.35">
      <c r="A141" s="609" t="s">
        <v>432</v>
      </c>
      <c r="B141" s="587">
        <v>62.999999999996</v>
      </c>
      <c r="C141" s="587">
        <v>22.295000000000002</v>
      </c>
      <c r="D141" s="588">
        <v>-40.704999999995998</v>
      </c>
      <c r="E141" s="589">
        <v>0.35388888888800002</v>
      </c>
      <c r="F141" s="587">
        <v>9.9998768214999991</v>
      </c>
      <c r="G141" s="588">
        <v>1.6666461369159999</v>
      </c>
      <c r="H141" s="590">
        <v>0.75900000000000001</v>
      </c>
      <c r="I141" s="587">
        <v>1.516</v>
      </c>
      <c r="J141" s="588">
        <v>-0.15064613691600001</v>
      </c>
      <c r="K141" s="591">
        <v>0.151601867409</v>
      </c>
    </row>
    <row r="142" spans="1:11" ht="14.4" customHeight="1" thickBot="1" x14ac:dyDescent="0.35">
      <c r="A142" s="609" t="s">
        <v>433</v>
      </c>
      <c r="B142" s="587">
        <v>3201.9999999998199</v>
      </c>
      <c r="C142" s="587">
        <v>3180.087</v>
      </c>
      <c r="D142" s="588">
        <v>-21.912999999821999</v>
      </c>
      <c r="E142" s="589">
        <v>0.99315646470899999</v>
      </c>
      <c r="F142" s="587">
        <v>3800.99999999993</v>
      </c>
      <c r="G142" s="588">
        <v>633.49999999998897</v>
      </c>
      <c r="H142" s="590">
        <v>317.61099999999999</v>
      </c>
      <c r="I142" s="587">
        <v>625.38100000000099</v>
      </c>
      <c r="J142" s="588">
        <v>-8.1189999999870004</v>
      </c>
      <c r="K142" s="591">
        <v>0.164530649828</v>
      </c>
    </row>
    <row r="143" spans="1:11" ht="14.4" customHeight="1" thickBot="1" x14ac:dyDescent="0.35">
      <c r="A143" s="609" t="s">
        <v>434</v>
      </c>
      <c r="B143" s="587">
        <v>5.9999999999989999</v>
      </c>
      <c r="C143" s="587">
        <v>5.6280000000000001</v>
      </c>
      <c r="D143" s="588">
        <v>-0.37199999999900002</v>
      </c>
      <c r="E143" s="589">
        <v>0.93799999999999994</v>
      </c>
      <c r="F143" s="587">
        <v>5.9999999999989999</v>
      </c>
      <c r="G143" s="588">
        <v>0.99999999999900002</v>
      </c>
      <c r="H143" s="590">
        <v>0.46899999999999997</v>
      </c>
      <c r="I143" s="587">
        <v>0.93799999999999994</v>
      </c>
      <c r="J143" s="588">
        <v>-6.1999999999000001E-2</v>
      </c>
      <c r="K143" s="591">
        <v>0.15633333333300001</v>
      </c>
    </row>
    <row r="144" spans="1:11" ht="14.4" customHeight="1" thickBot="1" x14ac:dyDescent="0.35">
      <c r="A144" s="607" t="s">
        <v>435</v>
      </c>
      <c r="B144" s="587">
        <v>0</v>
      </c>
      <c r="C144" s="587">
        <v>1284.47243</v>
      </c>
      <c r="D144" s="588">
        <v>1284.47243</v>
      </c>
      <c r="E144" s="597" t="s">
        <v>299</v>
      </c>
      <c r="F144" s="587">
        <v>0</v>
      </c>
      <c r="G144" s="588">
        <v>0</v>
      </c>
      <c r="H144" s="590">
        <v>4.9406564584124654E-324</v>
      </c>
      <c r="I144" s="587">
        <v>9.8813129168249309E-324</v>
      </c>
      <c r="J144" s="588">
        <v>9.8813129168249309E-324</v>
      </c>
      <c r="K144" s="598" t="s">
        <v>299</v>
      </c>
    </row>
    <row r="145" spans="1:11" ht="14.4" customHeight="1" thickBot="1" x14ac:dyDescent="0.35">
      <c r="A145" s="608" t="s">
        <v>436</v>
      </c>
      <c r="B145" s="592">
        <v>0</v>
      </c>
      <c r="C145" s="592">
        <v>947.88435000000402</v>
      </c>
      <c r="D145" s="593">
        <v>947.88435000000402</v>
      </c>
      <c r="E145" s="594" t="s">
        <v>299</v>
      </c>
      <c r="F145" s="592">
        <v>0</v>
      </c>
      <c r="G145" s="593">
        <v>0</v>
      </c>
      <c r="H145" s="595">
        <v>4.9406564584124654E-324</v>
      </c>
      <c r="I145" s="592">
        <v>9.8813129168249309E-324</v>
      </c>
      <c r="J145" s="593">
        <v>9.8813129168249309E-324</v>
      </c>
      <c r="K145" s="596" t="s">
        <v>299</v>
      </c>
    </row>
    <row r="146" spans="1:11" ht="14.4" customHeight="1" thickBot="1" x14ac:dyDescent="0.35">
      <c r="A146" s="609" t="s">
        <v>437</v>
      </c>
      <c r="B146" s="587">
        <v>0</v>
      </c>
      <c r="C146" s="587">
        <v>575.916770000003</v>
      </c>
      <c r="D146" s="588">
        <v>575.916770000003</v>
      </c>
      <c r="E146" s="597" t="s">
        <v>299</v>
      </c>
      <c r="F146" s="587">
        <v>0</v>
      </c>
      <c r="G146" s="588">
        <v>0</v>
      </c>
      <c r="H146" s="590">
        <v>4.9406564584124654E-324</v>
      </c>
      <c r="I146" s="587">
        <v>9.8813129168249309E-324</v>
      </c>
      <c r="J146" s="588">
        <v>9.8813129168249309E-324</v>
      </c>
      <c r="K146" s="598" t="s">
        <v>299</v>
      </c>
    </row>
    <row r="147" spans="1:11" ht="14.4" customHeight="1" thickBot="1" x14ac:dyDescent="0.35">
      <c r="A147" s="609" t="s">
        <v>438</v>
      </c>
      <c r="B147" s="587">
        <v>0</v>
      </c>
      <c r="C147" s="587">
        <v>371.96758000000102</v>
      </c>
      <c r="D147" s="588">
        <v>371.96758000000102</v>
      </c>
      <c r="E147" s="597" t="s">
        <v>299</v>
      </c>
      <c r="F147" s="587">
        <v>0</v>
      </c>
      <c r="G147" s="588">
        <v>0</v>
      </c>
      <c r="H147" s="590">
        <v>4.9406564584124654E-324</v>
      </c>
      <c r="I147" s="587">
        <v>9.8813129168249309E-324</v>
      </c>
      <c r="J147" s="588">
        <v>9.8813129168249309E-324</v>
      </c>
      <c r="K147" s="598" t="s">
        <v>299</v>
      </c>
    </row>
    <row r="148" spans="1:11" ht="14.4" customHeight="1" thickBot="1" x14ac:dyDescent="0.35">
      <c r="A148" s="608" t="s">
        <v>439</v>
      </c>
      <c r="B148" s="592">
        <v>0</v>
      </c>
      <c r="C148" s="592">
        <v>21.581499999999998</v>
      </c>
      <c r="D148" s="593">
        <v>21.581499999999998</v>
      </c>
      <c r="E148" s="594" t="s">
        <v>299</v>
      </c>
      <c r="F148" s="592">
        <v>0</v>
      </c>
      <c r="G148" s="593">
        <v>0</v>
      </c>
      <c r="H148" s="595">
        <v>4.9406564584124654E-324</v>
      </c>
      <c r="I148" s="592">
        <v>9.8813129168249309E-324</v>
      </c>
      <c r="J148" s="593">
        <v>9.8813129168249309E-324</v>
      </c>
      <c r="K148" s="596" t="s">
        <v>299</v>
      </c>
    </row>
    <row r="149" spans="1:11" ht="14.4" customHeight="1" thickBot="1" x14ac:dyDescent="0.35">
      <c r="A149" s="609" t="s">
        <v>440</v>
      </c>
      <c r="B149" s="587">
        <v>4.9406564584124654E-324</v>
      </c>
      <c r="C149" s="587">
        <v>3.3</v>
      </c>
      <c r="D149" s="588">
        <v>3.3</v>
      </c>
      <c r="E149" s="597" t="s">
        <v>305</v>
      </c>
      <c r="F149" s="587">
        <v>0</v>
      </c>
      <c r="G149" s="588">
        <v>0</v>
      </c>
      <c r="H149" s="590">
        <v>4.9406564584124654E-324</v>
      </c>
      <c r="I149" s="587">
        <v>9.8813129168249309E-324</v>
      </c>
      <c r="J149" s="588">
        <v>9.8813129168249309E-324</v>
      </c>
      <c r="K149" s="598" t="s">
        <v>299</v>
      </c>
    </row>
    <row r="150" spans="1:11" ht="14.4" customHeight="1" thickBot="1" x14ac:dyDescent="0.35">
      <c r="A150" s="609" t="s">
        <v>441</v>
      </c>
      <c r="B150" s="587">
        <v>0</v>
      </c>
      <c r="C150" s="587">
        <v>18.281500000000001</v>
      </c>
      <c r="D150" s="588">
        <v>18.281500000000001</v>
      </c>
      <c r="E150" s="597" t="s">
        <v>299</v>
      </c>
      <c r="F150" s="587">
        <v>0</v>
      </c>
      <c r="G150" s="588">
        <v>0</v>
      </c>
      <c r="H150" s="590">
        <v>4.9406564584124654E-324</v>
      </c>
      <c r="I150" s="587">
        <v>9.8813129168249309E-324</v>
      </c>
      <c r="J150" s="588">
        <v>9.8813129168249309E-324</v>
      </c>
      <c r="K150" s="598" t="s">
        <v>299</v>
      </c>
    </row>
    <row r="151" spans="1:11" ht="14.4" customHeight="1" thickBot="1" x14ac:dyDescent="0.35">
      <c r="A151" s="608" t="s">
        <v>442</v>
      </c>
      <c r="B151" s="592">
        <v>0</v>
      </c>
      <c r="C151" s="592">
        <v>276.53320000000002</v>
      </c>
      <c r="D151" s="593">
        <v>276.53320000000002</v>
      </c>
      <c r="E151" s="594" t="s">
        <v>299</v>
      </c>
      <c r="F151" s="592">
        <v>0</v>
      </c>
      <c r="G151" s="593">
        <v>0</v>
      </c>
      <c r="H151" s="595">
        <v>4.9406564584124654E-324</v>
      </c>
      <c r="I151" s="592">
        <v>9.8813129168249309E-324</v>
      </c>
      <c r="J151" s="593">
        <v>9.8813129168249309E-324</v>
      </c>
      <c r="K151" s="596" t="s">
        <v>299</v>
      </c>
    </row>
    <row r="152" spans="1:11" ht="14.4" customHeight="1" thickBot="1" x14ac:dyDescent="0.35">
      <c r="A152" s="609" t="s">
        <v>443</v>
      </c>
      <c r="B152" s="587">
        <v>0</v>
      </c>
      <c r="C152" s="587">
        <v>276.53320000000002</v>
      </c>
      <c r="D152" s="588">
        <v>276.53320000000002</v>
      </c>
      <c r="E152" s="597" t="s">
        <v>299</v>
      </c>
      <c r="F152" s="587">
        <v>0</v>
      </c>
      <c r="G152" s="588">
        <v>0</v>
      </c>
      <c r="H152" s="590">
        <v>4.9406564584124654E-324</v>
      </c>
      <c r="I152" s="587">
        <v>9.8813129168249309E-324</v>
      </c>
      <c r="J152" s="588">
        <v>9.8813129168249309E-324</v>
      </c>
      <c r="K152" s="598" t="s">
        <v>299</v>
      </c>
    </row>
    <row r="153" spans="1:11" ht="14.4" customHeight="1" thickBot="1" x14ac:dyDescent="0.35">
      <c r="A153" s="608" t="s">
        <v>444</v>
      </c>
      <c r="B153" s="592">
        <v>0</v>
      </c>
      <c r="C153" s="592">
        <v>38.473379999999999</v>
      </c>
      <c r="D153" s="593">
        <v>38.473379999999999</v>
      </c>
      <c r="E153" s="594" t="s">
        <v>299</v>
      </c>
      <c r="F153" s="592">
        <v>0</v>
      </c>
      <c r="G153" s="593">
        <v>0</v>
      </c>
      <c r="H153" s="595">
        <v>4.9406564584124654E-324</v>
      </c>
      <c r="I153" s="592">
        <v>9.8813129168249309E-324</v>
      </c>
      <c r="J153" s="593">
        <v>9.8813129168249309E-324</v>
      </c>
      <c r="K153" s="596" t="s">
        <v>299</v>
      </c>
    </row>
    <row r="154" spans="1:11" ht="14.4" customHeight="1" thickBot="1" x14ac:dyDescent="0.35">
      <c r="A154" s="609" t="s">
        <v>445</v>
      </c>
      <c r="B154" s="587">
        <v>0</v>
      </c>
      <c r="C154" s="587">
        <v>12.54438</v>
      </c>
      <c r="D154" s="588">
        <v>12.54438</v>
      </c>
      <c r="E154" s="597" t="s">
        <v>299</v>
      </c>
      <c r="F154" s="587">
        <v>0</v>
      </c>
      <c r="G154" s="588">
        <v>0</v>
      </c>
      <c r="H154" s="590">
        <v>4.9406564584124654E-324</v>
      </c>
      <c r="I154" s="587">
        <v>9.8813129168249309E-324</v>
      </c>
      <c r="J154" s="588">
        <v>9.8813129168249309E-324</v>
      </c>
      <c r="K154" s="598" t="s">
        <v>299</v>
      </c>
    </row>
    <row r="155" spans="1:11" ht="14.4" customHeight="1" thickBot="1" x14ac:dyDescent="0.35">
      <c r="A155" s="609" t="s">
        <v>446</v>
      </c>
      <c r="B155" s="587">
        <v>0</v>
      </c>
      <c r="C155" s="587">
        <v>25.928999999999998</v>
      </c>
      <c r="D155" s="588">
        <v>25.928999999999998</v>
      </c>
      <c r="E155" s="597" t="s">
        <v>299</v>
      </c>
      <c r="F155" s="587">
        <v>0</v>
      </c>
      <c r="G155" s="588">
        <v>0</v>
      </c>
      <c r="H155" s="590">
        <v>4.9406564584124654E-324</v>
      </c>
      <c r="I155" s="587">
        <v>9.8813129168249309E-324</v>
      </c>
      <c r="J155" s="588">
        <v>9.8813129168249309E-324</v>
      </c>
      <c r="K155" s="598" t="s">
        <v>299</v>
      </c>
    </row>
    <row r="156" spans="1:11" ht="14.4" customHeight="1" thickBot="1" x14ac:dyDescent="0.35">
      <c r="A156" s="605" t="s">
        <v>447</v>
      </c>
      <c r="B156" s="587">
        <v>108431.272630926</v>
      </c>
      <c r="C156" s="587">
        <v>114609.89255</v>
      </c>
      <c r="D156" s="588">
        <v>6178.6199190739299</v>
      </c>
      <c r="E156" s="589">
        <v>1.0569818998630001</v>
      </c>
      <c r="F156" s="587">
        <v>119219.775814402</v>
      </c>
      <c r="G156" s="588">
        <v>19869.962635733598</v>
      </c>
      <c r="H156" s="590">
        <v>9050.9814999999999</v>
      </c>
      <c r="I156" s="587">
        <v>14863.63018</v>
      </c>
      <c r="J156" s="588">
        <v>-5006.33245573364</v>
      </c>
      <c r="K156" s="591">
        <v>0.12467420005099999</v>
      </c>
    </row>
    <row r="157" spans="1:11" ht="14.4" customHeight="1" thickBot="1" x14ac:dyDescent="0.35">
      <c r="A157" s="606" t="s">
        <v>448</v>
      </c>
      <c r="B157" s="587">
        <v>106387.23886912101</v>
      </c>
      <c r="C157" s="587">
        <v>113777.16512999999</v>
      </c>
      <c r="D157" s="588">
        <v>7389.9262608786203</v>
      </c>
      <c r="E157" s="589">
        <v>1.069462525199</v>
      </c>
      <c r="F157" s="587">
        <v>119041.328350389</v>
      </c>
      <c r="G157" s="588">
        <v>19840.221391731498</v>
      </c>
      <c r="H157" s="590">
        <v>9046.8485799999999</v>
      </c>
      <c r="I157" s="587">
        <v>14859.49626</v>
      </c>
      <c r="J157" s="588">
        <v>-4980.7251317314704</v>
      </c>
      <c r="K157" s="591">
        <v>0.12482636464000001</v>
      </c>
    </row>
    <row r="158" spans="1:11" ht="14.4" customHeight="1" thickBot="1" x14ac:dyDescent="0.35">
      <c r="A158" s="607" t="s">
        <v>449</v>
      </c>
      <c r="B158" s="587">
        <v>106387.23886912101</v>
      </c>
      <c r="C158" s="587">
        <v>113777.16512999999</v>
      </c>
      <c r="D158" s="588">
        <v>7389.9262608786203</v>
      </c>
      <c r="E158" s="589">
        <v>1.069462525199</v>
      </c>
      <c r="F158" s="587">
        <v>119041.328350389</v>
      </c>
      <c r="G158" s="588">
        <v>19840.221391731498</v>
      </c>
      <c r="H158" s="590">
        <v>9046.8485799999999</v>
      </c>
      <c r="I158" s="587">
        <v>14859.49626</v>
      </c>
      <c r="J158" s="588">
        <v>-4980.7251317314704</v>
      </c>
      <c r="K158" s="591">
        <v>0.12482636464000001</v>
      </c>
    </row>
    <row r="159" spans="1:11" ht="14.4" customHeight="1" thickBot="1" x14ac:dyDescent="0.35">
      <c r="A159" s="608" t="s">
        <v>450</v>
      </c>
      <c r="B159" s="592">
        <v>2.8354116334900001</v>
      </c>
      <c r="C159" s="592">
        <v>12.44195</v>
      </c>
      <c r="D159" s="593">
        <v>9.6065383665089996</v>
      </c>
      <c r="E159" s="599">
        <v>4.3880577525459996</v>
      </c>
      <c r="F159" s="592">
        <v>14.328517349527999</v>
      </c>
      <c r="G159" s="593">
        <v>2.388086224921</v>
      </c>
      <c r="H159" s="595">
        <v>0.11570999999999999</v>
      </c>
      <c r="I159" s="592">
        <v>0.39671000000000001</v>
      </c>
      <c r="J159" s="593">
        <v>-1.9913762249210001</v>
      </c>
      <c r="K159" s="600">
        <v>2.7686744575000002E-2</v>
      </c>
    </row>
    <row r="160" spans="1:11" ht="14.4" customHeight="1" thickBot="1" x14ac:dyDescent="0.35">
      <c r="A160" s="609" t="s">
        <v>451</v>
      </c>
      <c r="B160" s="587">
        <v>1.631166515551</v>
      </c>
      <c r="C160" s="587">
        <v>0.63775000000000004</v>
      </c>
      <c r="D160" s="588">
        <v>-0.99341651555099997</v>
      </c>
      <c r="E160" s="589">
        <v>0.39097786395099998</v>
      </c>
      <c r="F160" s="587">
        <v>0.73321858361900005</v>
      </c>
      <c r="G160" s="588">
        <v>0.122203097269</v>
      </c>
      <c r="H160" s="590">
        <v>5.62E-2</v>
      </c>
      <c r="I160" s="587">
        <v>0.17191000000000001</v>
      </c>
      <c r="J160" s="588">
        <v>4.9706902730000002E-2</v>
      </c>
      <c r="K160" s="591">
        <v>0.23445941475099999</v>
      </c>
    </row>
    <row r="161" spans="1:11" ht="14.4" customHeight="1" thickBot="1" x14ac:dyDescent="0.35">
      <c r="A161" s="609" t="s">
        <v>452</v>
      </c>
      <c r="B161" s="587">
        <v>0.88472804227799995</v>
      </c>
      <c r="C161" s="587">
        <v>1.2882</v>
      </c>
      <c r="D161" s="588">
        <v>0.40347195772099997</v>
      </c>
      <c r="E161" s="589">
        <v>1.4560406570619999</v>
      </c>
      <c r="F161" s="587">
        <v>1.3690301538880001</v>
      </c>
      <c r="G161" s="588">
        <v>0.228171692314</v>
      </c>
      <c r="H161" s="590">
        <v>4.9406564584124654E-324</v>
      </c>
      <c r="I161" s="587">
        <v>9.8813129168249309E-324</v>
      </c>
      <c r="J161" s="588">
        <v>-0.228171692314</v>
      </c>
      <c r="K161" s="591">
        <v>4.9406564584124654E-324</v>
      </c>
    </row>
    <row r="162" spans="1:11" ht="14.4" customHeight="1" thickBot="1" x14ac:dyDescent="0.35">
      <c r="A162" s="609" t="s">
        <v>453</v>
      </c>
      <c r="B162" s="587">
        <v>4.9406564584124654E-324</v>
      </c>
      <c r="C162" s="587">
        <v>10.0518</v>
      </c>
      <c r="D162" s="588">
        <v>10.0518</v>
      </c>
      <c r="E162" s="597" t="s">
        <v>305</v>
      </c>
      <c r="F162" s="587">
        <v>11.72244428916</v>
      </c>
      <c r="G162" s="588">
        <v>1.9537407148599999</v>
      </c>
      <c r="H162" s="590">
        <v>4.9406564584124654E-324</v>
      </c>
      <c r="I162" s="587">
        <v>9.8813129168249309E-324</v>
      </c>
      <c r="J162" s="588">
        <v>-1.9537407148599999</v>
      </c>
      <c r="K162" s="591">
        <v>0</v>
      </c>
    </row>
    <row r="163" spans="1:11" ht="14.4" customHeight="1" thickBot="1" x14ac:dyDescent="0.35">
      <c r="A163" s="609" t="s">
        <v>454</v>
      </c>
      <c r="B163" s="587">
        <v>0.31951707565999998</v>
      </c>
      <c r="C163" s="587">
        <v>0.4642</v>
      </c>
      <c r="D163" s="588">
        <v>0.14468292433900001</v>
      </c>
      <c r="E163" s="589">
        <v>1.452817502914</v>
      </c>
      <c r="F163" s="587">
        <v>0.50382432286000001</v>
      </c>
      <c r="G163" s="588">
        <v>8.3970720476000002E-2</v>
      </c>
      <c r="H163" s="590">
        <v>5.951E-2</v>
      </c>
      <c r="I163" s="587">
        <v>0.2248</v>
      </c>
      <c r="J163" s="588">
        <v>0.14082927952300001</v>
      </c>
      <c r="K163" s="591">
        <v>0.44618727163400002</v>
      </c>
    </row>
    <row r="164" spans="1:11" ht="14.4" customHeight="1" thickBot="1" x14ac:dyDescent="0.35">
      <c r="A164" s="608" t="s">
        <v>455</v>
      </c>
      <c r="B164" s="592">
        <v>635.00499870304395</v>
      </c>
      <c r="C164" s="592">
        <v>263.73451</v>
      </c>
      <c r="D164" s="593">
        <v>-371.27048870304401</v>
      </c>
      <c r="E164" s="599">
        <v>0.41532666756699999</v>
      </c>
      <c r="F164" s="592">
        <v>0</v>
      </c>
      <c r="G164" s="593">
        <v>0</v>
      </c>
      <c r="H164" s="595">
        <v>8.1999999999999998E-4</v>
      </c>
      <c r="I164" s="592">
        <v>1.5150600000000001</v>
      </c>
      <c r="J164" s="593">
        <v>1.5150600000000001</v>
      </c>
      <c r="K164" s="596" t="s">
        <v>299</v>
      </c>
    </row>
    <row r="165" spans="1:11" ht="14.4" customHeight="1" thickBot="1" x14ac:dyDescent="0.35">
      <c r="A165" s="609" t="s">
        <v>456</v>
      </c>
      <c r="B165" s="587">
        <v>364.00507710360802</v>
      </c>
      <c r="C165" s="587">
        <v>263.73451</v>
      </c>
      <c r="D165" s="588">
        <v>-100.270567103608</v>
      </c>
      <c r="E165" s="589">
        <v>0.72453525126200002</v>
      </c>
      <c r="F165" s="587">
        <v>0</v>
      </c>
      <c r="G165" s="588">
        <v>0</v>
      </c>
      <c r="H165" s="590">
        <v>8.1999999999999998E-4</v>
      </c>
      <c r="I165" s="587">
        <v>1.5150600000000001</v>
      </c>
      <c r="J165" s="588">
        <v>1.5150600000000001</v>
      </c>
      <c r="K165" s="598" t="s">
        <v>299</v>
      </c>
    </row>
    <row r="166" spans="1:11" ht="14.4" customHeight="1" thickBot="1" x14ac:dyDescent="0.35">
      <c r="A166" s="608" t="s">
        <v>457</v>
      </c>
      <c r="B166" s="592">
        <v>0.39881034270100002</v>
      </c>
      <c r="C166" s="592">
        <v>-9.9180000000000004E-2</v>
      </c>
      <c r="D166" s="593">
        <v>-0.49799034270100001</v>
      </c>
      <c r="E166" s="599">
        <v>-0.24868963860900001</v>
      </c>
      <c r="F166" s="592">
        <v>24.999833039230001</v>
      </c>
      <c r="G166" s="593">
        <v>4.1666388398710001</v>
      </c>
      <c r="H166" s="595">
        <v>4.9406564584124654E-324</v>
      </c>
      <c r="I166" s="592">
        <v>9.8813129168249309E-324</v>
      </c>
      <c r="J166" s="593">
        <v>-4.1666388398710001</v>
      </c>
      <c r="K166" s="600">
        <v>0</v>
      </c>
    </row>
    <row r="167" spans="1:11" ht="14.4" customHeight="1" thickBot="1" x14ac:dyDescent="0.35">
      <c r="A167" s="609" t="s">
        <v>458</v>
      </c>
      <c r="B167" s="587">
        <v>0</v>
      </c>
      <c r="C167" s="587">
        <v>0.20862</v>
      </c>
      <c r="D167" s="588">
        <v>0.20862</v>
      </c>
      <c r="E167" s="597" t="s">
        <v>299</v>
      </c>
      <c r="F167" s="587">
        <v>24.999833039230001</v>
      </c>
      <c r="G167" s="588">
        <v>4.1666388398710001</v>
      </c>
      <c r="H167" s="590">
        <v>4.9406564584124654E-324</v>
      </c>
      <c r="I167" s="587">
        <v>9.8813129168249309E-324</v>
      </c>
      <c r="J167" s="588">
        <v>-4.1666388398710001</v>
      </c>
      <c r="K167" s="591">
        <v>0</v>
      </c>
    </row>
    <row r="168" spans="1:11" ht="14.4" customHeight="1" thickBot="1" x14ac:dyDescent="0.35">
      <c r="A168" s="609" t="s">
        <v>459</v>
      </c>
      <c r="B168" s="587">
        <v>0.39881034270100002</v>
      </c>
      <c r="C168" s="587">
        <v>-0.30780000000000002</v>
      </c>
      <c r="D168" s="588">
        <v>-0.70661034270099998</v>
      </c>
      <c r="E168" s="589">
        <v>-0.77179543016600005</v>
      </c>
      <c r="F168" s="587">
        <v>0</v>
      </c>
      <c r="G168" s="588">
        <v>0</v>
      </c>
      <c r="H168" s="590">
        <v>4.9406564584124654E-324</v>
      </c>
      <c r="I168" s="587">
        <v>9.8813129168249309E-324</v>
      </c>
      <c r="J168" s="588">
        <v>9.8813129168249309E-324</v>
      </c>
      <c r="K168" s="598" t="s">
        <v>299</v>
      </c>
    </row>
    <row r="169" spans="1:11" ht="14.4" customHeight="1" thickBot="1" x14ac:dyDescent="0.35">
      <c r="A169" s="608" t="s">
        <v>460</v>
      </c>
      <c r="B169" s="592">
        <v>4.9406564584124654E-324</v>
      </c>
      <c r="C169" s="592">
        <v>-1.8824700000000001</v>
      </c>
      <c r="D169" s="593">
        <v>-1.8824700000000001</v>
      </c>
      <c r="E169" s="594" t="s">
        <v>305</v>
      </c>
      <c r="F169" s="592">
        <v>0</v>
      </c>
      <c r="G169" s="593">
        <v>0</v>
      </c>
      <c r="H169" s="595">
        <v>4.9406564584124654E-324</v>
      </c>
      <c r="I169" s="592">
        <v>9.8813129168249309E-324</v>
      </c>
      <c r="J169" s="593">
        <v>9.8813129168249309E-324</v>
      </c>
      <c r="K169" s="596" t="s">
        <v>299</v>
      </c>
    </row>
    <row r="170" spans="1:11" ht="14.4" customHeight="1" thickBot="1" x14ac:dyDescent="0.35">
      <c r="A170" s="609" t="s">
        <v>461</v>
      </c>
      <c r="B170" s="587">
        <v>4.9406564584124654E-324</v>
      </c>
      <c r="C170" s="587">
        <v>-1.8824700000000001</v>
      </c>
      <c r="D170" s="588">
        <v>-1.8824700000000001</v>
      </c>
      <c r="E170" s="597" t="s">
        <v>305</v>
      </c>
      <c r="F170" s="587">
        <v>0</v>
      </c>
      <c r="G170" s="588">
        <v>0</v>
      </c>
      <c r="H170" s="590">
        <v>4.9406564584124654E-324</v>
      </c>
      <c r="I170" s="587">
        <v>9.8813129168249309E-324</v>
      </c>
      <c r="J170" s="588">
        <v>9.8813129168249309E-324</v>
      </c>
      <c r="K170" s="598" t="s">
        <v>299</v>
      </c>
    </row>
    <row r="171" spans="1:11" ht="14.4" customHeight="1" thickBot="1" x14ac:dyDescent="0.35">
      <c r="A171" s="608" t="s">
        <v>462</v>
      </c>
      <c r="B171" s="592">
        <v>105748.999648442</v>
      </c>
      <c r="C171" s="592">
        <v>109605.2389</v>
      </c>
      <c r="D171" s="593">
        <v>3856.2392515578699</v>
      </c>
      <c r="E171" s="599">
        <v>1.0364659643530001</v>
      </c>
      <c r="F171" s="592">
        <v>119002</v>
      </c>
      <c r="G171" s="593">
        <v>19833.666666666701</v>
      </c>
      <c r="H171" s="595">
        <v>8893.2713600000006</v>
      </c>
      <c r="I171" s="592">
        <v>14515.795340000001</v>
      </c>
      <c r="J171" s="593">
        <v>-5317.87132666667</v>
      </c>
      <c r="K171" s="600">
        <v>0.121979423371</v>
      </c>
    </row>
    <row r="172" spans="1:11" ht="14.4" customHeight="1" thickBot="1" x14ac:dyDescent="0.35">
      <c r="A172" s="609" t="s">
        <v>463</v>
      </c>
      <c r="B172" s="587">
        <v>51891.999843558398</v>
      </c>
      <c r="C172" s="587">
        <v>56248.008159999998</v>
      </c>
      <c r="D172" s="588">
        <v>4356.0083164415701</v>
      </c>
      <c r="E172" s="589">
        <v>1.0839437356349999</v>
      </c>
      <c r="F172" s="587">
        <v>58136</v>
      </c>
      <c r="G172" s="588">
        <v>9689.3333333333394</v>
      </c>
      <c r="H172" s="590">
        <v>4159.5002699999995</v>
      </c>
      <c r="I172" s="587">
        <v>6541.1702599999999</v>
      </c>
      <c r="J172" s="588">
        <v>-3148.16307333334</v>
      </c>
      <c r="K172" s="591">
        <v>0.11251496938199999</v>
      </c>
    </row>
    <row r="173" spans="1:11" ht="14.4" customHeight="1" thickBot="1" x14ac:dyDescent="0.35">
      <c r="A173" s="609" t="s">
        <v>464</v>
      </c>
      <c r="B173" s="587">
        <v>53856.999804883701</v>
      </c>
      <c r="C173" s="587">
        <v>53357.230739999999</v>
      </c>
      <c r="D173" s="588">
        <v>-499.769064883716</v>
      </c>
      <c r="E173" s="589">
        <v>0.99072044364300005</v>
      </c>
      <c r="F173" s="587">
        <v>60866</v>
      </c>
      <c r="G173" s="588">
        <v>10144.333333333299</v>
      </c>
      <c r="H173" s="590">
        <v>4733.7710900000002</v>
      </c>
      <c r="I173" s="587">
        <v>7974.6250799999998</v>
      </c>
      <c r="J173" s="588">
        <v>-2169.7082533333401</v>
      </c>
      <c r="K173" s="591">
        <v>0.131019371734</v>
      </c>
    </row>
    <row r="174" spans="1:11" ht="14.4" customHeight="1" thickBot="1" x14ac:dyDescent="0.35">
      <c r="A174" s="608" t="s">
        <v>465</v>
      </c>
      <c r="B174" s="592">
        <v>0</v>
      </c>
      <c r="C174" s="592">
        <v>3897.7314200000001</v>
      </c>
      <c r="D174" s="593">
        <v>3897.7314200000001</v>
      </c>
      <c r="E174" s="594" t="s">
        <v>299</v>
      </c>
      <c r="F174" s="592">
        <v>0</v>
      </c>
      <c r="G174" s="593">
        <v>0</v>
      </c>
      <c r="H174" s="595">
        <v>153.46069</v>
      </c>
      <c r="I174" s="592">
        <v>341.78915000000001</v>
      </c>
      <c r="J174" s="593">
        <v>341.78915000000001</v>
      </c>
      <c r="K174" s="596" t="s">
        <v>299</v>
      </c>
    </row>
    <row r="175" spans="1:11" ht="14.4" customHeight="1" thickBot="1" x14ac:dyDescent="0.35">
      <c r="A175" s="609" t="s">
        <v>466</v>
      </c>
      <c r="B175" s="587">
        <v>4.9406564584124654E-324</v>
      </c>
      <c r="C175" s="587">
        <v>2564.7082</v>
      </c>
      <c r="D175" s="588">
        <v>2564.7082</v>
      </c>
      <c r="E175" s="597" t="s">
        <v>305</v>
      </c>
      <c r="F175" s="587">
        <v>0</v>
      </c>
      <c r="G175" s="588">
        <v>0</v>
      </c>
      <c r="H175" s="590">
        <v>4.9406564584124654E-324</v>
      </c>
      <c r="I175" s="587">
        <v>188.32846000000001</v>
      </c>
      <c r="J175" s="588">
        <v>188.32846000000001</v>
      </c>
      <c r="K175" s="598" t="s">
        <v>299</v>
      </c>
    </row>
    <row r="176" spans="1:11" ht="14.4" customHeight="1" thickBot="1" x14ac:dyDescent="0.35">
      <c r="A176" s="609" t="s">
        <v>467</v>
      </c>
      <c r="B176" s="587">
        <v>0</v>
      </c>
      <c r="C176" s="587">
        <v>1333.02322</v>
      </c>
      <c r="D176" s="588">
        <v>1333.02322</v>
      </c>
      <c r="E176" s="597" t="s">
        <v>299</v>
      </c>
      <c r="F176" s="587">
        <v>0</v>
      </c>
      <c r="G176" s="588">
        <v>0</v>
      </c>
      <c r="H176" s="590">
        <v>153.46069</v>
      </c>
      <c r="I176" s="587">
        <v>153.46069</v>
      </c>
      <c r="J176" s="588">
        <v>153.46069</v>
      </c>
      <c r="K176" s="598" t="s">
        <v>299</v>
      </c>
    </row>
    <row r="177" spans="1:11" ht="14.4" customHeight="1" thickBot="1" x14ac:dyDescent="0.35">
      <c r="A177" s="606" t="s">
        <v>468</v>
      </c>
      <c r="B177" s="587">
        <v>2044.0337618046799</v>
      </c>
      <c r="C177" s="587">
        <v>819.32741999999996</v>
      </c>
      <c r="D177" s="588">
        <v>-1224.7063418046801</v>
      </c>
      <c r="E177" s="589">
        <v>0.40083849655999998</v>
      </c>
      <c r="F177" s="587">
        <v>121.44746401305299</v>
      </c>
      <c r="G177" s="588">
        <v>20.241244002175002</v>
      </c>
      <c r="H177" s="590">
        <v>4.1329200000000004</v>
      </c>
      <c r="I177" s="587">
        <v>4.1339199999999998</v>
      </c>
      <c r="J177" s="588">
        <v>-16.107324002175002</v>
      </c>
      <c r="K177" s="591">
        <v>3.4038751105999999E-2</v>
      </c>
    </row>
    <row r="178" spans="1:11" ht="14.4" customHeight="1" thickBot="1" x14ac:dyDescent="0.35">
      <c r="A178" s="607" t="s">
        <v>469</v>
      </c>
      <c r="B178" s="587">
        <v>1928.8258500945001</v>
      </c>
      <c r="C178" s="587">
        <v>754.06421</v>
      </c>
      <c r="D178" s="588">
        <v>-1174.7616400945001</v>
      </c>
      <c r="E178" s="589">
        <v>0.39094468272600003</v>
      </c>
      <c r="F178" s="587">
        <v>0</v>
      </c>
      <c r="G178" s="588">
        <v>0</v>
      </c>
      <c r="H178" s="590">
        <v>4.9406564584124654E-324</v>
      </c>
      <c r="I178" s="587">
        <v>9.8813129168249309E-324</v>
      </c>
      <c r="J178" s="588">
        <v>9.8813129168249309E-324</v>
      </c>
      <c r="K178" s="598" t="s">
        <v>299</v>
      </c>
    </row>
    <row r="179" spans="1:11" ht="14.4" customHeight="1" thickBot="1" x14ac:dyDescent="0.35">
      <c r="A179" s="608" t="s">
        <v>470</v>
      </c>
      <c r="B179" s="592">
        <v>1928.8258500945001</v>
      </c>
      <c r="C179" s="592">
        <v>754.06421</v>
      </c>
      <c r="D179" s="593">
        <v>-1174.7616400945001</v>
      </c>
      <c r="E179" s="599">
        <v>0.39094468272600003</v>
      </c>
      <c r="F179" s="592">
        <v>0</v>
      </c>
      <c r="G179" s="593">
        <v>0</v>
      </c>
      <c r="H179" s="595">
        <v>4.9406564584124654E-324</v>
      </c>
      <c r="I179" s="592">
        <v>9.8813129168249309E-324</v>
      </c>
      <c r="J179" s="593">
        <v>9.8813129168249309E-324</v>
      </c>
      <c r="K179" s="596" t="s">
        <v>299</v>
      </c>
    </row>
    <row r="180" spans="1:11" ht="14.4" customHeight="1" thickBot="1" x14ac:dyDescent="0.35">
      <c r="A180" s="609" t="s">
        <v>471</v>
      </c>
      <c r="B180" s="587">
        <v>0</v>
      </c>
      <c r="C180" s="587">
        <v>449.15697999999998</v>
      </c>
      <c r="D180" s="588">
        <v>449.15697999999998</v>
      </c>
      <c r="E180" s="597" t="s">
        <v>299</v>
      </c>
      <c r="F180" s="587">
        <v>0</v>
      </c>
      <c r="G180" s="588">
        <v>0</v>
      </c>
      <c r="H180" s="590">
        <v>4.9406564584124654E-324</v>
      </c>
      <c r="I180" s="587">
        <v>9.8813129168249309E-324</v>
      </c>
      <c r="J180" s="588">
        <v>9.8813129168249309E-324</v>
      </c>
      <c r="K180" s="598" t="s">
        <v>299</v>
      </c>
    </row>
    <row r="181" spans="1:11" ht="14.4" customHeight="1" thickBot="1" x14ac:dyDescent="0.35">
      <c r="A181" s="609" t="s">
        <v>472</v>
      </c>
      <c r="B181" s="587">
        <v>4.9406564584124654E-324</v>
      </c>
      <c r="C181" s="587">
        <v>6.4550000000000001</v>
      </c>
      <c r="D181" s="588">
        <v>6.4550000000000001</v>
      </c>
      <c r="E181" s="597" t="s">
        <v>305</v>
      </c>
      <c r="F181" s="587">
        <v>0</v>
      </c>
      <c r="G181" s="588">
        <v>0</v>
      </c>
      <c r="H181" s="590">
        <v>4.9406564584124654E-324</v>
      </c>
      <c r="I181" s="587">
        <v>9.8813129168249309E-324</v>
      </c>
      <c r="J181" s="588">
        <v>9.8813129168249309E-324</v>
      </c>
      <c r="K181" s="598" t="s">
        <v>299</v>
      </c>
    </row>
    <row r="182" spans="1:11" ht="14.4" customHeight="1" thickBot="1" x14ac:dyDescent="0.35">
      <c r="A182" s="609" t="s">
        <v>473</v>
      </c>
      <c r="B182" s="587">
        <v>0</v>
      </c>
      <c r="C182" s="587">
        <v>19.67606</v>
      </c>
      <c r="D182" s="588">
        <v>19.67606</v>
      </c>
      <c r="E182" s="597" t="s">
        <v>299</v>
      </c>
      <c r="F182" s="587">
        <v>0</v>
      </c>
      <c r="G182" s="588">
        <v>0</v>
      </c>
      <c r="H182" s="590">
        <v>4.9406564584124654E-324</v>
      </c>
      <c r="I182" s="587">
        <v>9.8813129168249309E-324</v>
      </c>
      <c r="J182" s="588">
        <v>9.8813129168249309E-324</v>
      </c>
      <c r="K182" s="598" t="s">
        <v>299</v>
      </c>
    </row>
    <row r="183" spans="1:11" ht="14.4" customHeight="1" thickBot="1" x14ac:dyDescent="0.35">
      <c r="A183" s="609" t="s">
        <v>474</v>
      </c>
      <c r="B183" s="587">
        <v>0</v>
      </c>
      <c r="C183" s="587">
        <v>165.05185</v>
      </c>
      <c r="D183" s="588">
        <v>165.05185</v>
      </c>
      <c r="E183" s="597" t="s">
        <v>299</v>
      </c>
      <c r="F183" s="587">
        <v>0</v>
      </c>
      <c r="G183" s="588">
        <v>0</v>
      </c>
      <c r="H183" s="590">
        <v>4.9406564584124654E-324</v>
      </c>
      <c r="I183" s="587">
        <v>9.8813129168249309E-324</v>
      </c>
      <c r="J183" s="588">
        <v>9.8813129168249309E-324</v>
      </c>
      <c r="K183" s="598" t="s">
        <v>299</v>
      </c>
    </row>
    <row r="184" spans="1:11" ht="14.4" customHeight="1" thickBot="1" x14ac:dyDescent="0.35">
      <c r="A184" s="609" t="s">
        <v>475</v>
      </c>
      <c r="B184" s="587">
        <v>0</v>
      </c>
      <c r="C184" s="587">
        <v>113.72432000000001</v>
      </c>
      <c r="D184" s="588">
        <v>113.72432000000001</v>
      </c>
      <c r="E184" s="597" t="s">
        <v>299</v>
      </c>
      <c r="F184" s="587">
        <v>0</v>
      </c>
      <c r="G184" s="588">
        <v>0</v>
      </c>
      <c r="H184" s="590">
        <v>4.9406564584124654E-324</v>
      </c>
      <c r="I184" s="587">
        <v>9.8813129168249309E-324</v>
      </c>
      <c r="J184" s="588">
        <v>9.8813129168249309E-324</v>
      </c>
      <c r="K184" s="598" t="s">
        <v>299</v>
      </c>
    </row>
    <row r="185" spans="1:11" ht="14.4" customHeight="1" thickBot="1" x14ac:dyDescent="0.35">
      <c r="A185" s="612" t="s">
        <v>476</v>
      </c>
      <c r="B185" s="592">
        <v>115.207911710183</v>
      </c>
      <c r="C185" s="592">
        <v>65.263210000000001</v>
      </c>
      <c r="D185" s="593">
        <v>-49.944701710182997</v>
      </c>
      <c r="E185" s="599">
        <v>0.56648201526399999</v>
      </c>
      <c r="F185" s="592">
        <v>121.44746401305299</v>
      </c>
      <c r="G185" s="593">
        <v>20.241244002175002</v>
      </c>
      <c r="H185" s="595">
        <v>4.1329200000000004</v>
      </c>
      <c r="I185" s="592">
        <v>4.1339199999999998</v>
      </c>
      <c r="J185" s="593">
        <v>-16.107324002175002</v>
      </c>
      <c r="K185" s="600">
        <v>3.4038751105999999E-2</v>
      </c>
    </row>
    <row r="186" spans="1:11" ht="14.4" customHeight="1" thickBot="1" x14ac:dyDescent="0.35">
      <c r="A186" s="608" t="s">
        <v>477</v>
      </c>
      <c r="B186" s="592">
        <v>0</v>
      </c>
      <c r="C186" s="592">
        <v>-6.9999999999999999E-4</v>
      </c>
      <c r="D186" s="593">
        <v>-6.9999999999999999E-4</v>
      </c>
      <c r="E186" s="594" t="s">
        <v>299</v>
      </c>
      <c r="F186" s="592">
        <v>0</v>
      </c>
      <c r="G186" s="593">
        <v>0</v>
      </c>
      <c r="H186" s="595">
        <v>-1.1E-4</v>
      </c>
      <c r="I186" s="592">
        <v>-1.1E-4</v>
      </c>
      <c r="J186" s="593">
        <v>-1.1E-4</v>
      </c>
      <c r="K186" s="596" t="s">
        <v>299</v>
      </c>
    </row>
    <row r="187" spans="1:11" ht="14.4" customHeight="1" thickBot="1" x14ac:dyDescent="0.35">
      <c r="A187" s="609" t="s">
        <v>478</v>
      </c>
      <c r="B187" s="587">
        <v>0</v>
      </c>
      <c r="C187" s="587">
        <v>-6.9999999999999999E-4</v>
      </c>
      <c r="D187" s="588">
        <v>-6.9999999999999999E-4</v>
      </c>
      <c r="E187" s="597" t="s">
        <v>299</v>
      </c>
      <c r="F187" s="587">
        <v>0</v>
      </c>
      <c r="G187" s="588">
        <v>0</v>
      </c>
      <c r="H187" s="590">
        <v>-1.1E-4</v>
      </c>
      <c r="I187" s="587">
        <v>-1.1E-4</v>
      </c>
      <c r="J187" s="588">
        <v>-1.1E-4</v>
      </c>
      <c r="K187" s="598" t="s">
        <v>299</v>
      </c>
    </row>
    <row r="188" spans="1:11" ht="14.4" customHeight="1" thickBot="1" x14ac:dyDescent="0.35">
      <c r="A188" s="608" t="s">
        <v>479</v>
      </c>
      <c r="B188" s="592">
        <v>115.207911710183</v>
      </c>
      <c r="C188" s="592">
        <v>39.334910000000001</v>
      </c>
      <c r="D188" s="593">
        <v>-75.873001710183004</v>
      </c>
      <c r="E188" s="599">
        <v>0.341425423098</v>
      </c>
      <c r="F188" s="592">
        <v>121.44746401305299</v>
      </c>
      <c r="G188" s="593">
        <v>20.241244002175002</v>
      </c>
      <c r="H188" s="595">
        <v>4.1330299999999998</v>
      </c>
      <c r="I188" s="592">
        <v>4.1340300000000001</v>
      </c>
      <c r="J188" s="593">
        <v>-16.107214002174999</v>
      </c>
      <c r="K188" s="600">
        <v>3.4039656846999999E-2</v>
      </c>
    </row>
    <row r="189" spans="1:11" ht="14.4" customHeight="1" thickBot="1" x14ac:dyDescent="0.35">
      <c r="A189" s="609" t="s">
        <v>480</v>
      </c>
      <c r="B189" s="587">
        <v>0</v>
      </c>
      <c r="C189" s="587">
        <v>3.1779999999999999</v>
      </c>
      <c r="D189" s="588">
        <v>3.1779999999999999</v>
      </c>
      <c r="E189" s="597" t="s">
        <v>299</v>
      </c>
      <c r="F189" s="587">
        <v>0</v>
      </c>
      <c r="G189" s="588">
        <v>0</v>
      </c>
      <c r="H189" s="590">
        <v>8.0000000000000004E-4</v>
      </c>
      <c r="I189" s="587">
        <v>1.8E-3</v>
      </c>
      <c r="J189" s="588">
        <v>1.8E-3</v>
      </c>
      <c r="K189" s="598" t="s">
        <v>299</v>
      </c>
    </row>
    <row r="190" spans="1:11" ht="14.4" customHeight="1" thickBot="1" x14ac:dyDescent="0.35">
      <c r="A190" s="609" t="s">
        <v>481</v>
      </c>
      <c r="B190" s="587">
        <v>4.9406564584124654E-324</v>
      </c>
      <c r="C190" s="587">
        <v>4.1650600000000004</v>
      </c>
      <c r="D190" s="588">
        <v>4.1650600000000004</v>
      </c>
      <c r="E190" s="597" t="s">
        <v>305</v>
      </c>
      <c r="F190" s="587">
        <v>0</v>
      </c>
      <c r="G190" s="588">
        <v>0</v>
      </c>
      <c r="H190" s="590">
        <v>4.9406564584124654E-324</v>
      </c>
      <c r="I190" s="587">
        <v>9.8813129168249309E-324</v>
      </c>
      <c r="J190" s="588">
        <v>9.8813129168249309E-324</v>
      </c>
      <c r="K190" s="598" t="s">
        <v>299</v>
      </c>
    </row>
    <row r="191" spans="1:11" ht="14.4" customHeight="1" thickBot="1" x14ac:dyDescent="0.35">
      <c r="A191" s="609" t="s">
        <v>482</v>
      </c>
      <c r="B191" s="587">
        <v>94.015637629178997</v>
      </c>
      <c r="C191" s="587">
        <v>4.9406564584124654E-324</v>
      </c>
      <c r="D191" s="588">
        <v>-94.015637629178997</v>
      </c>
      <c r="E191" s="589">
        <v>0</v>
      </c>
      <c r="F191" s="587">
        <v>100.28334680445801</v>
      </c>
      <c r="G191" s="588">
        <v>16.713891134076</v>
      </c>
      <c r="H191" s="590">
        <v>4.9406564584124654E-324</v>
      </c>
      <c r="I191" s="587">
        <v>9.8813129168249309E-324</v>
      </c>
      <c r="J191" s="588">
        <v>-16.713891134076</v>
      </c>
      <c r="K191" s="591">
        <v>0</v>
      </c>
    </row>
    <row r="192" spans="1:11" ht="14.4" customHeight="1" thickBot="1" x14ac:dyDescent="0.35">
      <c r="A192" s="609" t="s">
        <v>483</v>
      </c>
      <c r="B192" s="587">
        <v>21.164117208594998</v>
      </c>
      <c r="C192" s="587">
        <v>31.991849999999999</v>
      </c>
      <c r="D192" s="588">
        <v>10.827732791403999</v>
      </c>
      <c r="E192" s="589">
        <v>1.5116080526619999</v>
      </c>
      <c r="F192" s="587">
        <v>21.164117208594998</v>
      </c>
      <c r="G192" s="588">
        <v>3.5273528680989998</v>
      </c>
      <c r="H192" s="590">
        <v>4.1322299999999998</v>
      </c>
      <c r="I192" s="587">
        <v>4.1322299999999998</v>
      </c>
      <c r="J192" s="588">
        <v>0.60487713190000003</v>
      </c>
      <c r="K192" s="591">
        <v>0.19524698144800001</v>
      </c>
    </row>
    <row r="193" spans="1:11" ht="14.4" customHeight="1" thickBot="1" x14ac:dyDescent="0.35">
      <c r="A193" s="608" t="s">
        <v>484</v>
      </c>
      <c r="B193" s="592">
        <v>0</v>
      </c>
      <c r="C193" s="592">
        <v>25.928999999999998</v>
      </c>
      <c r="D193" s="593">
        <v>25.928999999999998</v>
      </c>
      <c r="E193" s="594" t="s">
        <v>299</v>
      </c>
      <c r="F193" s="592">
        <v>0</v>
      </c>
      <c r="G193" s="593">
        <v>0</v>
      </c>
      <c r="H193" s="595">
        <v>4.9406564584124654E-324</v>
      </c>
      <c r="I193" s="592">
        <v>9.8813129168249309E-324</v>
      </c>
      <c r="J193" s="593">
        <v>9.8813129168249309E-324</v>
      </c>
      <c r="K193" s="596" t="s">
        <v>299</v>
      </c>
    </row>
    <row r="194" spans="1:11" ht="14.4" customHeight="1" thickBot="1" x14ac:dyDescent="0.35">
      <c r="A194" s="609" t="s">
        <v>485</v>
      </c>
      <c r="B194" s="587">
        <v>0</v>
      </c>
      <c r="C194" s="587">
        <v>25.928999999999998</v>
      </c>
      <c r="D194" s="588">
        <v>25.928999999999998</v>
      </c>
      <c r="E194" s="597" t="s">
        <v>299</v>
      </c>
      <c r="F194" s="587">
        <v>0</v>
      </c>
      <c r="G194" s="588">
        <v>0</v>
      </c>
      <c r="H194" s="590">
        <v>4.9406564584124654E-324</v>
      </c>
      <c r="I194" s="587">
        <v>9.8813129168249309E-324</v>
      </c>
      <c r="J194" s="588">
        <v>9.8813129168249309E-324</v>
      </c>
      <c r="K194" s="598" t="s">
        <v>299</v>
      </c>
    </row>
    <row r="195" spans="1:11" ht="14.4" customHeight="1" thickBot="1" x14ac:dyDescent="0.35">
      <c r="A195" s="606" t="s">
        <v>486</v>
      </c>
      <c r="B195" s="587">
        <v>4.9406564584124654E-324</v>
      </c>
      <c r="C195" s="587">
        <v>13.4</v>
      </c>
      <c r="D195" s="588">
        <v>13.4</v>
      </c>
      <c r="E195" s="597" t="s">
        <v>305</v>
      </c>
      <c r="F195" s="587">
        <v>57</v>
      </c>
      <c r="G195" s="588">
        <v>9.5</v>
      </c>
      <c r="H195" s="590">
        <v>4.9406564584124654E-324</v>
      </c>
      <c r="I195" s="587">
        <v>9.8813129168249309E-324</v>
      </c>
      <c r="J195" s="588">
        <v>-9.5</v>
      </c>
      <c r="K195" s="591">
        <v>0</v>
      </c>
    </row>
    <row r="196" spans="1:11" ht="14.4" customHeight="1" thickBot="1" x14ac:dyDescent="0.35">
      <c r="A196" s="612" t="s">
        <v>487</v>
      </c>
      <c r="B196" s="592">
        <v>4.9406564584124654E-324</v>
      </c>
      <c r="C196" s="592">
        <v>13.4</v>
      </c>
      <c r="D196" s="593">
        <v>13.4</v>
      </c>
      <c r="E196" s="594" t="s">
        <v>305</v>
      </c>
      <c r="F196" s="592">
        <v>57</v>
      </c>
      <c r="G196" s="593">
        <v>9.5</v>
      </c>
      <c r="H196" s="595">
        <v>4.9406564584124654E-324</v>
      </c>
      <c r="I196" s="592">
        <v>9.8813129168249309E-324</v>
      </c>
      <c r="J196" s="593">
        <v>-9.5</v>
      </c>
      <c r="K196" s="600">
        <v>0</v>
      </c>
    </row>
    <row r="197" spans="1:11" ht="14.4" customHeight="1" thickBot="1" x14ac:dyDescent="0.35">
      <c r="A197" s="608" t="s">
        <v>488</v>
      </c>
      <c r="B197" s="592">
        <v>4.9406564584124654E-324</v>
      </c>
      <c r="C197" s="592">
        <v>13.4</v>
      </c>
      <c r="D197" s="593">
        <v>13.4</v>
      </c>
      <c r="E197" s="594" t="s">
        <v>305</v>
      </c>
      <c r="F197" s="592">
        <v>57</v>
      </c>
      <c r="G197" s="593">
        <v>9.5</v>
      </c>
      <c r="H197" s="595">
        <v>4.9406564584124654E-324</v>
      </c>
      <c r="I197" s="592">
        <v>9.8813129168249309E-324</v>
      </c>
      <c r="J197" s="593">
        <v>-9.5</v>
      </c>
      <c r="K197" s="600">
        <v>0</v>
      </c>
    </row>
    <row r="198" spans="1:11" ht="14.4" customHeight="1" thickBot="1" x14ac:dyDescent="0.35">
      <c r="A198" s="609" t="s">
        <v>489</v>
      </c>
      <c r="B198" s="587">
        <v>4.9406564584124654E-324</v>
      </c>
      <c r="C198" s="587">
        <v>13.4</v>
      </c>
      <c r="D198" s="588">
        <v>13.4</v>
      </c>
      <c r="E198" s="597" t="s">
        <v>305</v>
      </c>
      <c r="F198" s="587">
        <v>57</v>
      </c>
      <c r="G198" s="588">
        <v>9.5</v>
      </c>
      <c r="H198" s="590">
        <v>4.9406564584124654E-324</v>
      </c>
      <c r="I198" s="587">
        <v>9.8813129168249309E-324</v>
      </c>
      <c r="J198" s="588">
        <v>-9.5</v>
      </c>
      <c r="K198" s="591">
        <v>0</v>
      </c>
    </row>
    <row r="199" spans="1:11" ht="14.4" customHeight="1" thickBot="1" x14ac:dyDescent="0.35">
      <c r="A199" s="605" t="s">
        <v>490</v>
      </c>
      <c r="B199" s="587">
        <v>10321.1227792468</v>
      </c>
      <c r="C199" s="587">
        <v>9327.3032899999998</v>
      </c>
      <c r="D199" s="588">
        <v>-993.81948924676499</v>
      </c>
      <c r="E199" s="589">
        <v>0.90371013788800003</v>
      </c>
      <c r="F199" s="587">
        <v>9638.1684150836409</v>
      </c>
      <c r="G199" s="588">
        <v>1606.36140251394</v>
      </c>
      <c r="H199" s="590">
        <v>767.34987999999998</v>
      </c>
      <c r="I199" s="587">
        <v>1552.3398299999999</v>
      </c>
      <c r="J199" s="588">
        <v>-54.021572513938999</v>
      </c>
      <c r="K199" s="591">
        <v>0.161061704168</v>
      </c>
    </row>
    <row r="200" spans="1:11" ht="14.4" customHeight="1" thickBot="1" x14ac:dyDescent="0.35">
      <c r="A200" s="610" t="s">
        <v>491</v>
      </c>
      <c r="B200" s="592">
        <v>10321.1227792468</v>
      </c>
      <c r="C200" s="592">
        <v>9327.3032899999998</v>
      </c>
      <c r="D200" s="593">
        <v>-993.81948924676499</v>
      </c>
      <c r="E200" s="599">
        <v>0.90371013788800003</v>
      </c>
      <c r="F200" s="592">
        <v>9638.1684150836409</v>
      </c>
      <c r="G200" s="593">
        <v>1606.36140251394</v>
      </c>
      <c r="H200" s="595">
        <v>767.34987999999998</v>
      </c>
      <c r="I200" s="592">
        <v>1552.3398299999999</v>
      </c>
      <c r="J200" s="593">
        <v>-54.021572513938999</v>
      </c>
      <c r="K200" s="600">
        <v>0.161061704168</v>
      </c>
    </row>
    <row r="201" spans="1:11" ht="14.4" customHeight="1" thickBot="1" x14ac:dyDescent="0.35">
      <c r="A201" s="612" t="s">
        <v>57</v>
      </c>
      <c r="B201" s="592">
        <v>10321.1227792468</v>
      </c>
      <c r="C201" s="592">
        <v>9327.3032899999998</v>
      </c>
      <c r="D201" s="593">
        <v>-993.81948924676499</v>
      </c>
      <c r="E201" s="599">
        <v>0.90371013788800003</v>
      </c>
      <c r="F201" s="592">
        <v>9638.1684150836409</v>
      </c>
      <c r="G201" s="593">
        <v>1606.36140251394</v>
      </c>
      <c r="H201" s="595">
        <v>767.34987999999998</v>
      </c>
      <c r="I201" s="592">
        <v>1552.3398299999999</v>
      </c>
      <c r="J201" s="593">
        <v>-54.021572513938999</v>
      </c>
      <c r="K201" s="600">
        <v>0.161061704168</v>
      </c>
    </row>
    <row r="202" spans="1:11" ht="14.4" customHeight="1" thickBot="1" x14ac:dyDescent="0.35">
      <c r="A202" s="608" t="s">
        <v>492</v>
      </c>
      <c r="B202" s="592">
        <v>132.99999999999801</v>
      </c>
      <c r="C202" s="592">
        <v>134.2285</v>
      </c>
      <c r="D202" s="593">
        <v>1.228500000001</v>
      </c>
      <c r="E202" s="599">
        <v>1.009236842105</v>
      </c>
      <c r="F202" s="592">
        <v>109</v>
      </c>
      <c r="G202" s="593">
        <v>18.166666666666</v>
      </c>
      <c r="H202" s="595">
        <v>11.38475</v>
      </c>
      <c r="I202" s="592">
        <v>22.769500000000001</v>
      </c>
      <c r="J202" s="593">
        <v>4.6028333333329998</v>
      </c>
      <c r="K202" s="600">
        <v>0.208894495412</v>
      </c>
    </row>
    <row r="203" spans="1:11" ht="14.4" customHeight="1" thickBot="1" x14ac:dyDescent="0.35">
      <c r="A203" s="609" t="s">
        <v>493</v>
      </c>
      <c r="B203" s="587">
        <v>132.99999999999801</v>
      </c>
      <c r="C203" s="587">
        <v>134.2285</v>
      </c>
      <c r="D203" s="588">
        <v>1.228500000001</v>
      </c>
      <c r="E203" s="589">
        <v>1.009236842105</v>
      </c>
      <c r="F203" s="587">
        <v>109</v>
      </c>
      <c r="G203" s="588">
        <v>18.166666666666</v>
      </c>
      <c r="H203" s="590">
        <v>11.38475</v>
      </c>
      <c r="I203" s="587">
        <v>22.769500000000001</v>
      </c>
      <c r="J203" s="588">
        <v>4.6028333333329998</v>
      </c>
      <c r="K203" s="591">
        <v>0.208894495412</v>
      </c>
    </row>
    <row r="204" spans="1:11" ht="14.4" customHeight="1" thickBot="1" x14ac:dyDescent="0.35">
      <c r="A204" s="608" t="s">
        <v>494</v>
      </c>
      <c r="B204" s="592">
        <v>1380.81389022242</v>
      </c>
      <c r="C204" s="592">
        <v>1176.2829999999999</v>
      </c>
      <c r="D204" s="593">
        <v>-204.53089022241701</v>
      </c>
      <c r="E204" s="599">
        <v>0.85187656955699997</v>
      </c>
      <c r="F204" s="592">
        <v>1188.16841508364</v>
      </c>
      <c r="G204" s="593">
        <v>198.02806918060699</v>
      </c>
      <c r="H204" s="595">
        <v>93.703000000000003</v>
      </c>
      <c r="I204" s="592">
        <v>187.68899999999999</v>
      </c>
      <c r="J204" s="593">
        <v>-10.339069180606</v>
      </c>
      <c r="K204" s="600">
        <v>0.15796498006199999</v>
      </c>
    </row>
    <row r="205" spans="1:11" ht="14.4" customHeight="1" thickBot="1" x14ac:dyDescent="0.35">
      <c r="A205" s="609" t="s">
        <v>495</v>
      </c>
      <c r="B205" s="587">
        <v>1380.81389022242</v>
      </c>
      <c r="C205" s="587">
        <v>1176.2829999999999</v>
      </c>
      <c r="D205" s="588">
        <v>-204.53089022241701</v>
      </c>
      <c r="E205" s="589">
        <v>0.85187656955699997</v>
      </c>
      <c r="F205" s="587">
        <v>1188.16841508364</v>
      </c>
      <c r="G205" s="588">
        <v>198.02806918060699</v>
      </c>
      <c r="H205" s="590">
        <v>93.703000000000003</v>
      </c>
      <c r="I205" s="587">
        <v>187.68899999999999</v>
      </c>
      <c r="J205" s="588">
        <v>-10.339069180606</v>
      </c>
      <c r="K205" s="591">
        <v>0.15796498006199999</v>
      </c>
    </row>
    <row r="206" spans="1:11" ht="14.4" customHeight="1" thickBot="1" x14ac:dyDescent="0.35">
      <c r="A206" s="608" t="s">
        <v>496</v>
      </c>
      <c r="B206" s="592">
        <v>1487.3088890244401</v>
      </c>
      <c r="C206" s="592">
        <v>1588.6826000000001</v>
      </c>
      <c r="D206" s="593">
        <v>101.37371097555599</v>
      </c>
      <c r="E206" s="599">
        <v>1.0681591508820001</v>
      </c>
      <c r="F206" s="592">
        <v>1732</v>
      </c>
      <c r="G206" s="593">
        <v>288.66666666666703</v>
      </c>
      <c r="H206" s="595">
        <v>112.1867</v>
      </c>
      <c r="I206" s="592">
        <v>227.8854</v>
      </c>
      <c r="J206" s="593">
        <v>-60.781266666665999</v>
      </c>
      <c r="K206" s="600">
        <v>0.13157355658100001</v>
      </c>
    </row>
    <row r="207" spans="1:11" ht="14.4" customHeight="1" thickBot="1" x14ac:dyDescent="0.35">
      <c r="A207" s="609" t="s">
        <v>497</v>
      </c>
      <c r="B207" s="587">
        <v>1487.3088890244401</v>
      </c>
      <c r="C207" s="587">
        <v>1588.6826000000001</v>
      </c>
      <c r="D207" s="588">
        <v>101.37371097555599</v>
      </c>
      <c r="E207" s="589">
        <v>1.0681591508820001</v>
      </c>
      <c r="F207" s="587">
        <v>1732</v>
      </c>
      <c r="G207" s="588">
        <v>288.66666666666703</v>
      </c>
      <c r="H207" s="590">
        <v>112.1867</v>
      </c>
      <c r="I207" s="587">
        <v>227.8854</v>
      </c>
      <c r="J207" s="588">
        <v>-60.781266666665999</v>
      </c>
      <c r="K207" s="591">
        <v>0.13157355658100001</v>
      </c>
    </row>
    <row r="208" spans="1:11" ht="14.4" customHeight="1" thickBot="1" x14ac:dyDescent="0.35">
      <c r="A208" s="608" t="s">
        <v>498</v>
      </c>
      <c r="B208" s="592">
        <v>0</v>
      </c>
      <c r="C208" s="592">
        <v>6.7789999999999999</v>
      </c>
      <c r="D208" s="593">
        <v>6.7789999999999999</v>
      </c>
      <c r="E208" s="594" t="s">
        <v>299</v>
      </c>
      <c r="F208" s="592">
        <v>4.9406564584124654E-324</v>
      </c>
      <c r="G208" s="593">
        <v>0</v>
      </c>
      <c r="H208" s="595">
        <v>0.68799999999999994</v>
      </c>
      <c r="I208" s="592">
        <v>0.97</v>
      </c>
      <c r="J208" s="593">
        <v>0.97</v>
      </c>
      <c r="K208" s="596" t="s">
        <v>305</v>
      </c>
    </row>
    <row r="209" spans="1:11" ht="14.4" customHeight="1" thickBot="1" x14ac:dyDescent="0.35">
      <c r="A209" s="609" t="s">
        <v>499</v>
      </c>
      <c r="B209" s="587">
        <v>0</v>
      </c>
      <c r="C209" s="587">
        <v>6.7789999999999999</v>
      </c>
      <c r="D209" s="588">
        <v>6.7789999999999999</v>
      </c>
      <c r="E209" s="597" t="s">
        <v>299</v>
      </c>
      <c r="F209" s="587">
        <v>4.9406564584124654E-324</v>
      </c>
      <c r="G209" s="588">
        <v>0</v>
      </c>
      <c r="H209" s="590">
        <v>0.68799999999999994</v>
      </c>
      <c r="I209" s="587">
        <v>0.97</v>
      </c>
      <c r="J209" s="588">
        <v>0.97</v>
      </c>
      <c r="K209" s="598" t="s">
        <v>305</v>
      </c>
    </row>
    <row r="210" spans="1:11" ht="14.4" customHeight="1" thickBot="1" x14ac:dyDescent="0.35">
      <c r="A210" s="608" t="s">
        <v>500</v>
      </c>
      <c r="B210" s="592">
        <v>828.99999999998897</v>
      </c>
      <c r="C210" s="592">
        <v>736.00156000000004</v>
      </c>
      <c r="D210" s="593">
        <v>-92.998439999989003</v>
      </c>
      <c r="E210" s="599">
        <v>0.88781852834700004</v>
      </c>
      <c r="F210" s="592">
        <v>1039</v>
      </c>
      <c r="G210" s="593">
        <v>173.166666666667</v>
      </c>
      <c r="H210" s="595">
        <v>46.030430000000003</v>
      </c>
      <c r="I210" s="592">
        <v>106.399</v>
      </c>
      <c r="J210" s="593">
        <v>-66.767666666666003</v>
      </c>
      <c r="K210" s="600">
        <v>0.102405197305</v>
      </c>
    </row>
    <row r="211" spans="1:11" ht="14.4" customHeight="1" thickBot="1" x14ac:dyDescent="0.35">
      <c r="A211" s="609" t="s">
        <v>501</v>
      </c>
      <c r="B211" s="587">
        <v>828.99999999998897</v>
      </c>
      <c r="C211" s="587">
        <v>735.72496000000001</v>
      </c>
      <c r="D211" s="588">
        <v>-93.275039999989005</v>
      </c>
      <c r="E211" s="589">
        <v>0.88748487334100001</v>
      </c>
      <c r="F211" s="587">
        <v>1024</v>
      </c>
      <c r="G211" s="588">
        <v>170.666666666667</v>
      </c>
      <c r="H211" s="590">
        <v>44.768500000000003</v>
      </c>
      <c r="I211" s="587">
        <v>103.87514</v>
      </c>
      <c r="J211" s="588">
        <v>-66.791526666666002</v>
      </c>
      <c r="K211" s="591">
        <v>0.10144056640599999</v>
      </c>
    </row>
    <row r="212" spans="1:11" ht="14.4" customHeight="1" thickBot="1" x14ac:dyDescent="0.35">
      <c r="A212" s="609" t="s">
        <v>502</v>
      </c>
      <c r="B212" s="587">
        <v>0</v>
      </c>
      <c r="C212" s="587">
        <v>0.27660000000000001</v>
      </c>
      <c r="D212" s="588">
        <v>0.27660000000000001</v>
      </c>
      <c r="E212" s="597" t="s">
        <v>299</v>
      </c>
      <c r="F212" s="587">
        <v>15</v>
      </c>
      <c r="G212" s="588">
        <v>2.5</v>
      </c>
      <c r="H212" s="590">
        <v>1.26193</v>
      </c>
      <c r="I212" s="587">
        <v>2.52386</v>
      </c>
      <c r="J212" s="588">
        <v>2.3859999999999999E-2</v>
      </c>
      <c r="K212" s="591">
        <v>0.168257333333</v>
      </c>
    </row>
    <row r="213" spans="1:11" ht="14.4" customHeight="1" thickBot="1" x14ac:dyDescent="0.35">
      <c r="A213" s="608" t="s">
        <v>503</v>
      </c>
      <c r="B213" s="592">
        <v>0</v>
      </c>
      <c r="C213" s="592">
        <v>515.42152999999996</v>
      </c>
      <c r="D213" s="593">
        <v>515.42152999999996</v>
      </c>
      <c r="E213" s="594" t="s">
        <v>299</v>
      </c>
      <c r="F213" s="592">
        <v>4.9406564584124654E-324</v>
      </c>
      <c r="G213" s="593">
        <v>0</v>
      </c>
      <c r="H213" s="595">
        <v>34.896529999999998</v>
      </c>
      <c r="I213" s="592">
        <v>75.608649999999997</v>
      </c>
      <c r="J213" s="593">
        <v>75.608649999999997</v>
      </c>
      <c r="K213" s="596" t="s">
        <v>305</v>
      </c>
    </row>
    <row r="214" spans="1:11" ht="14.4" customHeight="1" thickBot="1" x14ac:dyDescent="0.35">
      <c r="A214" s="609" t="s">
        <v>504</v>
      </c>
      <c r="B214" s="587">
        <v>0</v>
      </c>
      <c r="C214" s="587">
        <v>515.42152999999996</v>
      </c>
      <c r="D214" s="588">
        <v>515.42152999999996</v>
      </c>
      <c r="E214" s="597" t="s">
        <v>299</v>
      </c>
      <c r="F214" s="587">
        <v>4.9406564584124654E-324</v>
      </c>
      <c r="G214" s="588">
        <v>0</v>
      </c>
      <c r="H214" s="590">
        <v>34.896529999999998</v>
      </c>
      <c r="I214" s="587">
        <v>75.608649999999997</v>
      </c>
      <c r="J214" s="588">
        <v>75.608649999999997</v>
      </c>
      <c r="K214" s="598" t="s">
        <v>305</v>
      </c>
    </row>
    <row r="215" spans="1:11" ht="14.4" customHeight="1" thickBot="1" x14ac:dyDescent="0.35">
      <c r="A215" s="608" t="s">
        <v>505</v>
      </c>
      <c r="B215" s="592">
        <v>6490.99999999992</v>
      </c>
      <c r="C215" s="592">
        <v>5169.9071000000004</v>
      </c>
      <c r="D215" s="593">
        <v>-1321.0928999999201</v>
      </c>
      <c r="E215" s="599">
        <v>0.79647313202799996</v>
      </c>
      <c r="F215" s="592">
        <v>5570</v>
      </c>
      <c r="G215" s="593">
        <v>928.33333333333303</v>
      </c>
      <c r="H215" s="595">
        <v>468.46046999999999</v>
      </c>
      <c r="I215" s="592">
        <v>931.01828</v>
      </c>
      <c r="J215" s="593">
        <v>2.6849466666659998</v>
      </c>
      <c r="K215" s="600">
        <v>0.16714870376999999</v>
      </c>
    </row>
    <row r="216" spans="1:11" ht="14.4" customHeight="1" thickBot="1" x14ac:dyDescent="0.35">
      <c r="A216" s="609" t="s">
        <v>506</v>
      </c>
      <c r="B216" s="587">
        <v>6490.99999999992</v>
      </c>
      <c r="C216" s="587">
        <v>5169.9071000000004</v>
      </c>
      <c r="D216" s="588">
        <v>-1321.0928999999201</v>
      </c>
      <c r="E216" s="589">
        <v>0.79647313202799996</v>
      </c>
      <c r="F216" s="587">
        <v>5570</v>
      </c>
      <c r="G216" s="588">
        <v>928.33333333333303</v>
      </c>
      <c r="H216" s="590">
        <v>468.46046999999999</v>
      </c>
      <c r="I216" s="587">
        <v>931.01828</v>
      </c>
      <c r="J216" s="588">
        <v>2.6849466666659998</v>
      </c>
      <c r="K216" s="591">
        <v>0.16714870376999999</v>
      </c>
    </row>
    <row r="217" spans="1:11" ht="14.4" customHeight="1" thickBot="1" x14ac:dyDescent="0.35">
      <c r="A217" s="613"/>
      <c r="B217" s="587">
        <v>-28128.626008470099</v>
      </c>
      <c r="C217" s="587">
        <v>-21882.794839999999</v>
      </c>
      <c r="D217" s="588">
        <v>6245.8311684701002</v>
      </c>
      <c r="E217" s="589">
        <v>0.77795463004099996</v>
      </c>
      <c r="F217" s="587">
        <v>-20408.747909186699</v>
      </c>
      <c r="G217" s="588">
        <v>-3401.4579848644598</v>
      </c>
      <c r="H217" s="590">
        <v>-2272.50836999999</v>
      </c>
      <c r="I217" s="587">
        <v>-8092.2065000000503</v>
      </c>
      <c r="J217" s="588">
        <v>-4690.7485151355904</v>
      </c>
      <c r="K217" s="591">
        <v>0.39650675955199999</v>
      </c>
    </row>
    <row r="218" spans="1:11" ht="14.4" customHeight="1" thickBot="1" x14ac:dyDescent="0.35">
      <c r="A218" s="614" t="s">
        <v>69</v>
      </c>
      <c r="B218" s="601">
        <v>-28128.626008470099</v>
      </c>
      <c r="C218" s="601">
        <v>-21882.794839999999</v>
      </c>
      <c r="D218" s="602">
        <v>6245.8311684701002</v>
      </c>
      <c r="E218" s="603">
        <v>-0.85406836179900003</v>
      </c>
      <c r="F218" s="601">
        <v>-20408.747909186699</v>
      </c>
      <c r="G218" s="602">
        <v>-3401.4579848644498</v>
      </c>
      <c r="H218" s="601">
        <v>-2272.50836999999</v>
      </c>
      <c r="I218" s="601">
        <v>-8092.2065000000503</v>
      </c>
      <c r="J218" s="602">
        <v>-4690.7485151355904</v>
      </c>
      <c r="K218" s="604">
        <v>0.39650675955199999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37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4" width="12.77734375" style="345" bestFit="1" customWidth="1"/>
    <col min="5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8" ht="18.600000000000001" customHeight="1" thickBot="1" x14ac:dyDescent="0.4">
      <c r="A1" s="486" t="s">
        <v>180</v>
      </c>
      <c r="B1" s="487"/>
      <c r="C1" s="487"/>
      <c r="D1" s="487"/>
      <c r="E1" s="487"/>
      <c r="F1" s="487"/>
      <c r="G1" s="463"/>
    </row>
    <row r="2" spans="1:8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8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213</v>
      </c>
      <c r="E3" s="211" t="s">
        <v>4</v>
      </c>
      <c r="F3" s="211" t="s">
        <v>5</v>
      </c>
      <c r="G3" s="212" t="s">
        <v>188</v>
      </c>
    </row>
    <row r="4" spans="1:8" ht="14.4" customHeight="1" x14ac:dyDescent="0.3">
      <c r="A4" s="615" t="s">
        <v>507</v>
      </c>
      <c r="B4" s="616" t="s">
        <v>508</v>
      </c>
      <c r="C4" s="617" t="s">
        <v>509</v>
      </c>
      <c r="D4" s="617" t="s">
        <v>508</v>
      </c>
      <c r="E4" s="617" t="s">
        <v>508</v>
      </c>
      <c r="F4" s="618" t="s">
        <v>508</v>
      </c>
      <c r="G4" s="617" t="s">
        <v>508</v>
      </c>
      <c r="H4" s="617" t="s">
        <v>77</v>
      </c>
    </row>
    <row r="5" spans="1:8" ht="14.4" customHeight="1" x14ac:dyDescent="0.3">
      <c r="A5" s="615" t="s">
        <v>507</v>
      </c>
      <c r="B5" s="616" t="s">
        <v>510</v>
      </c>
      <c r="C5" s="617" t="s">
        <v>511</v>
      </c>
      <c r="D5" s="617">
        <v>708502.01455555216</v>
      </c>
      <c r="E5" s="617">
        <v>659524.93757497973</v>
      </c>
      <c r="F5" s="618">
        <v>0.93087235325463957</v>
      </c>
      <c r="G5" s="617">
        <v>-48977.076980572427</v>
      </c>
      <c r="H5" s="617" t="s">
        <v>2</v>
      </c>
    </row>
    <row r="6" spans="1:8" ht="14.4" customHeight="1" x14ac:dyDescent="0.3">
      <c r="A6" s="615" t="s">
        <v>507</v>
      </c>
      <c r="B6" s="616" t="s">
        <v>512</v>
      </c>
      <c r="C6" s="617" t="s">
        <v>513</v>
      </c>
      <c r="D6" s="617">
        <v>74176.756340427164</v>
      </c>
      <c r="E6" s="617">
        <v>28370.129027228064</v>
      </c>
      <c r="F6" s="618">
        <v>0.38246656266588491</v>
      </c>
      <c r="G6" s="617">
        <v>-45806.627313199104</v>
      </c>
      <c r="H6" s="617" t="s">
        <v>2</v>
      </c>
    </row>
    <row r="7" spans="1:8" ht="14.4" customHeight="1" x14ac:dyDescent="0.3">
      <c r="A7" s="615" t="s">
        <v>507</v>
      </c>
      <c r="B7" s="616" t="s">
        <v>514</v>
      </c>
      <c r="C7" s="617" t="s">
        <v>515</v>
      </c>
      <c r="D7" s="617">
        <v>72500.636598458834</v>
      </c>
      <c r="E7" s="617">
        <v>40607.699999999997</v>
      </c>
      <c r="F7" s="618">
        <v>0.56010128883286536</v>
      </c>
      <c r="G7" s="617">
        <v>-31892.936598458837</v>
      </c>
      <c r="H7" s="617" t="s">
        <v>2</v>
      </c>
    </row>
    <row r="8" spans="1:8" ht="14.4" customHeight="1" x14ac:dyDescent="0.3">
      <c r="A8" s="615" t="s">
        <v>507</v>
      </c>
      <c r="B8" s="616" t="s">
        <v>516</v>
      </c>
      <c r="C8" s="617" t="s">
        <v>517</v>
      </c>
      <c r="D8" s="617">
        <v>1235.8772114013634</v>
      </c>
      <c r="E8" s="617">
        <v>8458.3799999999992</v>
      </c>
      <c r="F8" s="618">
        <v>6.8440294245809641</v>
      </c>
      <c r="G8" s="617">
        <v>7222.5027885986356</v>
      </c>
      <c r="H8" s="617" t="s">
        <v>2</v>
      </c>
    </row>
    <row r="9" spans="1:8" ht="14.4" customHeight="1" x14ac:dyDescent="0.3">
      <c r="A9" s="615" t="s">
        <v>507</v>
      </c>
      <c r="B9" s="616" t="s">
        <v>518</v>
      </c>
      <c r="C9" s="617" t="s">
        <v>519</v>
      </c>
      <c r="D9" s="617">
        <v>75725.007150733043</v>
      </c>
      <c r="E9" s="617">
        <v>73404.225494898143</v>
      </c>
      <c r="F9" s="618">
        <v>0.96935250661363015</v>
      </c>
      <c r="G9" s="617">
        <v>-2320.7816558349004</v>
      </c>
      <c r="H9" s="617" t="s">
        <v>2</v>
      </c>
    </row>
    <row r="10" spans="1:8" ht="14.4" customHeight="1" x14ac:dyDescent="0.3">
      <c r="A10" s="615" t="s">
        <v>507</v>
      </c>
      <c r="B10" s="616" t="s">
        <v>520</v>
      </c>
      <c r="C10" s="617" t="s">
        <v>521</v>
      </c>
      <c r="D10" s="617">
        <v>8500.5763261758384</v>
      </c>
      <c r="E10" s="617">
        <v>3437.0990024398779</v>
      </c>
      <c r="F10" s="618">
        <v>0.40433717321683393</v>
      </c>
      <c r="G10" s="617">
        <v>-5063.4773237359605</v>
      </c>
      <c r="H10" s="617" t="s">
        <v>2</v>
      </c>
    </row>
    <row r="11" spans="1:8" ht="14.4" customHeight="1" x14ac:dyDescent="0.3">
      <c r="A11" s="615" t="s">
        <v>507</v>
      </c>
      <c r="B11" s="616" t="s">
        <v>6</v>
      </c>
      <c r="C11" s="617" t="s">
        <v>509</v>
      </c>
      <c r="D11" s="617">
        <v>941888.52136407874</v>
      </c>
      <c r="E11" s="617">
        <v>813802.47109954583</v>
      </c>
      <c r="F11" s="618">
        <v>0.86401145426527348</v>
      </c>
      <c r="G11" s="617">
        <v>-128086.05026453291</v>
      </c>
      <c r="H11" s="617" t="s">
        <v>522</v>
      </c>
    </row>
    <row r="13" spans="1:8" ht="14.4" customHeight="1" x14ac:dyDescent="0.3">
      <c r="A13" s="615" t="s">
        <v>507</v>
      </c>
      <c r="B13" s="616" t="s">
        <v>508</v>
      </c>
      <c r="C13" s="617" t="s">
        <v>509</v>
      </c>
      <c r="D13" s="617" t="s">
        <v>508</v>
      </c>
      <c r="E13" s="617" t="s">
        <v>508</v>
      </c>
      <c r="F13" s="618" t="s">
        <v>508</v>
      </c>
      <c r="G13" s="617" t="s">
        <v>508</v>
      </c>
      <c r="H13" s="617" t="s">
        <v>77</v>
      </c>
    </row>
    <row r="14" spans="1:8" ht="14.4" customHeight="1" x14ac:dyDescent="0.3">
      <c r="A14" s="615" t="s">
        <v>523</v>
      </c>
      <c r="B14" s="616" t="s">
        <v>510</v>
      </c>
      <c r="C14" s="617" t="s">
        <v>511</v>
      </c>
      <c r="D14" s="617">
        <v>34793.470683009167</v>
      </c>
      <c r="E14" s="617">
        <v>33719.951595411607</v>
      </c>
      <c r="F14" s="618">
        <v>0.96914596139666531</v>
      </c>
      <c r="G14" s="617">
        <v>-1073.5190875975604</v>
      </c>
      <c r="H14" s="617" t="s">
        <v>2</v>
      </c>
    </row>
    <row r="15" spans="1:8" ht="14.4" customHeight="1" x14ac:dyDescent="0.3">
      <c r="A15" s="615" t="s">
        <v>523</v>
      </c>
      <c r="B15" s="616" t="s">
        <v>518</v>
      </c>
      <c r="C15" s="617" t="s">
        <v>519</v>
      </c>
      <c r="D15" s="617">
        <v>12165.497097914884</v>
      </c>
      <c r="E15" s="617">
        <v>20217.519399188765</v>
      </c>
      <c r="F15" s="618">
        <v>1.6618736773735259</v>
      </c>
      <c r="G15" s="617">
        <v>8052.0223012738807</v>
      </c>
      <c r="H15" s="617" t="s">
        <v>2</v>
      </c>
    </row>
    <row r="16" spans="1:8" ht="14.4" customHeight="1" x14ac:dyDescent="0.3">
      <c r="A16" s="615" t="s">
        <v>523</v>
      </c>
      <c r="B16" s="616" t="s">
        <v>6</v>
      </c>
      <c r="C16" s="617" t="s">
        <v>524</v>
      </c>
      <c r="D16" s="617">
        <v>46958.967780924053</v>
      </c>
      <c r="E16" s="617">
        <v>53937.470994600371</v>
      </c>
      <c r="F16" s="618">
        <v>1.1486085308823839</v>
      </c>
      <c r="G16" s="617">
        <v>6978.5032136763184</v>
      </c>
      <c r="H16" s="617" t="s">
        <v>525</v>
      </c>
    </row>
    <row r="17" spans="1:8" ht="14.4" customHeight="1" x14ac:dyDescent="0.3">
      <c r="A17" s="615" t="s">
        <v>508</v>
      </c>
      <c r="B17" s="616" t="s">
        <v>508</v>
      </c>
      <c r="C17" s="617" t="s">
        <v>508</v>
      </c>
      <c r="D17" s="617" t="s">
        <v>508</v>
      </c>
      <c r="E17" s="617" t="s">
        <v>508</v>
      </c>
      <c r="F17" s="618" t="s">
        <v>508</v>
      </c>
      <c r="G17" s="617" t="s">
        <v>508</v>
      </c>
      <c r="H17" s="617" t="s">
        <v>526</v>
      </c>
    </row>
    <row r="18" spans="1:8" ht="14.4" customHeight="1" x14ac:dyDescent="0.3">
      <c r="A18" s="615" t="s">
        <v>527</v>
      </c>
      <c r="B18" s="616" t="s">
        <v>510</v>
      </c>
      <c r="C18" s="617" t="s">
        <v>511</v>
      </c>
      <c r="D18" s="617">
        <v>47762.110249849</v>
      </c>
      <c r="E18" s="617">
        <v>44741.760600702786</v>
      </c>
      <c r="F18" s="618">
        <v>0.93676264232575945</v>
      </c>
      <c r="G18" s="617">
        <v>-3020.3496491462138</v>
      </c>
      <c r="H18" s="617" t="s">
        <v>2</v>
      </c>
    </row>
    <row r="19" spans="1:8" ht="14.4" customHeight="1" x14ac:dyDescent="0.3">
      <c r="A19" s="615" t="s">
        <v>527</v>
      </c>
      <c r="B19" s="616" t="s">
        <v>518</v>
      </c>
      <c r="C19" s="617" t="s">
        <v>519</v>
      </c>
      <c r="D19" s="617">
        <v>11570.698549183251</v>
      </c>
      <c r="E19" s="617">
        <v>11920.328955528112</v>
      </c>
      <c r="F19" s="618">
        <v>1.0302168797206752</v>
      </c>
      <c r="G19" s="617">
        <v>349.6304063448606</v>
      </c>
      <c r="H19" s="617" t="s">
        <v>2</v>
      </c>
    </row>
    <row r="20" spans="1:8" ht="14.4" customHeight="1" x14ac:dyDescent="0.3">
      <c r="A20" s="615" t="s">
        <v>527</v>
      </c>
      <c r="B20" s="616" t="s">
        <v>6</v>
      </c>
      <c r="C20" s="617" t="s">
        <v>528</v>
      </c>
      <c r="D20" s="617">
        <v>59424.388822153036</v>
      </c>
      <c r="E20" s="617">
        <v>56662.089556230902</v>
      </c>
      <c r="F20" s="618">
        <v>0.95351573115561661</v>
      </c>
      <c r="G20" s="617">
        <v>-2762.2992659221345</v>
      </c>
      <c r="H20" s="617" t="s">
        <v>525</v>
      </c>
    </row>
    <row r="21" spans="1:8" ht="14.4" customHeight="1" x14ac:dyDescent="0.3">
      <c r="A21" s="615" t="s">
        <v>508</v>
      </c>
      <c r="B21" s="616" t="s">
        <v>508</v>
      </c>
      <c r="C21" s="617" t="s">
        <v>508</v>
      </c>
      <c r="D21" s="617" t="s">
        <v>508</v>
      </c>
      <c r="E21" s="617" t="s">
        <v>508</v>
      </c>
      <c r="F21" s="618" t="s">
        <v>508</v>
      </c>
      <c r="G21" s="617" t="s">
        <v>508</v>
      </c>
      <c r="H21" s="617" t="s">
        <v>526</v>
      </c>
    </row>
    <row r="22" spans="1:8" ht="14.4" customHeight="1" x14ac:dyDescent="0.3">
      <c r="A22" s="615" t="s">
        <v>529</v>
      </c>
      <c r="B22" s="616" t="s">
        <v>510</v>
      </c>
      <c r="C22" s="617" t="s">
        <v>511</v>
      </c>
      <c r="D22" s="617">
        <v>450.65701893399165</v>
      </c>
      <c r="E22" s="617">
        <v>75.429788824331993</v>
      </c>
      <c r="F22" s="618">
        <v>0.16737737493306479</v>
      </c>
      <c r="G22" s="617">
        <v>-375.22723010965967</v>
      </c>
      <c r="H22" s="617" t="s">
        <v>2</v>
      </c>
    </row>
    <row r="23" spans="1:8" ht="14.4" customHeight="1" x14ac:dyDescent="0.3">
      <c r="A23" s="615" t="s">
        <v>529</v>
      </c>
      <c r="B23" s="616" t="s">
        <v>6</v>
      </c>
      <c r="C23" s="617" t="s">
        <v>530</v>
      </c>
      <c r="D23" s="617">
        <v>450.65701893399165</v>
      </c>
      <c r="E23" s="617">
        <v>75.429788824331993</v>
      </c>
      <c r="F23" s="618">
        <v>0.16737737493306479</v>
      </c>
      <c r="G23" s="617">
        <v>-375.22723010965967</v>
      </c>
      <c r="H23" s="617" t="s">
        <v>525</v>
      </c>
    </row>
    <row r="24" spans="1:8" ht="14.4" customHeight="1" x14ac:dyDescent="0.3">
      <c r="A24" s="615" t="s">
        <v>508</v>
      </c>
      <c r="B24" s="616" t="s">
        <v>508</v>
      </c>
      <c r="C24" s="617" t="s">
        <v>508</v>
      </c>
      <c r="D24" s="617" t="s">
        <v>508</v>
      </c>
      <c r="E24" s="617" t="s">
        <v>508</v>
      </c>
      <c r="F24" s="618" t="s">
        <v>508</v>
      </c>
      <c r="G24" s="617" t="s">
        <v>508</v>
      </c>
      <c r="H24" s="617" t="s">
        <v>526</v>
      </c>
    </row>
    <row r="25" spans="1:8" ht="14.4" customHeight="1" x14ac:dyDescent="0.3">
      <c r="A25" s="615" t="s">
        <v>531</v>
      </c>
      <c r="B25" s="616" t="s">
        <v>510</v>
      </c>
      <c r="C25" s="617" t="s">
        <v>511</v>
      </c>
      <c r="D25" s="617">
        <v>450658.01588954334</v>
      </c>
      <c r="E25" s="617">
        <v>312874.20205667871</v>
      </c>
      <c r="F25" s="618">
        <v>0.69426081646213178</v>
      </c>
      <c r="G25" s="617">
        <v>-137783.81383286463</v>
      </c>
      <c r="H25" s="617" t="s">
        <v>2</v>
      </c>
    </row>
    <row r="26" spans="1:8" ht="14.4" customHeight="1" x14ac:dyDescent="0.3">
      <c r="A26" s="615" t="s">
        <v>531</v>
      </c>
      <c r="B26" s="616" t="s">
        <v>512</v>
      </c>
      <c r="C26" s="617" t="s">
        <v>513</v>
      </c>
      <c r="D26" s="617">
        <v>74176.756340427164</v>
      </c>
      <c r="E26" s="617">
        <v>28370.129027228064</v>
      </c>
      <c r="F26" s="618">
        <v>0.38246656266588491</v>
      </c>
      <c r="G26" s="617">
        <v>-45806.627313199104</v>
      </c>
      <c r="H26" s="617" t="s">
        <v>2</v>
      </c>
    </row>
    <row r="27" spans="1:8" ht="14.4" customHeight="1" x14ac:dyDescent="0.3">
      <c r="A27" s="615" t="s">
        <v>531</v>
      </c>
      <c r="B27" s="616" t="s">
        <v>514</v>
      </c>
      <c r="C27" s="617" t="s">
        <v>515</v>
      </c>
      <c r="D27" s="617">
        <v>72500.636598458834</v>
      </c>
      <c r="E27" s="617">
        <v>40607.699999999997</v>
      </c>
      <c r="F27" s="618">
        <v>0.56010128883286536</v>
      </c>
      <c r="G27" s="617">
        <v>-31892.936598458837</v>
      </c>
      <c r="H27" s="617" t="s">
        <v>2</v>
      </c>
    </row>
    <row r="28" spans="1:8" ht="14.4" customHeight="1" x14ac:dyDescent="0.3">
      <c r="A28" s="615" t="s">
        <v>531</v>
      </c>
      <c r="B28" s="616" t="s">
        <v>518</v>
      </c>
      <c r="C28" s="617" t="s">
        <v>519</v>
      </c>
      <c r="D28" s="617">
        <v>51828.350650020999</v>
      </c>
      <c r="E28" s="617">
        <v>41070.827297468451</v>
      </c>
      <c r="F28" s="618">
        <v>0.7924394039626228</v>
      </c>
      <c r="G28" s="617">
        <v>-10757.523352552547</v>
      </c>
      <c r="H28" s="617" t="s">
        <v>2</v>
      </c>
    </row>
    <row r="29" spans="1:8" ht="14.4" customHeight="1" x14ac:dyDescent="0.3">
      <c r="A29" s="615" t="s">
        <v>531</v>
      </c>
      <c r="B29" s="616" t="s">
        <v>520</v>
      </c>
      <c r="C29" s="617" t="s">
        <v>521</v>
      </c>
      <c r="D29" s="617">
        <v>8408.9963030550498</v>
      </c>
      <c r="E29" s="617">
        <v>3437.0990024398779</v>
      </c>
      <c r="F29" s="618">
        <v>0.40874069610319069</v>
      </c>
      <c r="G29" s="617">
        <v>-4971.8973006151718</v>
      </c>
      <c r="H29" s="617" t="s">
        <v>2</v>
      </c>
    </row>
    <row r="30" spans="1:8" ht="14.4" customHeight="1" x14ac:dyDescent="0.3">
      <c r="A30" s="615" t="s">
        <v>531</v>
      </c>
      <c r="B30" s="616" t="s">
        <v>6</v>
      </c>
      <c r="C30" s="617" t="s">
        <v>532</v>
      </c>
      <c r="D30" s="617">
        <v>658820.40896283556</v>
      </c>
      <c r="E30" s="617">
        <v>426359.95738381508</v>
      </c>
      <c r="F30" s="618">
        <v>0.64715657193289267</v>
      </c>
      <c r="G30" s="617">
        <v>-232460.45157902048</v>
      </c>
      <c r="H30" s="617" t="s">
        <v>525</v>
      </c>
    </row>
    <row r="31" spans="1:8" ht="14.4" customHeight="1" x14ac:dyDescent="0.3">
      <c r="A31" s="615" t="s">
        <v>508</v>
      </c>
      <c r="B31" s="616" t="s">
        <v>508</v>
      </c>
      <c r="C31" s="617" t="s">
        <v>508</v>
      </c>
      <c r="D31" s="617" t="s">
        <v>508</v>
      </c>
      <c r="E31" s="617" t="s">
        <v>508</v>
      </c>
      <c r="F31" s="618" t="s">
        <v>508</v>
      </c>
      <c r="G31" s="617" t="s">
        <v>508</v>
      </c>
      <c r="H31" s="617" t="s">
        <v>526</v>
      </c>
    </row>
    <row r="32" spans="1:8" ht="14.4" customHeight="1" x14ac:dyDescent="0.3">
      <c r="A32" s="615" t="s">
        <v>533</v>
      </c>
      <c r="B32" s="616" t="s">
        <v>510</v>
      </c>
      <c r="C32" s="617" t="s">
        <v>511</v>
      </c>
      <c r="D32" s="617">
        <v>174837.76071421665</v>
      </c>
      <c r="E32" s="617">
        <v>268113.59353336249</v>
      </c>
      <c r="F32" s="618">
        <v>1.5334993564211286</v>
      </c>
      <c r="G32" s="617">
        <v>93275.832819145842</v>
      </c>
      <c r="H32" s="617" t="s">
        <v>2</v>
      </c>
    </row>
    <row r="33" spans="1:8" ht="14.4" customHeight="1" x14ac:dyDescent="0.3">
      <c r="A33" s="615" t="s">
        <v>533</v>
      </c>
      <c r="B33" s="616" t="s">
        <v>516</v>
      </c>
      <c r="C33" s="617" t="s">
        <v>517</v>
      </c>
      <c r="D33" s="617">
        <v>1235.8772114013634</v>
      </c>
      <c r="E33" s="617">
        <v>8458.3799999999992</v>
      </c>
      <c r="F33" s="618">
        <v>6.8440294245809641</v>
      </c>
      <c r="G33" s="617">
        <v>7222.5027885986356</v>
      </c>
      <c r="H33" s="617" t="s">
        <v>2</v>
      </c>
    </row>
    <row r="34" spans="1:8" ht="14.4" customHeight="1" x14ac:dyDescent="0.3">
      <c r="A34" s="615" t="s">
        <v>533</v>
      </c>
      <c r="B34" s="616" t="s">
        <v>518</v>
      </c>
      <c r="C34" s="617" t="s">
        <v>519</v>
      </c>
      <c r="D34" s="617">
        <v>160.46085361391218</v>
      </c>
      <c r="E34" s="617">
        <v>195.54984271280637</v>
      </c>
      <c r="F34" s="618">
        <v>1.2186763207886357</v>
      </c>
      <c r="G34" s="617">
        <v>35.088989098894189</v>
      </c>
      <c r="H34" s="617" t="s">
        <v>2</v>
      </c>
    </row>
    <row r="35" spans="1:8" ht="14.4" customHeight="1" x14ac:dyDescent="0.3">
      <c r="A35" s="615" t="s">
        <v>533</v>
      </c>
      <c r="B35" s="616" t="s">
        <v>6</v>
      </c>
      <c r="C35" s="617" t="s">
        <v>534</v>
      </c>
      <c r="D35" s="617">
        <v>176234.09877923192</v>
      </c>
      <c r="E35" s="617">
        <v>276767.52337607532</v>
      </c>
      <c r="F35" s="618">
        <v>1.5704538752332</v>
      </c>
      <c r="G35" s="617">
        <v>100533.4245968434</v>
      </c>
      <c r="H35" s="617" t="s">
        <v>525</v>
      </c>
    </row>
    <row r="36" spans="1:8" ht="14.4" customHeight="1" x14ac:dyDescent="0.3">
      <c r="A36" s="615" t="s">
        <v>508</v>
      </c>
      <c r="B36" s="616" t="s">
        <v>508</v>
      </c>
      <c r="C36" s="617" t="s">
        <v>508</v>
      </c>
      <c r="D36" s="617" t="s">
        <v>508</v>
      </c>
      <c r="E36" s="617" t="s">
        <v>508</v>
      </c>
      <c r="F36" s="618" t="s">
        <v>508</v>
      </c>
      <c r="G36" s="617" t="s">
        <v>508</v>
      </c>
      <c r="H36" s="617" t="s">
        <v>526</v>
      </c>
    </row>
    <row r="37" spans="1:8" ht="14.4" customHeight="1" x14ac:dyDescent="0.3">
      <c r="A37" s="615" t="s">
        <v>507</v>
      </c>
      <c r="B37" s="616" t="s">
        <v>6</v>
      </c>
      <c r="C37" s="617" t="s">
        <v>509</v>
      </c>
      <c r="D37" s="617">
        <v>941888.52136407874</v>
      </c>
      <c r="E37" s="617">
        <v>813802.47109954606</v>
      </c>
      <c r="F37" s="618">
        <v>0.86401145426527381</v>
      </c>
      <c r="G37" s="617">
        <v>-128086.05026453268</v>
      </c>
      <c r="H37" s="617" t="s">
        <v>522</v>
      </c>
    </row>
  </sheetData>
  <autoFilter ref="A3:G3"/>
  <mergeCells count="1">
    <mergeCell ref="A1:G1"/>
  </mergeCells>
  <conditionalFormatting sqref="F12 F38:F65536">
    <cfRule type="cellIs" dxfId="65" priority="15" stopIfTrue="1" operator="greaterThan">
      <formula>1</formula>
    </cfRule>
  </conditionalFormatting>
  <conditionalFormatting sqref="B4:B11">
    <cfRule type="expression" dxfId="64" priority="12">
      <formula>AND(LEFT(H4,6)&lt;&gt;"mezera",H4&lt;&gt;"")</formula>
    </cfRule>
  </conditionalFormatting>
  <conditionalFormatting sqref="A4:A11">
    <cfRule type="expression" dxfId="63" priority="10">
      <formula>AND(H4&lt;&gt;"",H4&lt;&gt;"mezeraKL")</formula>
    </cfRule>
  </conditionalFormatting>
  <conditionalFormatting sqref="G4:G11">
    <cfRule type="cellIs" dxfId="62" priority="9" operator="greaterThan">
      <formula>0</formula>
    </cfRule>
  </conditionalFormatting>
  <conditionalFormatting sqref="F4:F11">
    <cfRule type="cellIs" dxfId="61" priority="8" operator="greaterThan">
      <formula>1</formula>
    </cfRule>
  </conditionalFormatting>
  <conditionalFormatting sqref="B4:G11">
    <cfRule type="expression" dxfId="60" priority="11">
      <formula>OR($H4="KL",$H4="SumaKL")</formula>
    </cfRule>
    <cfRule type="expression" dxfId="59" priority="13">
      <formula>$H4="SumaNS"</formula>
    </cfRule>
  </conditionalFormatting>
  <conditionalFormatting sqref="A4:G11">
    <cfRule type="expression" dxfId="58" priority="14">
      <formula>$H4&lt;&gt;""</formula>
    </cfRule>
  </conditionalFormatting>
  <conditionalFormatting sqref="F13:F37">
    <cfRule type="cellIs" dxfId="57" priority="3" operator="greaterThan">
      <formula>1</formula>
    </cfRule>
  </conditionalFormatting>
  <conditionalFormatting sqref="B13:B37">
    <cfRule type="expression" dxfId="56" priority="6">
      <formula>AND(LEFT(H13,6)&lt;&gt;"mezera",H13&lt;&gt;"")</formula>
    </cfRule>
  </conditionalFormatting>
  <conditionalFormatting sqref="A13:A37">
    <cfRule type="expression" dxfId="55" priority="4">
      <formula>AND(H13&lt;&gt;"",H13&lt;&gt;"mezeraKL")</formula>
    </cfRule>
  </conditionalFormatting>
  <conditionalFormatting sqref="G13:G37">
    <cfRule type="cellIs" dxfId="54" priority="2" operator="greaterThan">
      <formula>0</formula>
    </cfRule>
  </conditionalFormatting>
  <conditionalFormatting sqref="B13:G37">
    <cfRule type="expression" dxfId="53" priority="5">
      <formula>OR($H13="KL",$H13="SumaKL")</formula>
    </cfRule>
    <cfRule type="expression" dxfId="52" priority="7">
      <formula>$H13="SumaNS"</formula>
    </cfRule>
  </conditionalFormatting>
  <conditionalFormatting sqref="A13:G37">
    <cfRule type="expression" dxfId="51" priority="1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5" style="345" customWidth="1"/>
    <col min="8" max="8" width="12.44140625" style="345" hidden="1" customWidth="1" outlineLevel="1"/>
    <col min="9" max="9" width="8.5546875" style="345" hidden="1" customWidth="1" outlineLevel="1"/>
    <col min="10" max="10" width="25.77734375" style="345" customWidth="1" collapsed="1"/>
    <col min="11" max="11" width="8.77734375" style="345" customWidth="1"/>
    <col min="12" max="13" width="7.77734375" style="343" customWidth="1"/>
    <col min="14" max="14" width="11.109375" style="343" customWidth="1"/>
    <col min="15" max="16384" width="8.88671875" style="260"/>
  </cols>
  <sheetData>
    <row r="1" spans="1:14" ht="18.600000000000001" customHeight="1" thickBot="1" x14ac:dyDescent="0.4">
      <c r="A1" s="492" t="s">
        <v>212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</row>
    <row r="2" spans="1:14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7"/>
      <c r="J2" s="347"/>
      <c r="K2" s="347"/>
      <c r="L2" s="348"/>
      <c r="M2" s="348"/>
      <c r="N2" s="348"/>
    </row>
    <row r="3" spans="1:14" ht="14.4" customHeight="1" thickBot="1" x14ac:dyDescent="0.35">
      <c r="A3" s="66"/>
      <c r="B3" s="66"/>
      <c r="C3" s="488"/>
      <c r="D3" s="489"/>
      <c r="E3" s="489"/>
      <c r="F3" s="489"/>
      <c r="G3" s="489"/>
      <c r="H3" s="489"/>
      <c r="I3" s="489"/>
      <c r="J3" s="490" t="s">
        <v>163</v>
      </c>
      <c r="K3" s="491"/>
      <c r="L3" s="213">
        <f>IF(M3&lt;&gt;0,N3/M3,0)</f>
        <v>175.50193467749531</v>
      </c>
      <c r="M3" s="213">
        <f>SUBTOTAL(9,M5:M1048576)</f>
        <v>4637</v>
      </c>
      <c r="N3" s="214">
        <f>SUBTOTAL(9,N5:N1048576)</f>
        <v>813802.47109954571</v>
      </c>
    </row>
    <row r="4" spans="1:14" s="344" customFormat="1" ht="14.4" customHeight="1" thickBot="1" x14ac:dyDescent="0.35">
      <c r="A4" s="619" t="s">
        <v>7</v>
      </c>
      <c r="B4" s="620" t="s">
        <v>8</v>
      </c>
      <c r="C4" s="620" t="s">
        <v>0</v>
      </c>
      <c r="D4" s="620" t="s">
        <v>9</v>
      </c>
      <c r="E4" s="620" t="s">
        <v>10</v>
      </c>
      <c r="F4" s="620" t="s">
        <v>2</v>
      </c>
      <c r="G4" s="620" t="s">
        <v>11</v>
      </c>
      <c r="H4" s="620" t="s">
        <v>12</v>
      </c>
      <c r="I4" s="620" t="s">
        <v>13</v>
      </c>
      <c r="J4" s="621" t="s">
        <v>14</v>
      </c>
      <c r="K4" s="621" t="s">
        <v>15</v>
      </c>
      <c r="L4" s="622" t="s">
        <v>189</v>
      </c>
      <c r="M4" s="622" t="s">
        <v>16</v>
      </c>
      <c r="N4" s="623" t="s">
        <v>206</v>
      </c>
    </row>
    <row r="5" spans="1:14" ht="14.4" customHeight="1" x14ac:dyDescent="0.3">
      <c r="A5" s="624" t="s">
        <v>507</v>
      </c>
      <c r="B5" s="625" t="s">
        <v>509</v>
      </c>
      <c r="C5" s="626" t="s">
        <v>523</v>
      </c>
      <c r="D5" s="627" t="s">
        <v>524</v>
      </c>
      <c r="E5" s="626" t="s">
        <v>510</v>
      </c>
      <c r="F5" s="627" t="s">
        <v>511</v>
      </c>
      <c r="G5" s="626" t="s">
        <v>535</v>
      </c>
      <c r="H5" s="626" t="s">
        <v>536</v>
      </c>
      <c r="I5" s="626" t="s">
        <v>536</v>
      </c>
      <c r="J5" s="626" t="s">
        <v>537</v>
      </c>
      <c r="K5" s="626" t="s">
        <v>538</v>
      </c>
      <c r="L5" s="628">
        <v>179.39999999999998</v>
      </c>
      <c r="M5" s="628">
        <v>6</v>
      </c>
      <c r="N5" s="629">
        <v>1076.3999999999999</v>
      </c>
    </row>
    <row r="6" spans="1:14" ht="14.4" customHeight="1" x14ac:dyDescent="0.3">
      <c r="A6" s="630" t="s">
        <v>507</v>
      </c>
      <c r="B6" s="631" t="s">
        <v>509</v>
      </c>
      <c r="C6" s="632" t="s">
        <v>523</v>
      </c>
      <c r="D6" s="633" t="s">
        <v>524</v>
      </c>
      <c r="E6" s="632" t="s">
        <v>510</v>
      </c>
      <c r="F6" s="633" t="s">
        <v>511</v>
      </c>
      <c r="G6" s="632" t="s">
        <v>535</v>
      </c>
      <c r="H6" s="632" t="s">
        <v>539</v>
      </c>
      <c r="I6" s="632" t="s">
        <v>539</v>
      </c>
      <c r="J6" s="632" t="s">
        <v>540</v>
      </c>
      <c r="K6" s="632" t="s">
        <v>541</v>
      </c>
      <c r="L6" s="634">
        <v>181.59</v>
      </c>
      <c r="M6" s="634">
        <v>1</v>
      </c>
      <c r="N6" s="635">
        <v>181.59</v>
      </c>
    </row>
    <row r="7" spans="1:14" ht="14.4" customHeight="1" x14ac:dyDescent="0.3">
      <c r="A7" s="630" t="s">
        <v>507</v>
      </c>
      <c r="B7" s="631" t="s">
        <v>509</v>
      </c>
      <c r="C7" s="632" t="s">
        <v>523</v>
      </c>
      <c r="D7" s="633" t="s">
        <v>524</v>
      </c>
      <c r="E7" s="632" t="s">
        <v>510</v>
      </c>
      <c r="F7" s="633" t="s">
        <v>511</v>
      </c>
      <c r="G7" s="632" t="s">
        <v>535</v>
      </c>
      <c r="H7" s="632" t="s">
        <v>542</v>
      </c>
      <c r="I7" s="632" t="s">
        <v>542</v>
      </c>
      <c r="J7" s="632" t="s">
        <v>543</v>
      </c>
      <c r="K7" s="632" t="s">
        <v>541</v>
      </c>
      <c r="L7" s="634">
        <v>149.5</v>
      </c>
      <c r="M7" s="634">
        <v>1</v>
      </c>
      <c r="N7" s="635">
        <v>149.5</v>
      </c>
    </row>
    <row r="8" spans="1:14" ht="14.4" customHeight="1" x14ac:dyDescent="0.3">
      <c r="A8" s="630" t="s">
        <v>507</v>
      </c>
      <c r="B8" s="631" t="s">
        <v>509</v>
      </c>
      <c r="C8" s="632" t="s">
        <v>523</v>
      </c>
      <c r="D8" s="633" t="s">
        <v>524</v>
      </c>
      <c r="E8" s="632" t="s">
        <v>510</v>
      </c>
      <c r="F8" s="633" t="s">
        <v>511</v>
      </c>
      <c r="G8" s="632" t="s">
        <v>535</v>
      </c>
      <c r="H8" s="632" t="s">
        <v>544</v>
      </c>
      <c r="I8" s="632" t="s">
        <v>544</v>
      </c>
      <c r="J8" s="632" t="s">
        <v>537</v>
      </c>
      <c r="K8" s="632" t="s">
        <v>545</v>
      </c>
      <c r="L8" s="634">
        <v>97.18</v>
      </c>
      <c r="M8" s="634">
        <v>2</v>
      </c>
      <c r="N8" s="635">
        <v>194.36</v>
      </c>
    </row>
    <row r="9" spans="1:14" ht="14.4" customHeight="1" x14ac:dyDescent="0.3">
      <c r="A9" s="630" t="s">
        <v>507</v>
      </c>
      <c r="B9" s="631" t="s">
        <v>509</v>
      </c>
      <c r="C9" s="632" t="s">
        <v>523</v>
      </c>
      <c r="D9" s="633" t="s">
        <v>524</v>
      </c>
      <c r="E9" s="632" t="s">
        <v>510</v>
      </c>
      <c r="F9" s="633" t="s">
        <v>511</v>
      </c>
      <c r="G9" s="632" t="s">
        <v>535</v>
      </c>
      <c r="H9" s="632" t="s">
        <v>546</v>
      </c>
      <c r="I9" s="632" t="s">
        <v>547</v>
      </c>
      <c r="J9" s="632" t="s">
        <v>548</v>
      </c>
      <c r="K9" s="632" t="s">
        <v>549</v>
      </c>
      <c r="L9" s="634">
        <v>101.48</v>
      </c>
      <c r="M9" s="634">
        <v>1</v>
      </c>
      <c r="N9" s="635">
        <v>101.48</v>
      </c>
    </row>
    <row r="10" spans="1:14" ht="14.4" customHeight="1" x14ac:dyDescent="0.3">
      <c r="A10" s="630" t="s">
        <v>507</v>
      </c>
      <c r="B10" s="631" t="s">
        <v>509</v>
      </c>
      <c r="C10" s="632" t="s">
        <v>523</v>
      </c>
      <c r="D10" s="633" t="s">
        <v>524</v>
      </c>
      <c r="E10" s="632" t="s">
        <v>510</v>
      </c>
      <c r="F10" s="633" t="s">
        <v>511</v>
      </c>
      <c r="G10" s="632" t="s">
        <v>535</v>
      </c>
      <c r="H10" s="632" t="s">
        <v>550</v>
      </c>
      <c r="I10" s="632" t="s">
        <v>551</v>
      </c>
      <c r="J10" s="632" t="s">
        <v>552</v>
      </c>
      <c r="K10" s="632" t="s">
        <v>553</v>
      </c>
      <c r="L10" s="634">
        <v>59.186666666666667</v>
      </c>
      <c r="M10" s="634">
        <v>3</v>
      </c>
      <c r="N10" s="635">
        <v>177.56</v>
      </c>
    </row>
    <row r="11" spans="1:14" ht="14.4" customHeight="1" x14ac:dyDescent="0.3">
      <c r="A11" s="630" t="s">
        <v>507</v>
      </c>
      <c r="B11" s="631" t="s">
        <v>509</v>
      </c>
      <c r="C11" s="632" t="s">
        <v>523</v>
      </c>
      <c r="D11" s="633" t="s">
        <v>524</v>
      </c>
      <c r="E11" s="632" t="s">
        <v>510</v>
      </c>
      <c r="F11" s="633" t="s">
        <v>511</v>
      </c>
      <c r="G11" s="632" t="s">
        <v>535</v>
      </c>
      <c r="H11" s="632" t="s">
        <v>554</v>
      </c>
      <c r="I11" s="632" t="s">
        <v>555</v>
      </c>
      <c r="J11" s="632" t="s">
        <v>552</v>
      </c>
      <c r="K11" s="632" t="s">
        <v>556</v>
      </c>
      <c r="L11" s="634">
        <v>65.229739266997697</v>
      </c>
      <c r="M11" s="634">
        <v>1</v>
      </c>
      <c r="N11" s="635">
        <v>65.229739266997697</v>
      </c>
    </row>
    <row r="12" spans="1:14" ht="14.4" customHeight="1" x14ac:dyDescent="0.3">
      <c r="A12" s="630" t="s">
        <v>507</v>
      </c>
      <c r="B12" s="631" t="s">
        <v>509</v>
      </c>
      <c r="C12" s="632" t="s">
        <v>523</v>
      </c>
      <c r="D12" s="633" t="s">
        <v>524</v>
      </c>
      <c r="E12" s="632" t="s">
        <v>510</v>
      </c>
      <c r="F12" s="633" t="s">
        <v>511</v>
      </c>
      <c r="G12" s="632" t="s">
        <v>535</v>
      </c>
      <c r="H12" s="632" t="s">
        <v>557</v>
      </c>
      <c r="I12" s="632" t="s">
        <v>558</v>
      </c>
      <c r="J12" s="632" t="s">
        <v>559</v>
      </c>
      <c r="K12" s="632" t="s">
        <v>560</v>
      </c>
      <c r="L12" s="634">
        <v>81.059298543434963</v>
      </c>
      <c r="M12" s="634">
        <v>13</v>
      </c>
      <c r="N12" s="635">
        <v>1053.7708810646545</v>
      </c>
    </row>
    <row r="13" spans="1:14" ht="14.4" customHeight="1" x14ac:dyDescent="0.3">
      <c r="A13" s="630" t="s">
        <v>507</v>
      </c>
      <c r="B13" s="631" t="s">
        <v>509</v>
      </c>
      <c r="C13" s="632" t="s">
        <v>523</v>
      </c>
      <c r="D13" s="633" t="s">
        <v>524</v>
      </c>
      <c r="E13" s="632" t="s">
        <v>510</v>
      </c>
      <c r="F13" s="633" t="s">
        <v>511</v>
      </c>
      <c r="G13" s="632" t="s">
        <v>535</v>
      </c>
      <c r="H13" s="632" t="s">
        <v>561</v>
      </c>
      <c r="I13" s="632" t="s">
        <v>562</v>
      </c>
      <c r="J13" s="632" t="s">
        <v>563</v>
      </c>
      <c r="K13" s="632" t="s">
        <v>564</v>
      </c>
      <c r="L13" s="634">
        <v>37.549999999999997</v>
      </c>
      <c r="M13" s="634">
        <v>1</v>
      </c>
      <c r="N13" s="635">
        <v>37.549999999999997</v>
      </c>
    </row>
    <row r="14" spans="1:14" ht="14.4" customHeight="1" x14ac:dyDescent="0.3">
      <c r="A14" s="630" t="s">
        <v>507</v>
      </c>
      <c r="B14" s="631" t="s">
        <v>509</v>
      </c>
      <c r="C14" s="632" t="s">
        <v>523</v>
      </c>
      <c r="D14" s="633" t="s">
        <v>524</v>
      </c>
      <c r="E14" s="632" t="s">
        <v>510</v>
      </c>
      <c r="F14" s="633" t="s">
        <v>511</v>
      </c>
      <c r="G14" s="632" t="s">
        <v>535</v>
      </c>
      <c r="H14" s="632" t="s">
        <v>565</v>
      </c>
      <c r="I14" s="632" t="s">
        <v>566</v>
      </c>
      <c r="J14" s="632" t="s">
        <v>567</v>
      </c>
      <c r="K14" s="632" t="s">
        <v>568</v>
      </c>
      <c r="L14" s="634">
        <v>67.470000000000013</v>
      </c>
      <c r="M14" s="634">
        <v>1</v>
      </c>
      <c r="N14" s="635">
        <v>67.470000000000013</v>
      </c>
    </row>
    <row r="15" spans="1:14" ht="14.4" customHeight="1" x14ac:dyDescent="0.3">
      <c r="A15" s="630" t="s">
        <v>507</v>
      </c>
      <c r="B15" s="631" t="s">
        <v>509</v>
      </c>
      <c r="C15" s="632" t="s">
        <v>523</v>
      </c>
      <c r="D15" s="633" t="s">
        <v>524</v>
      </c>
      <c r="E15" s="632" t="s">
        <v>510</v>
      </c>
      <c r="F15" s="633" t="s">
        <v>511</v>
      </c>
      <c r="G15" s="632" t="s">
        <v>535</v>
      </c>
      <c r="H15" s="632" t="s">
        <v>569</v>
      </c>
      <c r="I15" s="632" t="s">
        <v>570</v>
      </c>
      <c r="J15" s="632" t="s">
        <v>571</v>
      </c>
      <c r="K15" s="632" t="s">
        <v>572</v>
      </c>
      <c r="L15" s="634">
        <v>60.350061745136195</v>
      </c>
      <c r="M15" s="634">
        <v>43</v>
      </c>
      <c r="N15" s="635">
        <v>2595.0526550408563</v>
      </c>
    </row>
    <row r="16" spans="1:14" ht="14.4" customHeight="1" x14ac:dyDescent="0.3">
      <c r="A16" s="630" t="s">
        <v>507</v>
      </c>
      <c r="B16" s="631" t="s">
        <v>509</v>
      </c>
      <c r="C16" s="632" t="s">
        <v>523</v>
      </c>
      <c r="D16" s="633" t="s">
        <v>524</v>
      </c>
      <c r="E16" s="632" t="s">
        <v>510</v>
      </c>
      <c r="F16" s="633" t="s">
        <v>511</v>
      </c>
      <c r="G16" s="632" t="s">
        <v>535</v>
      </c>
      <c r="H16" s="632" t="s">
        <v>573</v>
      </c>
      <c r="I16" s="632" t="s">
        <v>574</v>
      </c>
      <c r="J16" s="632" t="s">
        <v>575</v>
      </c>
      <c r="K16" s="632" t="s">
        <v>576</v>
      </c>
      <c r="L16" s="634">
        <v>260.00350645547297</v>
      </c>
      <c r="M16" s="634">
        <v>1</v>
      </c>
      <c r="N16" s="635">
        <v>260.00350645547297</v>
      </c>
    </row>
    <row r="17" spans="1:14" ht="14.4" customHeight="1" x14ac:dyDescent="0.3">
      <c r="A17" s="630" t="s">
        <v>507</v>
      </c>
      <c r="B17" s="631" t="s">
        <v>509</v>
      </c>
      <c r="C17" s="632" t="s">
        <v>523</v>
      </c>
      <c r="D17" s="633" t="s">
        <v>524</v>
      </c>
      <c r="E17" s="632" t="s">
        <v>510</v>
      </c>
      <c r="F17" s="633" t="s">
        <v>511</v>
      </c>
      <c r="G17" s="632" t="s">
        <v>535</v>
      </c>
      <c r="H17" s="632" t="s">
        <v>577</v>
      </c>
      <c r="I17" s="632" t="s">
        <v>578</v>
      </c>
      <c r="J17" s="632" t="s">
        <v>579</v>
      </c>
      <c r="K17" s="632" t="s">
        <v>580</v>
      </c>
      <c r="L17" s="634">
        <v>151.13891243950201</v>
      </c>
      <c r="M17" s="634">
        <v>1</v>
      </c>
      <c r="N17" s="635">
        <v>151.13891243950201</v>
      </c>
    </row>
    <row r="18" spans="1:14" ht="14.4" customHeight="1" x14ac:dyDescent="0.3">
      <c r="A18" s="630" t="s">
        <v>507</v>
      </c>
      <c r="B18" s="631" t="s">
        <v>509</v>
      </c>
      <c r="C18" s="632" t="s">
        <v>523</v>
      </c>
      <c r="D18" s="633" t="s">
        <v>524</v>
      </c>
      <c r="E18" s="632" t="s">
        <v>510</v>
      </c>
      <c r="F18" s="633" t="s">
        <v>511</v>
      </c>
      <c r="G18" s="632" t="s">
        <v>535</v>
      </c>
      <c r="H18" s="632" t="s">
        <v>581</v>
      </c>
      <c r="I18" s="632" t="s">
        <v>582</v>
      </c>
      <c r="J18" s="632" t="s">
        <v>583</v>
      </c>
      <c r="K18" s="632" t="s">
        <v>584</v>
      </c>
      <c r="L18" s="634">
        <v>42.18</v>
      </c>
      <c r="M18" s="634">
        <v>1</v>
      </c>
      <c r="N18" s="635">
        <v>42.18</v>
      </c>
    </row>
    <row r="19" spans="1:14" ht="14.4" customHeight="1" x14ac:dyDescent="0.3">
      <c r="A19" s="630" t="s">
        <v>507</v>
      </c>
      <c r="B19" s="631" t="s">
        <v>509</v>
      </c>
      <c r="C19" s="632" t="s">
        <v>523</v>
      </c>
      <c r="D19" s="633" t="s">
        <v>524</v>
      </c>
      <c r="E19" s="632" t="s">
        <v>510</v>
      </c>
      <c r="F19" s="633" t="s">
        <v>511</v>
      </c>
      <c r="G19" s="632" t="s">
        <v>535</v>
      </c>
      <c r="H19" s="632" t="s">
        <v>585</v>
      </c>
      <c r="I19" s="632" t="s">
        <v>585</v>
      </c>
      <c r="J19" s="632" t="s">
        <v>586</v>
      </c>
      <c r="K19" s="632" t="s">
        <v>587</v>
      </c>
      <c r="L19" s="634">
        <v>38.20443596396089</v>
      </c>
      <c r="M19" s="634">
        <v>11</v>
      </c>
      <c r="N19" s="635">
        <v>420.24879560356982</v>
      </c>
    </row>
    <row r="20" spans="1:14" ht="14.4" customHeight="1" x14ac:dyDescent="0.3">
      <c r="A20" s="630" t="s">
        <v>507</v>
      </c>
      <c r="B20" s="631" t="s">
        <v>509</v>
      </c>
      <c r="C20" s="632" t="s">
        <v>523</v>
      </c>
      <c r="D20" s="633" t="s">
        <v>524</v>
      </c>
      <c r="E20" s="632" t="s">
        <v>510</v>
      </c>
      <c r="F20" s="633" t="s">
        <v>511</v>
      </c>
      <c r="G20" s="632" t="s">
        <v>535</v>
      </c>
      <c r="H20" s="632" t="s">
        <v>588</v>
      </c>
      <c r="I20" s="632" t="s">
        <v>589</v>
      </c>
      <c r="J20" s="632" t="s">
        <v>590</v>
      </c>
      <c r="K20" s="632" t="s">
        <v>591</v>
      </c>
      <c r="L20" s="634">
        <v>238.06000000000006</v>
      </c>
      <c r="M20" s="634">
        <v>2</v>
      </c>
      <c r="N20" s="635">
        <v>476.12000000000012</v>
      </c>
    </row>
    <row r="21" spans="1:14" ht="14.4" customHeight="1" x14ac:dyDescent="0.3">
      <c r="A21" s="630" t="s">
        <v>507</v>
      </c>
      <c r="B21" s="631" t="s">
        <v>509</v>
      </c>
      <c r="C21" s="632" t="s">
        <v>523</v>
      </c>
      <c r="D21" s="633" t="s">
        <v>524</v>
      </c>
      <c r="E21" s="632" t="s">
        <v>510</v>
      </c>
      <c r="F21" s="633" t="s">
        <v>511</v>
      </c>
      <c r="G21" s="632" t="s">
        <v>535</v>
      </c>
      <c r="H21" s="632" t="s">
        <v>592</v>
      </c>
      <c r="I21" s="632" t="s">
        <v>593</v>
      </c>
      <c r="J21" s="632" t="s">
        <v>594</v>
      </c>
      <c r="K21" s="632" t="s">
        <v>595</v>
      </c>
      <c r="L21" s="634">
        <v>85.84999999999998</v>
      </c>
      <c r="M21" s="634">
        <v>1</v>
      </c>
      <c r="N21" s="635">
        <v>85.84999999999998</v>
      </c>
    </row>
    <row r="22" spans="1:14" ht="14.4" customHeight="1" x14ac:dyDescent="0.3">
      <c r="A22" s="630" t="s">
        <v>507</v>
      </c>
      <c r="B22" s="631" t="s">
        <v>509</v>
      </c>
      <c r="C22" s="632" t="s">
        <v>523</v>
      </c>
      <c r="D22" s="633" t="s">
        <v>524</v>
      </c>
      <c r="E22" s="632" t="s">
        <v>510</v>
      </c>
      <c r="F22" s="633" t="s">
        <v>511</v>
      </c>
      <c r="G22" s="632" t="s">
        <v>535</v>
      </c>
      <c r="H22" s="632" t="s">
        <v>596</v>
      </c>
      <c r="I22" s="632" t="s">
        <v>597</v>
      </c>
      <c r="J22" s="632" t="s">
        <v>598</v>
      </c>
      <c r="K22" s="632" t="s">
        <v>599</v>
      </c>
      <c r="L22" s="634">
        <v>340.29</v>
      </c>
      <c r="M22" s="634">
        <v>1</v>
      </c>
      <c r="N22" s="635">
        <v>340.29</v>
      </c>
    </row>
    <row r="23" spans="1:14" ht="14.4" customHeight="1" x14ac:dyDescent="0.3">
      <c r="A23" s="630" t="s">
        <v>507</v>
      </c>
      <c r="B23" s="631" t="s">
        <v>509</v>
      </c>
      <c r="C23" s="632" t="s">
        <v>523</v>
      </c>
      <c r="D23" s="633" t="s">
        <v>524</v>
      </c>
      <c r="E23" s="632" t="s">
        <v>510</v>
      </c>
      <c r="F23" s="633" t="s">
        <v>511</v>
      </c>
      <c r="G23" s="632" t="s">
        <v>535</v>
      </c>
      <c r="H23" s="632" t="s">
        <v>600</v>
      </c>
      <c r="I23" s="632" t="s">
        <v>601</v>
      </c>
      <c r="J23" s="632" t="s">
        <v>602</v>
      </c>
      <c r="K23" s="632" t="s">
        <v>603</v>
      </c>
      <c r="L23" s="634">
        <v>46</v>
      </c>
      <c r="M23" s="634">
        <v>1</v>
      </c>
      <c r="N23" s="635">
        <v>46</v>
      </c>
    </row>
    <row r="24" spans="1:14" ht="14.4" customHeight="1" x14ac:dyDescent="0.3">
      <c r="A24" s="630" t="s">
        <v>507</v>
      </c>
      <c r="B24" s="631" t="s">
        <v>509</v>
      </c>
      <c r="C24" s="632" t="s">
        <v>523</v>
      </c>
      <c r="D24" s="633" t="s">
        <v>524</v>
      </c>
      <c r="E24" s="632" t="s">
        <v>510</v>
      </c>
      <c r="F24" s="633" t="s">
        <v>511</v>
      </c>
      <c r="G24" s="632" t="s">
        <v>535</v>
      </c>
      <c r="H24" s="632" t="s">
        <v>604</v>
      </c>
      <c r="I24" s="632" t="s">
        <v>605</v>
      </c>
      <c r="J24" s="632" t="s">
        <v>571</v>
      </c>
      <c r="K24" s="632" t="s">
        <v>606</v>
      </c>
      <c r="L24" s="634">
        <v>22.546362604804276</v>
      </c>
      <c r="M24" s="634">
        <v>35</v>
      </c>
      <c r="N24" s="635">
        <v>789.12269116814969</v>
      </c>
    </row>
    <row r="25" spans="1:14" ht="14.4" customHeight="1" x14ac:dyDescent="0.3">
      <c r="A25" s="630" t="s">
        <v>507</v>
      </c>
      <c r="B25" s="631" t="s">
        <v>509</v>
      </c>
      <c r="C25" s="632" t="s">
        <v>523</v>
      </c>
      <c r="D25" s="633" t="s">
        <v>524</v>
      </c>
      <c r="E25" s="632" t="s">
        <v>510</v>
      </c>
      <c r="F25" s="633" t="s">
        <v>511</v>
      </c>
      <c r="G25" s="632" t="s">
        <v>535</v>
      </c>
      <c r="H25" s="632" t="s">
        <v>607</v>
      </c>
      <c r="I25" s="632" t="s">
        <v>608</v>
      </c>
      <c r="J25" s="632" t="s">
        <v>609</v>
      </c>
      <c r="K25" s="632" t="s">
        <v>610</v>
      </c>
      <c r="L25" s="634">
        <v>77.150000000000006</v>
      </c>
      <c r="M25" s="634">
        <v>1</v>
      </c>
      <c r="N25" s="635">
        <v>77.150000000000006</v>
      </c>
    </row>
    <row r="26" spans="1:14" ht="14.4" customHeight="1" x14ac:dyDescent="0.3">
      <c r="A26" s="630" t="s">
        <v>507</v>
      </c>
      <c r="B26" s="631" t="s">
        <v>509</v>
      </c>
      <c r="C26" s="632" t="s">
        <v>523</v>
      </c>
      <c r="D26" s="633" t="s">
        <v>524</v>
      </c>
      <c r="E26" s="632" t="s">
        <v>510</v>
      </c>
      <c r="F26" s="633" t="s">
        <v>511</v>
      </c>
      <c r="G26" s="632" t="s">
        <v>535</v>
      </c>
      <c r="H26" s="632" t="s">
        <v>611</v>
      </c>
      <c r="I26" s="632" t="s">
        <v>612</v>
      </c>
      <c r="J26" s="632" t="s">
        <v>613</v>
      </c>
      <c r="K26" s="632" t="s">
        <v>614</v>
      </c>
      <c r="L26" s="634">
        <v>68.09</v>
      </c>
      <c r="M26" s="634">
        <v>1</v>
      </c>
      <c r="N26" s="635">
        <v>68.09</v>
      </c>
    </row>
    <row r="27" spans="1:14" ht="14.4" customHeight="1" x14ac:dyDescent="0.3">
      <c r="A27" s="630" t="s">
        <v>507</v>
      </c>
      <c r="B27" s="631" t="s">
        <v>509</v>
      </c>
      <c r="C27" s="632" t="s">
        <v>523</v>
      </c>
      <c r="D27" s="633" t="s">
        <v>524</v>
      </c>
      <c r="E27" s="632" t="s">
        <v>510</v>
      </c>
      <c r="F27" s="633" t="s">
        <v>511</v>
      </c>
      <c r="G27" s="632" t="s">
        <v>535</v>
      </c>
      <c r="H27" s="632" t="s">
        <v>615</v>
      </c>
      <c r="I27" s="632" t="s">
        <v>616</v>
      </c>
      <c r="J27" s="632" t="s">
        <v>617</v>
      </c>
      <c r="K27" s="632" t="s">
        <v>618</v>
      </c>
      <c r="L27" s="634">
        <v>75.239999999999995</v>
      </c>
      <c r="M27" s="634">
        <v>1</v>
      </c>
      <c r="N27" s="635">
        <v>75.239999999999995</v>
      </c>
    </row>
    <row r="28" spans="1:14" ht="14.4" customHeight="1" x14ac:dyDescent="0.3">
      <c r="A28" s="630" t="s">
        <v>507</v>
      </c>
      <c r="B28" s="631" t="s">
        <v>509</v>
      </c>
      <c r="C28" s="632" t="s">
        <v>523</v>
      </c>
      <c r="D28" s="633" t="s">
        <v>524</v>
      </c>
      <c r="E28" s="632" t="s">
        <v>510</v>
      </c>
      <c r="F28" s="633" t="s">
        <v>511</v>
      </c>
      <c r="G28" s="632" t="s">
        <v>535</v>
      </c>
      <c r="H28" s="632" t="s">
        <v>619</v>
      </c>
      <c r="I28" s="632" t="s">
        <v>620</v>
      </c>
      <c r="J28" s="632" t="s">
        <v>621</v>
      </c>
      <c r="K28" s="632" t="s">
        <v>622</v>
      </c>
      <c r="L28" s="634">
        <v>63.607500000000002</v>
      </c>
      <c r="M28" s="634">
        <v>4</v>
      </c>
      <c r="N28" s="635">
        <v>254.43</v>
      </c>
    </row>
    <row r="29" spans="1:14" ht="14.4" customHeight="1" x14ac:dyDescent="0.3">
      <c r="A29" s="630" t="s">
        <v>507</v>
      </c>
      <c r="B29" s="631" t="s">
        <v>509</v>
      </c>
      <c r="C29" s="632" t="s">
        <v>523</v>
      </c>
      <c r="D29" s="633" t="s">
        <v>524</v>
      </c>
      <c r="E29" s="632" t="s">
        <v>510</v>
      </c>
      <c r="F29" s="633" t="s">
        <v>511</v>
      </c>
      <c r="G29" s="632" t="s">
        <v>535</v>
      </c>
      <c r="H29" s="632" t="s">
        <v>623</v>
      </c>
      <c r="I29" s="632" t="s">
        <v>624</v>
      </c>
      <c r="J29" s="632" t="s">
        <v>625</v>
      </c>
      <c r="K29" s="632" t="s">
        <v>626</v>
      </c>
      <c r="L29" s="634">
        <v>46.394999999999996</v>
      </c>
      <c r="M29" s="634">
        <v>2</v>
      </c>
      <c r="N29" s="635">
        <v>92.789999999999992</v>
      </c>
    </row>
    <row r="30" spans="1:14" ht="14.4" customHeight="1" x14ac:dyDescent="0.3">
      <c r="A30" s="630" t="s">
        <v>507</v>
      </c>
      <c r="B30" s="631" t="s">
        <v>509</v>
      </c>
      <c r="C30" s="632" t="s">
        <v>523</v>
      </c>
      <c r="D30" s="633" t="s">
        <v>524</v>
      </c>
      <c r="E30" s="632" t="s">
        <v>510</v>
      </c>
      <c r="F30" s="633" t="s">
        <v>511</v>
      </c>
      <c r="G30" s="632" t="s">
        <v>535</v>
      </c>
      <c r="H30" s="632" t="s">
        <v>627</v>
      </c>
      <c r="I30" s="632" t="s">
        <v>628</v>
      </c>
      <c r="J30" s="632" t="s">
        <v>629</v>
      </c>
      <c r="K30" s="632" t="s">
        <v>630</v>
      </c>
      <c r="L30" s="634">
        <v>41.7</v>
      </c>
      <c r="M30" s="634">
        <v>1</v>
      </c>
      <c r="N30" s="635">
        <v>41.7</v>
      </c>
    </row>
    <row r="31" spans="1:14" ht="14.4" customHeight="1" x14ac:dyDescent="0.3">
      <c r="A31" s="630" t="s">
        <v>507</v>
      </c>
      <c r="B31" s="631" t="s">
        <v>509</v>
      </c>
      <c r="C31" s="632" t="s">
        <v>523</v>
      </c>
      <c r="D31" s="633" t="s">
        <v>524</v>
      </c>
      <c r="E31" s="632" t="s">
        <v>510</v>
      </c>
      <c r="F31" s="633" t="s">
        <v>511</v>
      </c>
      <c r="G31" s="632" t="s">
        <v>535</v>
      </c>
      <c r="H31" s="632" t="s">
        <v>631</v>
      </c>
      <c r="I31" s="632" t="s">
        <v>632</v>
      </c>
      <c r="J31" s="632" t="s">
        <v>633</v>
      </c>
      <c r="K31" s="632" t="s">
        <v>634</v>
      </c>
      <c r="L31" s="634">
        <v>57.119999999999976</v>
      </c>
      <c r="M31" s="634">
        <v>1</v>
      </c>
      <c r="N31" s="635">
        <v>57.119999999999976</v>
      </c>
    </row>
    <row r="32" spans="1:14" ht="14.4" customHeight="1" x14ac:dyDescent="0.3">
      <c r="A32" s="630" t="s">
        <v>507</v>
      </c>
      <c r="B32" s="631" t="s">
        <v>509</v>
      </c>
      <c r="C32" s="632" t="s">
        <v>523</v>
      </c>
      <c r="D32" s="633" t="s">
        <v>524</v>
      </c>
      <c r="E32" s="632" t="s">
        <v>510</v>
      </c>
      <c r="F32" s="633" t="s">
        <v>511</v>
      </c>
      <c r="G32" s="632" t="s">
        <v>535</v>
      </c>
      <c r="H32" s="632" t="s">
        <v>635</v>
      </c>
      <c r="I32" s="632" t="s">
        <v>246</v>
      </c>
      <c r="J32" s="632" t="s">
        <v>636</v>
      </c>
      <c r="K32" s="632"/>
      <c r="L32" s="634">
        <v>100.68</v>
      </c>
      <c r="M32" s="634">
        <v>1</v>
      </c>
      <c r="N32" s="635">
        <v>100.68</v>
      </c>
    </row>
    <row r="33" spans="1:14" ht="14.4" customHeight="1" x14ac:dyDescent="0.3">
      <c r="A33" s="630" t="s">
        <v>507</v>
      </c>
      <c r="B33" s="631" t="s">
        <v>509</v>
      </c>
      <c r="C33" s="632" t="s">
        <v>523</v>
      </c>
      <c r="D33" s="633" t="s">
        <v>524</v>
      </c>
      <c r="E33" s="632" t="s">
        <v>510</v>
      </c>
      <c r="F33" s="633" t="s">
        <v>511</v>
      </c>
      <c r="G33" s="632" t="s">
        <v>535</v>
      </c>
      <c r="H33" s="632" t="s">
        <v>637</v>
      </c>
      <c r="I33" s="632" t="s">
        <v>638</v>
      </c>
      <c r="J33" s="632" t="s">
        <v>639</v>
      </c>
      <c r="K33" s="632" t="s">
        <v>640</v>
      </c>
      <c r="L33" s="634">
        <v>23.62</v>
      </c>
      <c r="M33" s="634">
        <v>2</v>
      </c>
      <c r="N33" s="635">
        <v>47.24</v>
      </c>
    </row>
    <row r="34" spans="1:14" ht="14.4" customHeight="1" x14ac:dyDescent="0.3">
      <c r="A34" s="630" t="s">
        <v>507</v>
      </c>
      <c r="B34" s="631" t="s">
        <v>509</v>
      </c>
      <c r="C34" s="632" t="s">
        <v>523</v>
      </c>
      <c r="D34" s="633" t="s">
        <v>524</v>
      </c>
      <c r="E34" s="632" t="s">
        <v>510</v>
      </c>
      <c r="F34" s="633" t="s">
        <v>511</v>
      </c>
      <c r="G34" s="632" t="s">
        <v>535</v>
      </c>
      <c r="H34" s="632" t="s">
        <v>641</v>
      </c>
      <c r="I34" s="632" t="s">
        <v>642</v>
      </c>
      <c r="J34" s="632" t="s">
        <v>643</v>
      </c>
      <c r="K34" s="632" t="s">
        <v>644</v>
      </c>
      <c r="L34" s="634">
        <v>64.939645074706604</v>
      </c>
      <c r="M34" s="634">
        <v>3</v>
      </c>
      <c r="N34" s="635">
        <v>194.8189352241198</v>
      </c>
    </row>
    <row r="35" spans="1:14" ht="14.4" customHeight="1" x14ac:dyDescent="0.3">
      <c r="A35" s="630" t="s">
        <v>507</v>
      </c>
      <c r="B35" s="631" t="s">
        <v>509</v>
      </c>
      <c r="C35" s="632" t="s">
        <v>523</v>
      </c>
      <c r="D35" s="633" t="s">
        <v>524</v>
      </c>
      <c r="E35" s="632" t="s">
        <v>510</v>
      </c>
      <c r="F35" s="633" t="s">
        <v>511</v>
      </c>
      <c r="G35" s="632" t="s">
        <v>535</v>
      </c>
      <c r="H35" s="632" t="s">
        <v>645</v>
      </c>
      <c r="I35" s="632" t="s">
        <v>646</v>
      </c>
      <c r="J35" s="632" t="s">
        <v>647</v>
      </c>
      <c r="K35" s="632" t="s">
        <v>648</v>
      </c>
      <c r="L35" s="634">
        <v>34.849723891497128</v>
      </c>
      <c r="M35" s="634">
        <v>1</v>
      </c>
      <c r="N35" s="635">
        <v>34.849723891497128</v>
      </c>
    </row>
    <row r="36" spans="1:14" ht="14.4" customHeight="1" x14ac:dyDescent="0.3">
      <c r="A36" s="630" t="s">
        <v>507</v>
      </c>
      <c r="B36" s="631" t="s">
        <v>509</v>
      </c>
      <c r="C36" s="632" t="s">
        <v>523</v>
      </c>
      <c r="D36" s="633" t="s">
        <v>524</v>
      </c>
      <c r="E36" s="632" t="s">
        <v>510</v>
      </c>
      <c r="F36" s="633" t="s">
        <v>511</v>
      </c>
      <c r="G36" s="632" t="s">
        <v>535</v>
      </c>
      <c r="H36" s="632" t="s">
        <v>649</v>
      </c>
      <c r="I36" s="632" t="s">
        <v>650</v>
      </c>
      <c r="J36" s="632" t="s">
        <v>651</v>
      </c>
      <c r="K36" s="632" t="s">
        <v>652</v>
      </c>
      <c r="L36" s="634">
        <v>121.19911656362</v>
      </c>
      <c r="M36" s="634">
        <v>1</v>
      </c>
      <c r="N36" s="635">
        <v>121.19911656362</v>
      </c>
    </row>
    <row r="37" spans="1:14" ht="14.4" customHeight="1" x14ac:dyDescent="0.3">
      <c r="A37" s="630" t="s">
        <v>507</v>
      </c>
      <c r="B37" s="631" t="s">
        <v>509</v>
      </c>
      <c r="C37" s="632" t="s">
        <v>523</v>
      </c>
      <c r="D37" s="633" t="s">
        <v>524</v>
      </c>
      <c r="E37" s="632" t="s">
        <v>510</v>
      </c>
      <c r="F37" s="633" t="s">
        <v>511</v>
      </c>
      <c r="G37" s="632" t="s">
        <v>535</v>
      </c>
      <c r="H37" s="632" t="s">
        <v>653</v>
      </c>
      <c r="I37" s="632" t="s">
        <v>654</v>
      </c>
      <c r="J37" s="632" t="s">
        <v>655</v>
      </c>
      <c r="K37" s="632" t="s">
        <v>656</v>
      </c>
      <c r="L37" s="634">
        <v>59.21</v>
      </c>
      <c r="M37" s="634">
        <v>1</v>
      </c>
      <c r="N37" s="635">
        <v>59.21</v>
      </c>
    </row>
    <row r="38" spans="1:14" ht="14.4" customHeight="1" x14ac:dyDescent="0.3">
      <c r="A38" s="630" t="s">
        <v>507</v>
      </c>
      <c r="B38" s="631" t="s">
        <v>509</v>
      </c>
      <c r="C38" s="632" t="s">
        <v>523</v>
      </c>
      <c r="D38" s="633" t="s">
        <v>524</v>
      </c>
      <c r="E38" s="632" t="s">
        <v>510</v>
      </c>
      <c r="F38" s="633" t="s">
        <v>511</v>
      </c>
      <c r="G38" s="632" t="s">
        <v>535</v>
      </c>
      <c r="H38" s="632" t="s">
        <v>657</v>
      </c>
      <c r="I38" s="632" t="s">
        <v>658</v>
      </c>
      <c r="J38" s="632" t="s">
        <v>659</v>
      </c>
      <c r="K38" s="632" t="s">
        <v>660</v>
      </c>
      <c r="L38" s="634">
        <v>19.139964443268543</v>
      </c>
      <c r="M38" s="634">
        <v>14</v>
      </c>
      <c r="N38" s="635">
        <v>267.95950220575958</v>
      </c>
    </row>
    <row r="39" spans="1:14" ht="14.4" customHeight="1" x14ac:dyDescent="0.3">
      <c r="A39" s="630" t="s">
        <v>507</v>
      </c>
      <c r="B39" s="631" t="s">
        <v>509</v>
      </c>
      <c r="C39" s="632" t="s">
        <v>523</v>
      </c>
      <c r="D39" s="633" t="s">
        <v>524</v>
      </c>
      <c r="E39" s="632" t="s">
        <v>510</v>
      </c>
      <c r="F39" s="633" t="s">
        <v>511</v>
      </c>
      <c r="G39" s="632" t="s">
        <v>535</v>
      </c>
      <c r="H39" s="632" t="s">
        <v>661</v>
      </c>
      <c r="I39" s="632" t="s">
        <v>662</v>
      </c>
      <c r="J39" s="632" t="s">
        <v>663</v>
      </c>
      <c r="K39" s="632" t="s">
        <v>664</v>
      </c>
      <c r="L39" s="634">
        <v>218.178</v>
      </c>
      <c r="M39" s="634">
        <v>1</v>
      </c>
      <c r="N39" s="635">
        <v>218.178</v>
      </c>
    </row>
    <row r="40" spans="1:14" ht="14.4" customHeight="1" x14ac:dyDescent="0.3">
      <c r="A40" s="630" t="s">
        <v>507</v>
      </c>
      <c r="B40" s="631" t="s">
        <v>509</v>
      </c>
      <c r="C40" s="632" t="s">
        <v>523</v>
      </c>
      <c r="D40" s="633" t="s">
        <v>524</v>
      </c>
      <c r="E40" s="632" t="s">
        <v>510</v>
      </c>
      <c r="F40" s="633" t="s">
        <v>511</v>
      </c>
      <c r="G40" s="632" t="s">
        <v>535</v>
      </c>
      <c r="H40" s="632" t="s">
        <v>665</v>
      </c>
      <c r="I40" s="632" t="s">
        <v>666</v>
      </c>
      <c r="J40" s="632" t="s">
        <v>667</v>
      </c>
      <c r="K40" s="632" t="s">
        <v>668</v>
      </c>
      <c r="L40" s="634">
        <v>40.909964562413798</v>
      </c>
      <c r="M40" s="634">
        <v>2</v>
      </c>
      <c r="N40" s="635">
        <v>81.819929124827596</v>
      </c>
    </row>
    <row r="41" spans="1:14" ht="14.4" customHeight="1" x14ac:dyDescent="0.3">
      <c r="A41" s="630" t="s">
        <v>507</v>
      </c>
      <c r="B41" s="631" t="s">
        <v>509</v>
      </c>
      <c r="C41" s="632" t="s">
        <v>523</v>
      </c>
      <c r="D41" s="633" t="s">
        <v>524</v>
      </c>
      <c r="E41" s="632" t="s">
        <v>510</v>
      </c>
      <c r="F41" s="633" t="s">
        <v>511</v>
      </c>
      <c r="G41" s="632" t="s">
        <v>535</v>
      </c>
      <c r="H41" s="632" t="s">
        <v>669</v>
      </c>
      <c r="I41" s="632" t="s">
        <v>670</v>
      </c>
      <c r="J41" s="632" t="s">
        <v>671</v>
      </c>
      <c r="K41" s="632" t="s">
        <v>672</v>
      </c>
      <c r="L41" s="634">
        <v>48.356378597581433</v>
      </c>
      <c r="M41" s="634">
        <v>3</v>
      </c>
      <c r="N41" s="635">
        <v>145.06913579274431</v>
      </c>
    </row>
    <row r="42" spans="1:14" ht="14.4" customHeight="1" x14ac:dyDescent="0.3">
      <c r="A42" s="630" t="s">
        <v>507</v>
      </c>
      <c r="B42" s="631" t="s">
        <v>509</v>
      </c>
      <c r="C42" s="632" t="s">
        <v>523</v>
      </c>
      <c r="D42" s="633" t="s">
        <v>524</v>
      </c>
      <c r="E42" s="632" t="s">
        <v>510</v>
      </c>
      <c r="F42" s="633" t="s">
        <v>511</v>
      </c>
      <c r="G42" s="632" t="s">
        <v>535</v>
      </c>
      <c r="H42" s="632" t="s">
        <v>673</v>
      </c>
      <c r="I42" s="632" t="s">
        <v>674</v>
      </c>
      <c r="J42" s="632" t="s">
        <v>675</v>
      </c>
      <c r="K42" s="632" t="s">
        <v>676</v>
      </c>
      <c r="L42" s="634">
        <v>91.75</v>
      </c>
      <c r="M42" s="634">
        <v>1</v>
      </c>
      <c r="N42" s="635">
        <v>91.75</v>
      </c>
    </row>
    <row r="43" spans="1:14" ht="14.4" customHeight="1" x14ac:dyDescent="0.3">
      <c r="A43" s="630" t="s">
        <v>507</v>
      </c>
      <c r="B43" s="631" t="s">
        <v>509</v>
      </c>
      <c r="C43" s="632" t="s">
        <v>523</v>
      </c>
      <c r="D43" s="633" t="s">
        <v>524</v>
      </c>
      <c r="E43" s="632" t="s">
        <v>510</v>
      </c>
      <c r="F43" s="633" t="s">
        <v>511</v>
      </c>
      <c r="G43" s="632" t="s">
        <v>535</v>
      </c>
      <c r="H43" s="632" t="s">
        <v>677</v>
      </c>
      <c r="I43" s="632" t="s">
        <v>678</v>
      </c>
      <c r="J43" s="632" t="s">
        <v>679</v>
      </c>
      <c r="K43" s="632" t="s">
        <v>680</v>
      </c>
      <c r="L43" s="634">
        <v>1665.2</v>
      </c>
      <c r="M43" s="634">
        <v>0.5</v>
      </c>
      <c r="N43" s="635">
        <v>832.6</v>
      </c>
    </row>
    <row r="44" spans="1:14" ht="14.4" customHeight="1" x14ac:dyDescent="0.3">
      <c r="A44" s="630" t="s">
        <v>507</v>
      </c>
      <c r="B44" s="631" t="s">
        <v>509</v>
      </c>
      <c r="C44" s="632" t="s">
        <v>523</v>
      </c>
      <c r="D44" s="633" t="s">
        <v>524</v>
      </c>
      <c r="E44" s="632" t="s">
        <v>510</v>
      </c>
      <c r="F44" s="633" t="s">
        <v>511</v>
      </c>
      <c r="G44" s="632" t="s">
        <v>535</v>
      </c>
      <c r="H44" s="632" t="s">
        <v>681</v>
      </c>
      <c r="I44" s="632" t="s">
        <v>682</v>
      </c>
      <c r="J44" s="632" t="s">
        <v>683</v>
      </c>
      <c r="K44" s="632" t="s">
        <v>684</v>
      </c>
      <c r="L44" s="634">
        <v>260</v>
      </c>
      <c r="M44" s="634">
        <v>5</v>
      </c>
      <c r="N44" s="635">
        <v>1300</v>
      </c>
    </row>
    <row r="45" spans="1:14" ht="14.4" customHeight="1" x14ac:dyDescent="0.3">
      <c r="A45" s="630" t="s">
        <v>507</v>
      </c>
      <c r="B45" s="631" t="s">
        <v>509</v>
      </c>
      <c r="C45" s="632" t="s">
        <v>523</v>
      </c>
      <c r="D45" s="633" t="s">
        <v>524</v>
      </c>
      <c r="E45" s="632" t="s">
        <v>510</v>
      </c>
      <c r="F45" s="633" t="s">
        <v>511</v>
      </c>
      <c r="G45" s="632" t="s">
        <v>535</v>
      </c>
      <c r="H45" s="632" t="s">
        <v>685</v>
      </c>
      <c r="I45" s="632" t="s">
        <v>686</v>
      </c>
      <c r="J45" s="632" t="s">
        <v>687</v>
      </c>
      <c r="K45" s="632" t="s">
        <v>688</v>
      </c>
      <c r="L45" s="634">
        <v>138.51</v>
      </c>
      <c r="M45" s="634">
        <v>1</v>
      </c>
      <c r="N45" s="635">
        <v>138.51</v>
      </c>
    </row>
    <row r="46" spans="1:14" ht="14.4" customHeight="1" x14ac:dyDescent="0.3">
      <c r="A46" s="630" t="s">
        <v>507</v>
      </c>
      <c r="B46" s="631" t="s">
        <v>509</v>
      </c>
      <c r="C46" s="632" t="s">
        <v>523</v>
      </c>
      <c r="D46" s="633" t="s">
        <v>524</v>
      </c>
      <c r="E46" s="632" t="s">
        <v>510</v>
      </c>
      <c r="F46" s="633" t="s">
        <v>511</v>
      </c>
      <c r="G46" s="632" t="s">
        <v>535</v>
      </c>
      <c r="H46" s="632" t="s">
        <v>689</v>
      </c>
      <c r="I46" s="632" t="s">
        <v>690</v>
      </c>
      <c r="J46" s="632" t="s">
        <v>571</v>
      </c>
      <c r="K46" s="632" t="s">
        <v>691</v>
      </c>
      <c r="L46" s="634">
        <v>60.349999999999994</v>
      </c>
      <c r="M46" s="634">
        <v>9</v>
      </c>
      <c r="N46" s="635">
        <v>543.15</v>
      </c>
    </row>
    <row r="47" spans="1:14" ht="14.4" customHeight="1" x14ac:dyDescent="0.3">
      <c r="A47" s="630" t="s">
        <v>507</v>
      </c>
      <c r="B47" s="631" t="s">
        <v>509</v>
      </c>
      <c r="C47" s="632" t="s">
        <v>523</v>
      </c>
      <c r="D47" s="633" t="s">
        <v>524</v>
      </c>
      <c r="E47" s="632" t="s">
        <v>510</v>
      </c>
      <c r="F47" s="633" t="s">
        <v>511</v>
      </c>
      <c r="G47" s="632" t="s">
        <v>535</v>
      </c>
      <c r="H47" s="632" t="s">
        <v>692</v>
      </c>
      <c r="I47" s="632" t="s">
        <v>693</v>
      </c>
      <c r="J47" s="632" t="s">
        <v>694</v>
      </c>
      <c r="K47" s="632" t="s">
        <v>695</v>
      </c>
      <c r="L47" s="634">
        <v>47.28</v>
      </c>
      <c r="M47" s="634">
        <v>1</v>
      </c>
      <c r="N47" s="635">
        <v>47.28</v>
      </c>
    </row>
    <row r="48" spans="1:14" ht="14.4" customHeight="1" x14ac:dyDescent="0.3">
      <c r="A48" s="630" t="s">
        <v>507</v>
      </c>
      <c r="B48" s="631" t="s">
        <v>509</v>
      </c>
      <c r="C48" s="632" t="s">
        <v>523</v>
      </c>
      <c r="D48" s="633" t="s">
        <v>524</v>
      </c>
      <c r="E48" s="632" t="s">
        <v>510</v>
      </c>
      <c r="F48" s="633" t="s">
        <v>511</v>
      </c>
      <c r="G48" s="632" t="s">
        <v>535</v>
      </c>
      <c r="H48" s="632" t="s">
        <v>696</v>
      </c>
      <c r="I48" s="632" t="s">
        <v>697</v>
      </c>
      <c r="J48" s="632" t="s">
        <v>698</v>
      </c>
      <c r="K48" s="632" t="s">
        <v>699</v>
      </c>
      <c r="L48" s="634">
        <v>49.62</v>
      </c>
      <c r="M48" s="634">
        <v>2</v>
      </c>
      <c r="N48" s="635">
        <v>99.24</v>
      </c>
    </row>
    <row r="49" spans="1:14" ht="14.4" customHeight="1" x14ac:dyDescent="0.3">
      <c r="A49" s="630" t="s">
        <v>507</v>
      </c>
      <c r="B49" s="631" t="s">
        <v>509</v>
      </c>
      <c r="C49" s="632" t="s">
        <v>523</v>
      </c>
      <c r="D49" s="633" t="s">
        <v>524</v>
      </c>
      <c r="E49" s="632" t="s">
        <v>510</v>
      </c>
      <c r="F49" s="633" t="s">
        <v>511</v>
      </c>
      <c r="G49" s="632" t="s">
        <v>535</v>
      </c>
      <c r="H49" s="632" t="s">
        <v>700</v>
      </c>
      <c r="I49" s="632" t="s">
        <v>246</v>
      </c>
      <c r="J49" s="632" t="s">
        <v>701</v>
      </c>
      <c r="K49" s="632"/>
      <c r="L49" s="634">
        <v>58.48</v>
      </c>
      <c r="M49" s="634">
        <v>2</v>
      </c>
      <c r="N49" s="635">
        <v>116.96</v>
      </c>
    </row>
    <row r="50" spans="1:14" ht="14.4" customHeight="1" x14ac:dyDescent="0.3">
      <c r="A50" s="630" t="s">
        <v>507</v>
      </c>
      <c r="B50" s="631" t="s">
        <v>509</v>
      </c>
      <c r="C50" s="632" t="s">
        <v>523</v>
      </c>
      <c r="D50" s="633" t="s">
        <v>524</v>
      </c>
      <c r="E50" s="632" t="s">
        <v>510</v>
      </c>
      <c r="F50" s="633" t="s">
        <v>511</v>
      </c>
      <c r="G50" s="632" t="s">
        <v>535</v>
      </c>
      <c r="H50" s="632" t="s">
        <v>702</v>
      </c>
      <c r="I50" s="632" t="s">
        <v>703</v>
      </c>
      <c r="J50" s="632" t="s">
        <v>704</v>
      </c>
      <c r="K50" s="632" t="s">
        <v>705</v>
      </c>
      <c r="L50" s="634">
        <v>303.69978361815498</v>
      </c>
      <c r="M50" s="634">
        <v>3</v>
      </c>
      <c r="N50" s="635">
        <v>911.099350854465</v>
      </c>
    </row>
    <row r="51" spans="1:14" ht="14.4" customHeight="1" x14ac:dyDescent="0.3">
      <c r="A51" s="630" t="s">
        <v>507</v>
      </c>
      <c r="B51" s="631" t="s">
        <v>509</v>
      </c>
      <c r="C51" s="632" t="s">
        <v>523</v>
      </c>
      <c r="D51" s="633" t="s">
        <v>524</v>
      </c>
      <c r="E51" s="632" t="s">
        <v>510</v>
      </c>
      <c r="F51" s="633" t="s">
        <v>511</v>
      </c>
      <c r="G51" s="632" t="s">
        <v>535</v>
      </c>
      <c r="H51" s="632" t="s">
        <v>706</v>
      </c>
      <c r="I51" s="632" t="s">
        <v>707</v>
      </c>
      <c r="J51" s="632" t="s">
        <v>708</v>
      </c>
      <c r="K51" s="632" t="s">
        <v>709</v>
      </c>
      <c r="L51" s="634">
        <v>50.05</v>
      </c>
      <c r="M51" s="634">
        <v>1</v>
      </c>
      <c r="N51" s="635">
        <v>50.05</v>
      </c>
    </row>
    <row r="52" spans="1:14" ht="14.4" customHeight="1" x14ac:dyDescent="0.3">
      <c r="A52" s="630" t="s">
        <v>507</v>
      </c>
      <c r="B52" s="631" t="s">
        <v>509</v>
      </c>
      <c r="C52" s="632" t="s">
        <v>523</v>
      </c>
      <c r="D52" s="633" t="s">
        <v>524</v>
      </c>
      <c r="E52" s="632" t="s">
        <v>510</v>
      </c>
      <c r="F52" s="633" t="s">
        <v>511</v>
      </c>
      <c r="G52" s="632" t="s">
        <v>535</v>
      </c>
      <c r="H52" s="632" t="s">
        <v>710</v>
      </c>
      <c r="I52" s="632" t="s">
        <v>711</v>
      </c>
      <c r="J52" s="632" t="s">
        <v>712</v>
      </c>
      <c r="K52" s="632" t="s">
        <v>560</v>
      </c>
      <c r="L52" s="634">
        <v>110.2899365434765</v>
      </c>
      <c r="M52" s="634">
        <v>4</v>
      </c>
      <c r="N52" s="635">
        <v>441.159746173906</v>
      </c>
    </row>
    <row r="53" spans="1:14" ht="14.4" customHeight="1" x14ac:dyDescent="0.3">
      <c r="A53" s="630" t="s">
        <v>507</v>
      </c>
      <c r="B53" s="631" t="s">
        <v>509</v>
      </c>
      <c r="C53" s="632" t="s">
        <v>523</v>
      </c>
      <c r="D53" s="633" t="s">
        <v>524</v>
      </c>
      <c r="E53" s="632" t="s">
        <v>510</v>
      </c>
      <c r="F53" s="633" t="s">
        <v>511</v>
      </c>
      <c r="G53" s="632" t="s">
        <v>535</v>
      </c>
      <c r="H53" s="632" t="s">
        <v>713</v>
      </c>
      <c r="I53" s="632" t="s">
        <v>714</v>
      </c>
      <c r="J53" s="632" t="s">
        <v>715</v>
      </c>
      <c r="K53" s="632" t="s">
        <v>716</v>
      </c>
      <c r="L53" s="634">
        <v>117.74</v>
      </c>
      <c r="M53" s="634">
        <v>30</v>
      </c>
      <c r="N53" s="635">
        <v>3532.2</v>
      </c>
    </row>
    <row r="54" spans="1:14" ht="14.4" customHeight="1" x14ac:dyDescent="0.3">
      <c r="A54" s="630" t="s">
        <v>507</v>
      </c>
      <c r="B54" s="631" t="s">
        <v>509</v>
      </c>
      <c r="C54" s="632" t="s">
        <v>523</v>
      </c>
      <c r="D54" s="633" t="s">
        <v>524</v>
      </c>
      <c r="E54" s="632" t="s">
        <v>510</v>
      </c>
      <c r="F54" s="633" t="s">
        <v>511</v>
      </c>
      <c r="G54" s="632" t="s">
        <v>535</v>
      </c>
      <c r="H54" s="632" t="s">
        <v>717</v>
      </c>
      <c r="I54" s="632" t="s">
        <v>718</v>
      </c>
      <c r="J54" s="632" t="s">
        <v>719</v>
      </c>
      <c r="K54" s="632" t="s">
        <v>720</v>
      </c>
      <c r="L54" s="634">
        <v>39.049999999999997</v>
      </c>
      <c r="M54" s="634">
        <v>5</v>
      </c>
      <c r="N54" s="635">
        <v>195.25</v>
      </c>
    </row>
    <row r="55" spans="1:14" ht="14.4" customHeight="1" x14ac:dyDescent="0.3">
      <c r="A55" s="630" t="s">
        <v>507</v>
      </c>
      <c r="B55" s="631" t="s">
        <v>509</v>
      </c>
      <c r="C55" s="632" t="s">
        <v>523</v>
      </c>
      <c r="D55" s="633" t="s">
        <v>524</v>
      </c>
      <c r="E55" s="632" t="s">
        <v>510</v>
      </c>
      <c r="F55" s="633" t="s">
        <v>511</v>
      </c>
      <c r="G55" s="632" t="s">
        <v>535</v>
      </c>
      <c r="H55" s="632" t="s">
        <v>721</v>
      </c>
      <c r="I55" s="632" t="s">
        <v>246</v>
      </c>
      <c r="J55" s="632" t="s">
        <v>722</v>
      </c>
      <c r="K55" s="632"/>
      <c r="L55" s="634">
        <v>70.209962370078557</v>
      </c>
      <c r="M55" s="634">
        <v>4</v>
      </c>
      <c r="N55" s="635">
        <v>280.83984948031423</v>
      </c>
    </row>
    <row r="56" spans="1:14" ht="14.4" customHeight="1" x14ac:dyDescent="0.3">
      <c r="A56" s="630" t="s">
        <v>507</v>
      </c>
      <c r="B56" s="631" t="s">
        <v>509</v>
      </c>
      <c r="C56" s="632" t="s">
        <v>523</v>
      </c>
      <c r="D56" s="633" t="s">
        <v>524</v>
      </c>
      <c r="E56" s="632" t="s">
        <v>510</v>
      </c>
      <c r="F56" s="633" t="s">
        <v>511</v>
      </c>
      <c r="G56" s="632" t="s">
        <v>535</v>
      </c>
      <c r="H56" s="632" t="s">
        <v>723</v>
      </c>
      <c r="I56" s="632" t="s">
        <v>246</v>
      </c>
      <c r="J56" s="632" t="s">
        <v>724</v>
      </c>
      <c r="K56" s="632"/>
      <c r="L56" s="634">
        <v>397.54133557886399</v>
      </c>
      <c r="M56" s="634">
        <v>1</v>
      </c>
      <c r="N56" s="635">
        <v>397.54133557886399</v>
      </c>
    </row>
    <row r="57" spans="1:14" ht="14.4" customHeight="1" x14ac:dyDescent="0.3">
      <c r="A57" s="630" t="s">
        <v>507</v>
      </c>
      <c r="B57" s="631" t="s">
        <v>509</v>
      </c>
      <c r="C57" s="632" t="s">
        <v>523</v>
      </c>
      <c r="D57" s="633" t="s">
        <v>524</v>
      </c>
      <c r="E57" s="632" t="s">
        <v>510</v>
      </c>
      <c r="F57" s="633" t="s">
        <v>511</v>
      </c>
      <c r="G57" s="632" t="s">
        <v>535</v>
      </c>
      <c r="H57" s="632" t="s">
        <v>725</v>
      </c>
      <c r="I57" s="632" t="s">
        <v>246</v>
      </c>
      <c r="J57" s="632" t="s">
        <v>726</v>
      </c>
      <c r="K57" s="632"/>
      <c r="L57" s="634">
        <v>264.47697696610902</v>
      </c>
      <c r="M57" s="634">
        <v>1</v>
      </c>
      <c r="N57" s="635">
        <v>264.47697696610902</v>
      </c>
    </row>
    <row r="58" spans="1:14" ht="14.4" customHeight="1" x14ac:dyDescent="0.3">
      <c r="A58" s="630" t="s">
        <v>507</v>
      </c>
      <c r="B58" s="631" t="s">
        <v>509</v>
      </c>
      <c r="C58" s="632" t="s">
        <v>523</v>
      </c>
      <c r="D58" s="633" t="s">
        <v>524</v>
      </c>
      <c r="E58" s="632" t="s">
        <v>510</v>
      </c>
      <c r="F58" s="633" t="s">
        <v>511</v>
      </c>
      <c r="G58" s="632" t="s">
        <v>535</v>
      </c>
      <c r="H58" s="632" t="s">
        <v>727</v>
      </c>
      <c r="I58" s="632" t="s">
        <v>728</v>
      </c>
      <c r="J58" s="632" t="s">
        <v>729</v>
      </c>
      <c r="K58" s="632" t="s">
        <v>730</v>
      </c>
      <c r="L58" s="634">
        <v>75.179999999999964</v>
      </c>
      <c r="M58" s="634">
        <v>1</v>
      </c>
      <c r="N58" s="635">
        <v>75.179999999999964</v>
      </c>
    </row>
    <row r="59" spans="1:14" ht="14.4" customHeight="1" x14ac:dyDescent="0.3">
      <c r="A59" s="630" t="s">
        <v>507</v>
      </c>
      <c r="B59" s="631" t="s">
        <v>509</v>
      </c>
      <c r="C59" s="632" t="s">
        <v>523</v>
      </c>
      <c r="D59" s="633" t="s">
        <v>524</v>
      </c>
      <c r="E59" s="632" t="s">
        <v>510</v>
      </c>
      <c r="F59" s="633" t="s">
        <v>511</v>
      </c>
      <c r="G59" s="632" t="s">
        <v>535</v>
      </c>
      <c r="H59" s="632" t="s">
        <v>731</v>
      </c>
      <c r="I59" s="632" t="s">
        <v>732</v>
      </c>
      <c r="J59" s="632" t="s">
        <v>733</v>
      </c>
      <c r="K59" s="632" t="s">
        <v>734</v>
      </c>
      <c r="L59" s="634">
        <v>47.272661306901497</v>
      </c>
      <c r="M59" s="634">
        <v>11</v>
      </c>
      <c r="N59" s="635">
        <v>519.99927437591646</v>
      </c>
    </row>
    <row r="60" spans="1:14" ht="14.4" customHeight="1" x14ac:dyDescent="0.3">
      <c r="A60" s="630" t="s">
        <v>507</v>
      </c>
      <c r="B60" s="631" t="s">
        <v>509</v>
      </c>
      <c r="C60" s="632" t="s">
        <v>523</v>
      </c>
      <c r="D60" s="633" t="s">
        <v>524</v>
      </c>
      <c r="E60" s="632" t="s">
        <v>510</v>
      </c>
      <c r="F60" s="633" t="s">
        <v>511</v>
      </c>
      <c r="G60" s="632" t="s">
        <v>535</v>
      </c>
      <c r="H60" s="632" t="s">
        <v>735</v>
      </c>
      <c r="I60" s="632" t="s">
        <v>736</v>
      </c>
      <c r="J60" s="632" t="s">
        <v>737</v>
      </c>
      <c r="K60" s="632" t="s">
        <v>738</v>
      </c>
      <c r="L60" s="634">
        <v>171.40999999999991</v>
      </c>
      <c r="M60" s="634">
        <v>1</v>
      </c>
      <c r="N60" s="635">
        <v>171.40999999999991</v>
      </c>
    </row>
    <row r="61" spans="1:14" ht="14.4" customHeight="1" x14ac:dyDescent="0.3">
      <c r="A61" s="630" t="s">
        <v>507</v>
      </c>
      <c r="B61" s="631" t="s">
        <v>509</v>
      </c>
      <c r="C61" s="632" t="s">
        <v>523</v>
      </c>
      <c r="D61" s="633" t="s">
        <v>524</v>
      </c>
      <c r="E61" s="632" t="s">
        <v>510</v>
      </c>
      <c r="F61" s="633" t="s">
        <v>511</v>
      </c>
      <c r="G61" s="632" t="s">
        <v>535</v>
      </c>
      <c r="H61" s="632" t="s">
        <v>739</v>
      </c>
      <c r="I61" s="632" t="s">
        <v>246</v>
      </c>
      <c r="J61" s="632" t="s">
        <v>740</v>
      </c>
      <c r="K61" s="632"/>
      <c r="L61" s="634">
        <v>489.36011640474419</v>
      </c>
      <c r="M61" s="634">
        <v>4</v>
      </c>
      <c r="N61" s="635">
        <v>1957.4404656189768</v>
      </c>
    </row>
    <row r="62" spans="1:14" ht="14.4" customHeight="1" x14ac:dyDescent="0.3">
      <c r="A62" s="630" t="s">
        <v>507</v>
      </c>
      <c r="B62" s="631" t="s">
        <v>509</v>
      </c>
      <c r="C62" s="632" t="s">
        <v>523</v>
      </c>
      <c r="D62" s="633" t="s">
        <v>524</v>
      </c>
      <c r="E62" s="632" t="s">
        <v>510</v>
      </c>
      <c r="F62" s="633" t="s">
        <v>511</v>
      </c>
      <c r="G62" s="632" t="s">
        <v>535</v>
      </c>
      <c r="H62" s="632" t="s">
        <v>741</v>
      </c>
      <c r="I62" s="632" t="s">
        <v>742</v>
      </c>
      <c r="J62" s="632" t="s">
        <v>743</v>
      </c>
      <c r="K62" s="632" t="s">
        <v>744</v>
      </c>
      <c r="L62" s="634">
        <v>153.76996223926741</v>
      </c>
      <c r="M62" s="634">
        <v>1</v>
      </c>
      <c r="N62" s="635">
        <v>153.76996223926741</v>
      </c>
    </row>
    <row r="63" spans="1:14" ht="14.4" customHeight="1" x14ac:dyDescent="0.3">
      <c r="A63" s="630" t="s">
        <v>507</v>
      </c>
      <c r="B63" s="631" t="s">
        <v>509</v>
      </c>
      <c r="C63" s="632" t="s">
        <v>523</v>
      </c>
      <c r="D63" s="633" t="s">
        <v>524</v>
      </c>
      <c r="E63" s="632" t="s">
        <v>510</v>
      </c>
      <c r="F63" s="633" t="s">
        <v>511</v>
      </c>
      <c r="G63" s="632" t="s">
        <v>535</v>
      </c>
      <c r="H63" s="632" t="s">
        <v>745</v>
      </c>
      <c r="I63" s="632" t="s">
        <v>746</v>
      </c>
      <c r="J63" s="632" t="s">
        <v>747</v>
      </c>
      <c r="K63" s="632" t="s">
        <v>748</v>
      </c>
      <c r="L63" s="634">
        <v>60.2</v>
      </c>
      <c r="M63" s="634">
        <v>1</v>
      </c>
      <c r="N63" s="635">
        <v>60.2</v>
      </c>
    </row>
    <row r="64" spans="1:14" ht="14.4" customHeight="1" x14ac:dyDescent="0.3">
      <c r="A64" s="630" t="s">
        <v>507</v>
      </c>
      <c r="B64" s="631" t="s">
        <v>509</v>
      </c>
      <c r="C64" s="632" t="s">
        <v>523</v>
      </c>
      <c r="D64" s="633" t="s">
        <v>524</v>
      </c>
      <c r="E64" s="632" t="s">
        <v>510</v>
      </c>
      <c r="F64" s="633" t="s">
        <v>511</v>
      </c>
      <c r="G64" s="632" t="s">
        <v>535</v>
      </c>
      <c r="H64" s="632" t="s">
        <v>749</v>
      </c>
      <c r="I64" s="632" t="s">
        <v>246</v>
      </c>
      <c r="J64" s="632" t="s">
        <v>750</v>
      </c>
      <c r="K64" s="632"/>
      <c r="L64" s="634">
        <v>160.328831341957</v>
      </c>
      <c r="M64" s="634">
        <v>1</v>
      </c>
      <c r="N64" s="635">
        <v>160.328831341957</v>
      </c>
    </row>
    <row r="65" spans="1:14" ht="14.4" customHeight="1" x14ac:dyDescent="0.3">
      <c r="A65" s="630" t="s">
        <v>507</v>
      </c>
      <c r="B65" s="631" t="s">
        <v>509</v>
      </c>
      <c r="C65" s="632" t="s">
        <v>523</v>
      </c>
      <c r="D65" s="633" t="s">
        <v>524</v>
      </c>
      <c r="E65" s="632" t="s">
        <v>510</v>
      </c>
      <c r="F65" s="633" t="s">
        <v>511</v>
      </c>
      <c r="G65" s="632" t="s">
        <v>751</v>
      </c>
      <c r="H65" s="632" t="s">
        <v>752</v>
      </c>
      <c r="I65" s="632" t="s">
        <v>753</v>
      </c>
      <c r="J65" s="632" t="s">
        <v>754</v>
      </c>
      <c r="K65" s="632" t="s">
        <v>755</v>
      </c>
      <c r="L65" s="634">
        <v>61.47</v>
      </c>
      <c r="M65" s="634">
        <v>2</v>
      </c>
      <c r="N65" s="635">
        <v>122.94</v>
      </c>
    </row>
    <row r="66" spans="1:14" ht="14.4" customHeight="1" x14ac:dyDescent="0.3">
      <c r="A66" s="630" t="s">
        <v>507</v>
      </c>
      <c r="B66" s="631" t="s">
        <v>509</v>
      </c>
      <c r="C66" s="632" t="s">
        <v>523</v>
      </c>
      <c r="D66" s="633" t="s">
        <v>524</v>
      </c>
      <c r="E66" s="632" t="s">
        <v>510</v>
      </c>
      <c r="F66" s="633" t="s">
        <v>511</v>
      </c>
      <c r="G66" s="632" t="s">
        <v>751</v>
      </c>
      <c r="H66" s="632" t="s">
        <v>756</v>
      </c>
      <c r="I66" s="632" t="s">
        <v>757</v>
      </c>
      <c r="J66" s="632" t="s">
        <v>758</v>
      </c>
      <c r="K66" s="632" t="s">
        <v>759</v>
      </c>
      <c r="L66" s="634">
        <v>3450</v>
      </c>
      <c r="M66" s="634">
        <v>2</v>
      </c>
      <c r="N66" s="635">
        <v>6900</v>
      </c>
    </row>
    <row r="67" spans="1:14" ht="14.4" customHeight="1" x14ac:dyDescent="0.3">
      <c r="A67" s="630" t="s">
        <v>507</v>
      </c>
      <c r="B67" s="631" t="s">
        <v>509</v>
      </c>
      <c r="C67" s="632" t="s">
        <v>523</v>
      </c>
      <c r="D67" s="633" t="s">
        <v>524</v>
      </c>
      <c r="E67" s="632" t="s">
        <v>510</v>
      </c>
      <c r="F67" s="633" t="s">
        <v>511</v>
      </c>
      <c r="G67" s="632" t="s">
        <v>751</v>
      </c>
      <c r="H67" s="632" t="s">
        <v>760</v>
      </c>
      <c r="I67" s="632" t="s">
        <v>761</v>
      </c>
      <c r="J67" s="632" t="s">
        <v>762</v>
      </c>
      <c r="K67" s="632" t="s">
        <v>763</v>
      </c>
      <c r="L67" s="634">
        <v>34.43</v>
      </c>
      <c r="M67" s="634">
        <v>2</v>
      </c>
      <c r="N67" s="635">
        <v>68.86</v>
      </c>
    </row>
    <row r="68" spans="1:14" ht="14.4" customHeight="1" x14ac:dyDescent="0.3">
      <c r="A68" s="630" t="s">
        <v>507</v>
      </c>
      <c r="B68" s="631" t="s">
        <v>509</v>
      </c>
      <c r="C68" s="632" t="s">
        <v>523</v>
      </c>
      <c r="D68" s="633" t="s">
        <v>524</v>
      </c>
      <c r="E68" s="632" t="s">
        <v>510</v>
      </c>
      <c r="F68" s="633" t="s">
        <v>511</v>
      </c>
      <c r="G68" s="632" t="s">
        <v>751</v>
      </c>
      <c r="H68" s="632" t="s">
        <v>764</v>
      </c>
      <c r="I68" s="632" t="s">
        <v>765</v>
      </c>
      <c r="J68" s="632" t="s">
        <v>766</v>
      </c>
      <c r="K68" s="632" t="s">
        <v>767</v>
      </c>
      <c r="L68" s="634">
        <v>47.195056749720948</v>
      </c>
      <c r="M68" s="634">
        <v>2</v>
      </c>
      <c r="N68" s="635">
        <v>94.390113499441895</v>
      </c>
    </row>
    <row r="69" spans="1:14" ht="14.4" customHeight="1" x14ac:dyDescent="0.3">
      <c r="A69" s="630" t="s">
        <v>507</v>
      </c>
      <c r="B69" s="631" t="s">
        <v>509</v>
      </c>
      <c r="C69" s="632" t="s">
        <v>523</v>
      </c>
      <c r="D69" s="633" t="s">
        <v>524</v>
      </c>
      <c r="E69" s="632" t="s">
        <v>510</v>
      </c>
      <c r="F69" s="633" t="s">
        <v>511</v>
      </c>
      <c r="G69" s="632" t="s">
        <v>751</v>
      </c>
      <c r="H69" s="632" t="s">
        <v>768</v>
      </c>
      <c r="I69" s="632" t="s">
        <v>769</v>
      </c>
      <c r="J69" s="632" t="s">
        <v>766</v>
      </c>
      <c r="K69" s="632" t="s">
        <v>770</v>
      </c>
      <c r="L69" s="634">
        <v>71.379876336597306</v>
      </c>
      <c r="M69" s="634">
        <v>1</v>
      </c>
      <c r="N69" s="635">
        <v>71.379876336597306</v>
      </c>
    </row>
    <row r="70" spans="1:14" ht="14.4" customHeight="1" x14ac:dyDescent="0.3">
      <c r="A70" s="630" t="s">
        <v>507</v>
      </c>
      <c r="B70" s="631" t="s">
        <v>509</v>
      </c>
      <c r="C70" s="632" t="s">
        <v>523</v>
      </c>
      <c r="D70" s="633" t="s">
        <v>524</v>
      </c>
      <c r="E70" s="632" t="s">
        <v>510</v>
      </c>
      <c r="F70" s="633" t="s">
        <v>511</v>
      </c>
      <c r="G70" s="632" t="s">
        <v>751</v>
      </c>
      <c r="H70" s="632" t="s">
        <v>771</v>
      </c>
      <c r="I70" s="632" t="s">
        <v>772</v>
      </c>
      <c r="J70" s="632" t="s">
        <v>773</v>
      </c>
      <c r="K70" s="632" t="s">
        <v>774</v>
      </c>
      <c r="L70" s="634">
        <v>68.859698468300607</v>
      </c>
      <c r="M70" s="634">
        <v>4</v>
      </c>
      <c r="N70" s="635">
        <v>275.43879387320243</v>
      </c>
    </row>
    <row r="71" spans="1:14" ht="14.4" customHeight="1" x14ac:dyDescent="0.3">
      <c r="A71" s="630" t="s">
        <v>507</v>
      </c>
      <c r="B71" s="631" t="s">
        <v>509</v>
      </c>
      <c r="C71" s="632" t="s">
        <v>523</v>
      </c>
      <c r="D71" s="633" t="s">
        <v>524</v>
      </c>
      <c r="E71" s="632" t="s">
        <v>510</v>
      </c>
      <c r="F71" s="633" t="s">
        <v>511</v>
      </c>
      <c r="G71" s="632" t="s">
        <v>751</v>
      </c>
      <c r="H71" s="632" t="s">
        <v>775</v>
      </c>
      <c r="I71" s="632" t="s">
        <v>776</v>
      </c>
      <c r="J71" s="632" t="s">
        <v>777</v>
      </c>
      <c r="K71" s="632" t="s">
        <v>778</v>
      </c>
      <c r="L71" s="634">
        <v>121.54</v>
      </c>
      <c r="M71" s="634">
        <v>1</v>
      </c>
      <c r="N71" s="635">
        <v>121.54</v>
      </c>
    </row>
    <row r="72" spans="1:14" ht="14.4" customHeight="1" x14ac:dyDescent="0.3">
      <c r="A72" s="630" t="s">
        <v>507</v>
      </c>
      <c r="B72" s="631" t="s">
        <v>509</v>
      </c>
      <c r="C72" s="632" t="s">
        <v>523</v>
      </c>
      <c r="D72" s="633" t="s">
        <v>524</v>
      </c>
      <c r="E72" s="632" t="s">
        <v>510</v>
      </c>
      <c r="F72" s="633" t="s">
        <v>511</v>
      </c>
      <c r="G72" s="632" t="s">
        <v>751</v>
      </c>
      <c r="H72" s="632" t="s">
        <v>779</v>
      </c>
      <c r="I72" s="632" t="s">
        <v>780</v>
      </c>
      <c r="J72" s="632" t="s">
        <v>781</v>
      </c>
      <c r="K72" s="632" t="s">
        <v>782</v>
      </c>
      <c r="L72" s="634">
        <v>52.81</v>
      </c>
      <c r="M72" s="634">
        <v>1</v>
      </c>
      <c r="N72" s="635">
        <v>52.81</v>
      </c>
    </row>
    <row r="73" spans="1:14" ht="14.4" customHeight="1" x14ac:dyDescent="0.3">
      <c r="A73" s="630" t="s">
        <v>507</v>
      </c>
      <c r="B73" s="631" t="s">
        <v>509</v>
      </c>
      <c r="C73" s="632" t="s">
        <v>523</v>
      </c>
      <c r="D73" s="633" t="s">
        <v>524</v>
      </c>
      <c r="E73" s="632" t="s">
        <v>510</v>
      </c>
      <c r="F73" s="633" t="s">
        <v>511</v>
      </c>
      <c r="G73" s="632" t="s">
        <v>751</v>
      </c>
      <c r="H73" s="632" t="s">
        <v>783</v>
      </c>
      <c r="I73" s="632" t="s">
        <v>784</v>
      </c>
      <c r="J73" s="632" t="s">
        <v>785</v>
      </c>
      <c r="K73" s="632" t="s">
        <v>786</v>
      </c>
      <c r="L73" s="634">
        <v>71.050000000000011</v>
      </c>
      <c r="M73" s="634">
        <v>4</v>
      </c>
      <c r="N73" s="635">
        <v>284.20000000000005</v>
      </c>
    </row>
    <row r="74" spans="1:14" ht="14.4" customHeight="1" x14ac:dyDescent="0.3">
      <c r="A74" s="630" t="s">
        <v>507</v>
      </c>
      <c r="B74" s="631" t="s">
        <v>509</v>
      </c>
      <c r="C74" s="632" t="s">
        <v>523</v>
      </c>
      <c r="D74" s="633" t="s">
        <v>524</v>
      </c>
      <c r="E74" s="632" t="s">
        <v>510</v>
      </c>
      <c r="F74" s="633" t="s">
        <v>511</v>
      </c>
      <c r="G74" s="632" t="s">
        <v>751</v>
      </c>
      <c r="H74" s="632" t="s">
        <v>787</v>
      </c>
      <c r="I74" s="632" t="s">
        <v>788</v>
      </c>
      <c r="J74" s="632" t="s">
        <v>789</v>
      </c>
      <c r="K74" s="632" t="s">
        <v>790</v>
      </c>
      <c r="L74" s="634">
        <v>356.4990500146626</v>
      </c>
      <c r="M74" s="634">
        <v>3</v>
      </c>
      <c r="N74" s="635">
        <v>1069.4971500439879</v>
      </c>
    </row>
    <row r="75" spans="1:14" ht="14.4" customHeight="1" x14ac:dyDescent="0.3">
      <c r="A75" s="630" t="s">
        <v>507</v>
      </c>
      <c r="B75" s="631" t="s">
        <v>509</v>
      </c>
      <c r="C75" s="632" t="s">
        <v>523</v>
      </c>
      <c r="D75" s="633" t="s">
        <v>524</v>
      </c>
      <c r="E75" s="632" t="s">
        <v>510</v>
      </c>
      <c r="F75" s="633" t="s">
        <v>511</v>
      </c>
      <c r="G75" s="632" t="s">
        <v>751</v>
      </c>
      <c r="H75" s="632" t="s">
        <v>791</v>
      </c>
      <c r="I75" s="632" t="s">
        <v>792</v>
      </c>
      <c r="J75" s="632" t="s">
        <v>789</v>
      </c>
      <c r="K75" s="632" t="s">
        <v>793</v>
      </c>
      <c r="L75" s="634">
        <v>413.9996690373664</v>
      </c>
      <c r="M75" s="634">
        <v>5</v>
      </c>
      <c r="N75" s="635">
        <v>2069.998345186832</v>
      </c>
    </row>
    <row r="76" spans="1:14" ht="14.4" customHeight="1" x14ac:dyDescent="0.3">
      <c r="A76" s="630" t="s">
        <v>507</v>
      </c>
      <c r="B76" s="631" t="s">
        <v>509</v>
      </c>
      <c r="C76" s="632" t="s">
        <v>523</v>
      </c>
      <c r="D76" s="633" t="s">
        <v>524</v>
      </c>
      <c r="E76" s="632" t="s">
        <v>518</v>
      </c>
      <c r="F76" s="633" t="s">
        <v>519</v>
      </c>
      <c r="G76" s="632" t="s">
        <v>535</v>
      </c>
      <c r="H76" s="632" t="s">
        <v>794</v>
      </c>
      <c r="I76" s="632" t="s">
        <v>795</v>
      </c>
      <c r="J76" s="632" t="s">
        <v>796</v>
      </c>
      <c r="K76" s="632" t="s">
        <v>797</v>
      </c>
      <c r="L76" s="634">
        <v>39.35</v>
      </c>
      <c r="M76" s="634">
        <v>2</v>
      </c>
      <c r="N76" s="635">
        <v>78.7</v>
      </c>
    </row>
    <row r="77" spans="1:14" ht="14.4" customHeight="1" x14ac:dyDescent="0.3">
      <c r="A77" s="630" t="s">
        <v>507</v>
      </c>
      <c r="B77" s="631" t="s">
        <v>509</v>
      </c>
      <c r="C77" s="632" t="s">
        <v>523</v>
      </c>
      <c r="D77" s="633" t="s">
        <v>524</v>
      </c>
      <c r="E77" s="632" t="s">
        <v>518</v>
      </c>
      <c r="F77" s="633" t="s">
        <v>519</v>
      </c>
      <c r="G77" s="632" t="s">
        <v>535</v>
      </c>
      <c r="H77" s="632" t="s">
        <v>798</v>
      </c>
      <c r="I77" s="632" t="s">
        <v>799</v>
      </c>
      <c r="J77" s="632" t="s">
        <v>800</v>
      </c>
      <c r="K77" s="632" t="s">
        <v>801</v>
      </c>
      <c r="L77" s="634">
        <v>33.409999999999997</v>
      </c>
      <c r="M77" s="634">
        <v>1</v>
      </c>
      <c r="N77" s="635">
        <v>33.409999999999997</v>
      </c>
    </row>
    <row r="78" spans="1:14" ht="14.4" customHeight="1" x14ac:dyDescent="0.3">
      <c r="A78" s="630" t="s">
        <v>507</v>
      </c>
      <c r="B78" s="631" t="s">
        <v>509</v>
      </c>
      <c r="C78" s="632" t="s">
        <v>523</v>
      </c>
      <c r="D78" s="633" t="s">
        <v>524</v>
      </c>
      <c r="E78" s="632" t="s">
        <v>518</v>
      </c>
      <c r="F78" s="633" t="s">
        <v>519</v>
      </c>
      <c r="G78" s="632" t="s">
        <v>535</v>
      </c>
      <c r="H78" s="632" t="s">
        <v>802</v>
      </c>
      <c r="I78" s="632" t="s">
        <v>803</v>
      </c>
      <c r="J78" s="632" t="s">
        <v>804</v>
      </c>
      <c r="K78" s="632" t="s">
        <v>805</v>
      </c>
      <c r="L78" s="634">
        <v>428.73092697043626</v>
      </c>
      <c r="M78" s="634">
        <v>1</v>
      </c>
      <c r="N78" s="635">
        <v>428.73092697043626</v>
      </c>
    </row>
    <row r="79" spans="1:14" ht="14.4" customHeight="1" x14ac:dyDescent="0.3">
      <c r="A79" s="630" t="s">
        <v>507</v>
      </c>
      <c r="B79" s="631" t="s">
        <v>509</v>
      </c>
      <c r="C79" s="632" t="s">
        <v>523</v>
      </c>
      <c r="D79" s="633" t="s">
        <v>524</v>
      </c>
      <c r="E79" s="632" t="s">
        <v>518</v>
      </c>
      <c r="F79" s="633" t="s">
        <v>519</v>
      </c>
      <c r="G79" s="632" t="s">
        <v>535</v>
      </c>
      <c r="H79" s="632" t="s">
        <v>806</v>
      </c>
      <c r="I79" s="632" t="s">
        <v>807</v>
      </c>
      <c r="J79" s="632" t="s">
        <v>808</v>
      </c>
      <c r="K79" s="632" t="s">
        <v>809</v>
      </c>
      <c r="L79" s="634">
        <v>605.26803807596332</v>
      </c>
      <c r="M79" s="634">
        <v>0.3</v>
      </c>
      <c r="N79" s="635">
        <v>181.58041142278898</v>
      </c>
    </row>
    <row r="80" spans="1:14" ht="14.4" customHeight="1" x14ac:dyDescent="0.3">
      <c r="A80" s="630" t="s">
        <v>507</v>
      </c>
      <c r="B80" s="631" t="s">
        <v>509</v>
      </c>
      <c r="C80" s="632" t="s">
        <v>523</v>
      </c>
      <c r="D80" s="633" t="s">
        <v>524</v>
      </c>
      <c r="E80" s="632" t="s">
        <v>518</v>
      </c>
      <c r="F80" s="633" t="s">
        <v>519</v>
      </c>
      <c r="G80" s="632" t="s">
        <v>535</v>
      </c>
      <c r="H80" s="632" t="s">
        <v>810</v>
      </c>
      <c r="I80" s="632" t="s">
        <v>811</v>
      </c>
      <c r="J80" s="632" t="s">
        <v>812</v>
      </c>
      <c r="K80" s="632" t="s">
        <v>813</v>
      </c>
      <c r="L80" s="634">
        <v>517.5</v>
      </c>
      <c r="M80" s="634">
        <v>1.9</v>
      </c>
      <c r="N80" s="635">
        <v>983.25</v>
      </c>
    </row>
    <row r="81" spans="1:14" ht="14.4" customHeight="1" x14ac:dyDescent="0.3">
      <c r="A81" s="630" t="s">
        <v>507</v>
      </c>
      <c r="B81" s="631" t="s">
        <v>509</v>
      </c>
      <c r="C81" s="632" t="s">
        <v>523</v>
      </c>
      <c r="D81" s="633" t="s">
        <v>524</v>
      </c>
      <c r="E81" s="632" t="s">
        <v>518</v>
      </c>
      <c r="F81" s="633" t="s">
        <v>519</v>
      </c>
      <c r="G81" s="632" t="s">
        <v>751</v>
      </c>
      <c r="H81" s="632" t="s">
        <v>814</v>
      </c>
      <c r="I81" s="632" t="s">
        <v>815</v>
      </c>
      <c r="J81" s="632" t="s">
        <v>816</v>
      </c>
      <c r="K81" s="632" t="s">
        <v>817</v>
      </c>
      <c r="L81" s="634">
        <v>88.600000000000009</v>
      </c>
      <c r="M81" s="634">
        <v>33</v>
      </c>
      <c r="N81" s="635">
        <v>2923.8</v>
      </c>
    </row>
    <row r="82" spans="1:14" ht="14.4" customHeight="1" x14ac:dyDescent="0.3">
      <c r="A82" s="630" t="s">
        <v>507</v>
      </c>
      <c r="B82" s="631" t="s">
        <v>509</v>
      </c>
      <c r="C82" s="632" t="s">
        <v>523</v>
      </c>
      <c r="D82" s="633" t="s">
        <v>524</v>
      </c>
      <c r="E82" s="632" t="s">
        <v>518</v>
      </c>
      <c r="F82" s="633" t="s">
        <v>519</v>
      </c>
      <c r="G82" s="632" t="s">
        <v>751</v>
      </c>
      <c r="H82" s="632" t="s">
        <v>818</v>
      </c>
      <c r="I82" s="632" t="s">
        <v>819</v>
      </c>
      <c r="J82" s="632" t="s">
        <v>820</v>
      </c>
      <c r="K82" s="632" t="s">
        <v>821</v>
      </c>
      <c r="L82" s="634">
        <v>45.849999999999994</v>
      </c>
      <c r="M82" s="634">
        <v>10</v>
      </c>
      <c r="N82" s="635">
        <v>458.49999999999994</v>
      </c>
    </row>
    <row r="83" spans="1:14" ht="14.4" customHeight="1" x14ac:dyDescent="0.3">
      <c r="A83" s="630" t="s">
        <v>507</v>
      </c>
      <c r="B83" s="631" t="s">
        <v>509</v>
      </c>
      <c r="C83" s="632" t="s">
        <v>523</v>
      </c>
      <c r="D83" s="633" t="s">
        <v>524</v>
      </c>
      <c r="E83" s="632" t="s">
        <v>518</v>
      </c>
      <c r="F83" s="633" t="s">
        <v>519</v>
      </c>
      <c r="G83" s="632" t="s">
        <v>751</v>
      </c>
      <c r="H83" s="632" t="s">
        <v>822</v>
      </c>
      <c r="I83" s="632" t="s">
        <v>823</v>
      </c>
      <c r="J83" s="632" t="s">
        <v>824</v>
      </c>
      <c r="K83" s="632" t="s">
        <v>825</v>
      </c>
      <c r="L83" s="634">
        <v>57.37</v>
      </c>
      <c r="M83" s="634">
        <v>2</v>
      </c>
      <c r="N83" s="635">
        <v>114.74</v>
      </c>
    </row>
    <row r="84" spans="1:14" ht="14.4" customHeight="1" x14ac:dyDescent="0.3">
      <c r="A84" s="630" t="s">
        <v>507</v>
      </c>
      <c r="B84" s="631" t="s">
        <v>509</v>
      </c>
      <c r="C84" s="632" t="s">
        <v>523</v>
      </c>
      <c r="D84" s="633" t="s">
        <v>524</v>
      </c>
      <c r="E84" s="632" t="s">
        <v>518</v>
      </c>
      <c r="F84" s="633" t="s">
        <v>519</v>
      </c>
      <c r="G84" s="632" t="s">
        <v>751</v>
      </c>
      <c r="H84" s="632" t="s">
        <v>826</v>
      </c>
      <c r="I84" s="632" t="s">
        <v>827</v>
      </c>
      <c r="J84" s="632" t="s">
        <v>828</v>
      </c>
      <c r="K84" s="632" t="s">
        <v>829</v>
      </c>
      <c r="L84" s="634">
        <v>75.224131620179477</v>
      </c>
      <c r="M84" s="634">
        <v>198</v>
      </c>
      <c r="N84" s="635">
        <v>14894.378060795538</v>
      </c>
    </row>
    <row r="85" spans="1:14" ht="14.4" customHeight="1" x14ac:dyDescent="0.3">
      <c r="A85" s="630" t="s">
        <v>507</v>
      </c>
      <c r="B85" s="631" t="s">
        <v>509</v>
      </c>
      <c r="C85" s="632" t="s">
        <v>523</v>
      </c>
      <c r="D85" s="633" t="s">
        <v>524</v>
      </c>
      <c r="E85" s="632" t="s">
        <v>518</v>
      </c>
      <c r="F85" s="633" t="s">
        <v>519</v>
      </c>
      <c r="G85" s="632" t="s">
        <v>751</v>
      </c>
      <c r="H85" s="632" t="s">
        <v>830</v>
      </c>
      <c r="I85" s="632" t="s">
        <v>831</v>
      </c>
      <c r="J85" s="632" t="s">
        <v>832</v>
      </c>
      <c r="K85" s="632" t="s">
        <v>833</v>
      </c>
      <c r="L85" s="634">
        <v>120.43000000000002</v>
      </c>
      <c r="M85" s="634">
        <v>1</v>
      </c>
      <c r="N85" s="635">
        <v>120.43000000000002</v>
      </c>
    </row>
    <row r="86" spans="1:14" ht="14.4" customHeight="1" x14ac:dyDescent="0.3">
      <c r="A86" s="630" t="s">
        <v>507</v>
      </c>
      <c r="B86" s="631" t="s">
        <v>509</v>
      </c>
      <c r="C86" s="632" t="s">
        <v>527</v>
      </c>
      <c r="D86" s="633" t="s">
        <v>528</v>
      </c>
      <c r="E86" s="632" t="s">
        <v>510</v>
      </c>
      <c r="F86" s="633" t="s">
        <v>511</v>
      </c>
      <c r="G86" s="632" t="s">
        <v>535</v>
      </c>
      <c r="H86" s="632" t="s">
        <v>536</v>
      </c>
      <c r="I86" s="632" t="s">
        <v>536</v>
      </c>
      <c r="J86" s="632" t="s">
        <v>537</v>
      </c>
      <c r="K86" s="632" t="s">
        <v>538</v>
      </c>
      <c r="L86" s="634">
        <v>179.4</v>
      </c>
      <c r="M86" s="634">
        <v>12</v>
      </c>
      <c r="N86" s="635">
        <v>2152.8000000000002</v>
      </c>
    </row>
    <row r="87" spans="1:14" ht="14.4" customHeight="1" x14ac:dyDescent="0.3">
      <c r="A87" s="630" t="s">
        <v>507</v>
      </c>
      <c r="B87" s="631" t="s">
        <v>509</v>
      </c>
      <c r="C87" s="632" t="s">
        <v>527</v>
      </c>
      <c r="D87" s="633" t="s">
        <v>528</v>
      </c>
      <c r="E87" s="632" t="s">
        <v>510</v>
      </c>
      <c r="F87" s="633" t="s">
        <v>511</v>
      </c>
      <c r="G87" s="632" t="s">
        <v>535</v>
      </c>
      <c r="H87" s="632" t="s">
        <v>539</v>
      </c>
      <c r="I87" s="632" t="s">
        <v>539</v>
      </c>
      <c r="J87" s="632" t="s">
        <v>540</v>
      </c>
      <c r="K87" s="632" t="s">
        <v>541</v>
      </c>
      <c r="L87" s="634">
        <v>181.59</v>
      </c>
      <c r="M87" s="634">
        <v>1</v>
      </c>
      <c r="N87" s="635">
        <v>181.59</v>
      </c>
    </row>
    <row r="88" spans="1:14" ht="14.4" customHeight="1" x14ac:dyDescent="0.3">
      <c r="A88" s="630" t="s">
        <v>507</v>
      </c>
      <c r="B88" s="631" t="s">
        <v>509</v>
      </c>
      <c r="C88" s="632" t="s">
        <v>527</v>
      </c>
      <c r="D88" s="633" t="s">
        <v>528</v>
      </c>
      <c r="E88" s="632" t="s">
        <v>510</v>
      </c>
      <c r="F88" s="633" t="s">
        <v>511</v>
      </c>
      <c r="G88" s="632" t="s">
        <v>535</v>
      </c>
      <c r="H88" s="632" t="s">
        <v>834</v>
      </c>
      <c r="I88" s="632" t="s">
        <v>835</v>
      </c>
      <c r="J88" s="632" t="s">
        <v>836</v>
      </c>
      <c r="K88" s="632" t="s">
        <v>837</v>
      </c>
      <c r="L88" s="634">
        <v>84.569755982266571</v>
      </c>
      <c r="M88" s="634">
        <v>1</v>
      </c>
      <c r="N88" s="635">
        <v>84.569755982266571</v>
      </c>
    </row>
    <row r="89" spans="1:14" ht="14.4" customHeight="1" x14ac:dyDescent="0.3">
      <c r="A89" s="630" t="s">
        <v>507</v>
      </c>
      <c r="B89" s="631" t="s">
        <v>509</v>
      </c>
      <c r="C89" s="632" t="s">
        <v>527</v>
      </c>
      <c r="D89" s="633" t="s">
        <v>528</v>
      </c>
      <c r="E89" s="632" t="s">
        <v>510</v>
      </c>
      <c r="F89" s="633" t="s">
        <v>511</v>
      </c>
      <c r="G89" s="632" t="s">
        <v>535</v>
      </c>
      <c r="H89" s="632" t="s">
        <v>546</v>
      </c>
      <c r="I89" s="632" t="s">
        <v>547</v>
      </c>
      <c r="J89" s="632" t="s">
        <v>548</v>
      </c>
      <c r="K89" s="632" t="s">
        <v>549</v>
      </c>
      <c r="L89" s="634">
        <v>95.08</v>
      </c>
      <c r="M89" s="634">
        <v>2</v>
      </c>
      <c r="N89" s="635">
        <v>190.16</v>
      </c>
    </row>
    <row r="90" spans="1:14" ht="14.4" customHeight="1" x14ac:dyDescent="0.3">
      <c r="A90" s="630" t="s">
        <v>507</v>
      </c>
      <c r="B90" s="631" t="s">
        <v>509</v>
      </c>
      <c r="C90" s="632" t="s">
        <v>527</v>
      </c>
      <c r="D90" s="633" t="s">
        <v>528</v>
      </c>
      <c r="E90" s="632" t="s">
        <v>510</v>
      </c>
      <c r="F90" s="633" t="s">
        <v>511</v>
      </c>
      <c r="G90" s="632" t="s">
        <v>535</v>
      </c>
      <c r="H90" s="632" t="s">
        <v>838</v>
      </c>
      <c r="I90" s="632" t="s">
        <v>839</v>
      </c>
      <c r="J90" s="632" t="s">
        <v>840</v>
      </c>
      <c r="K90" s="632" t="s">
        <v>841</v>
      </c>
      <c r="L90" s="634">
        <v>119.37999999999997</v>
      </c>
      <c r="M90" s="634">
        <v>1</v>
      </c>
      <c r="N90" s="635">
        <v>119.37999999999997</v>
      </c>
    </row>
    <row r="91" spans="1:14" ht="14.4" customHeight="1" x14ac:dyDescent="0.3">
      <c r="A91" s="630" t="s">
        <v>507</v>
      </c>
      <c r="B91" s="631" t="s">
        <v>509</v>
      </c>
      <c r="C91" s="632" t="s">
        <v>527</v>
      </c>
      <c r="D91" s="633" t="s">
        <v>528</v>
      </c>
      <c r="E91" s="632" t="s">
        <v>510</v>
      </c>
      <c r="F91" s="633" t="s">
        <v>511</v>
      </c>
      <c r="G91" s="632" t="s">
        <v>535</v>
      </c>
      <c r="H91" s="632" t="s">
        <v>557</v>
      </c>
      <c r="I91" s="632" t="s">
        <v>558</v>
      </c>
      <c r="J91" s="632" t="s">
        <v>559</v>
      </c>
      <c r="K91" s="632" t="s">
        <v>560</v>
      </c>
      <c r="L91" s="634">
        <v>81.210199293493972</v>
      </c>
      <c r="M91" s="634">
        <v>16</v>
      </c>
      <c r="N91" s="635">
        <v>1299.3631886959035</v>
      </c>
    </row>
    <row r="92" spans="1:14" ht="14.4" customHeight="1" x14ac:dyDescent="0.3">
      <c r="A92" s="630" t="s">
        <v>507</v>
      </c>
      <c r="B92" s="631" t="s">
        <v>509</v>
      </c>
      <c r="C92" s="632" t="s">
        <v>527</v>
      </c>
      <c r="D92" s="633" t="s">
        <v>528</v>
      </c>
      <c r="E92" s="632" t="s">
        <v>510</v>
      </c>
      <c r="F92" s="633" t="s">
        <v>511</v>
      </c>
      <c r="G92" s="632" t="s">
        <v>535</v>
      </c>
      <c r="H92" s="632" t="s">
        <v>842</v>
      </c>
      <c r="I92" s="632" t="s">
        <v>843</v>
      </c>
      <c r="J92" s="632" t="s">
        <v>844</v>
      </c>
      <c r="K92" s="632" t="s">
        <v>845</v>
      </c>
      <c r="L92" s="634">
        <v>176.31</v>
      </c>
      <c r="M92" s="634">
        <v>1</v>
      </c>
      <c r="N92" s="635">
        <v>176.31</v>
      </c>
    </row>
    <row r="93" spans="1:14" ht="14.4" customHeight="1" x14ac:dyDescent="0.3">
      <c r="A93" s="630" t="s">
        <v>507</v>
      </c>
      <c r="B93" s="631" t="s">
        <v>509</v>
      </c>
      <c r="C93" s="632" t="s">
        <v>527</v>
      </c>
      <c r="D93" s="633" t="s">
        <v>528</v>
      </c>
      <c r="E93" s="632" t="s">
        <v>510</v>
      </c>
      <c r="F93" s="633" t="s">
        <v>511</v>
      </c>
      <c r="G93" s="632" t="s">
        <v>535</v>
      </c>
      <c r="H93" s="632" t="s">
        <v>565</v>
      </c>
      <c r="I93" s="632" t="s">
        <v>566</v>
      </c>
      <c r="J93" s="632" t="s">
        <v>567</v>
      </c>
      <c r="K93" s="632" t="s">
        <v>568</v>
      </c>
      <c r="L93" s="634">
        <v>67.280276992074306</v>
      </c>
      <c r="M93" s="634">
        <v>2</v>
      </c>
      <c r="N93" s="635">
        <v>134.56055398414861</v>
      </c>
    </row>
    <row r="94" spans="1:14" ht="14.4" customHeight="1" x14ac:dyDescent="0.3">
      <c r="A94" s="630" t="s">
        <v>507</v>
      </c>
      <c r="B94" s="631" t="s">
        <v>509</v>
      </c>
      <c r="C94" s="632" t="s">
        <v>527</v>
      </c>
      <c r="D94" s="633" t="s">
        <v>528</v>
      </c>
      <c r="E94" s="632" t="s">
        <v>510</v>
      </c>
      <c r="F94" s="633" t="s">
        <v>511</v>
      </c>
      <c r="G94" s="632" t="s">
        <v>535</v>
      </c>
      <c r="H94" s="632" t="s">
        <v>569</v>
      </c>
      <c r="I94" s="632" t="s">
        <v>570</v>
      </c>
      <c r="J94" s="632" t="s">
        <v>571</v>
      </c>
      <c r="K94" s="632" t="s">
        <v>572</v>
      </c>
      <c r="L94" s="634">
        <v>60.34999995861353</v>
      </c>
      <c r="M94" s="634">
        <v>18</v>
      </c>
      <c r="N94" s="635">
        <v>1086.2999992550435</v>
      </c>
    </row>
    <row r="95" spans="1:14" ht="14.4" customHeight="1" x14ac:dyDescent="0.3">
      <c r="A95" s="630" t="s">
        <v>507</v>
      </c>
      <c r="B95" s="631" t="s">
        <v>509</v>
      </c>
      <c r="C95" s="632" t="s">
        <v>527</v>
      </c>
      <c r="D95" s="633" t="s">
        <v>528</v>
      </c>
      <c r="E95" s="632" t="s">
        <v>510</v>
      </c>
      <c r="F95" s="633" t="s">
        <v>511</v>
      </c>
      <c r="G95" s="632" t="s">
        <v>535</v>
      </c>
      <c r="H95" s="632" t="s">
        <v>585</v>
      </c>
      <c r="I95" s="632" t="s">
        <v>585</v>
      </c>
      <c r="J95" s="632" t="s">
        <v>586</v>
      </c>
      <c r="K95" s="632" t="s">
        <v>587</v>
      </c>
      <c r="L95" s="634">
        <v>38.214503616230481</v>
      </c>
      <c r="M95" s="634">
        <v>20</v>
      </c>
      <c r="N95" s="635">
        <v>764.29007232460958</v>
      </c>
    </row>
    <row r="96" spans="1:14" ht="14.4" customHeight="1" x14ac:dyDescent="0.3">
      <c r="A96" s="630" t="s">
        <v>507</v>
      </c>
      <c r="B96" s="631" t="s">
        <v>509</v>
      </c>
      <c r="C96" s="632" t="s">
        <v>527</v>
      </c>
      <c r="D96" s="633" t="s">
        <v>528</v>
      </c>
      <c r="E96" s="632" t="s">
        <v>510</v>
      </c>
      <c r="F96" s="633" t="s">
        <v>511</v>
      </c>
      <c r="G96" s="632" t="s">
        <v>535</v>
      </c>
      <c r="H96" s="632" t="s">
        <v>588</v>
      </c>
      <c r="I96" s="632" t="s">
        <v>589</v>
      </c>
      <c r="J96" s="632" t="s">
        <v>590</v>
      </c>
      <c r="K96" s="632" t="s">
        <v>591</v>
      </c>
      <c r="L96" s="634">
        <v>237.98333333333335</v>
      </c>
      <c r="M96" s="634">
        <v>3</v>
      </c>
      <c r="N96" s="635">
        <v>713.95</v>
      </c>
    </row>
    <row r="97" spans="1:14" ht="14.4" customHeight="1" x14ac:dyDescent="0.3">
      <c r="A97" s="630" t="s">
        <v>507</v>
      </c>
      <c r="B97" s="631" t="s">
        <v>509</v>
      </c>
      <c r="C97" s="632" t="s">
        <v>527</v>
      </c>
      <c r="D97" s="633" t="s">
        <v>528</v>
      </c>
      <c r="E97" s="632" t="s">
        <v>510</v>
      </c>
      <c r="F97" s="633" t="s">
        <v>511</v>
      </c>
      <c r="G97" s="632" t="s">
        <v>535</v>
      </c>
      <c r="H97" s="632" t="s">
        <v>596</v>
      </c>
      <c r="I97" s="632" t="s">
        <v>597</v>
      </c>
      <c r="J97" s="632" t="s">
        <v>598</v>
      </c>
      <c r="K97" s="632" t="s">
        <v>599</v>
      </c>
      <c r="L97" s="634">
        <v>340.29</v>
      </c>
      <c r="M97" s="634">
        <v>2</v>
      </c>
      <c r="N97" s="635">
        <v>680.58</v>
      </c>
    </row>
    <row r="98" spans="1:14" ht="14.4" customHeight="1" x14ac:dyDescent="0.3">
      <c r="A98" s="630" t="s">
        <v>507</v>
      </c>
      <c r="B98" s="631" t="s">
        <v>509</v>
      </c>
      <c r="C98" s="632" t="s">
        <v>527</v>
      </c>
      <c r="D98" s="633" t="s">
        <v>528</v>
      </c>
      <c r="E98" s="632" t="s">
        <v>510</v>
      </c>
      <c r="F98" s="633" t="s">
        <v>511</v>
      </c>
      <c r="G98" s="632" t="s">
        <v>535</v>
      </c>
      <c r="H98" s="632" t="s">
        <v>604</v>
      </c>
      <c r="I98" s="632" t="s">
        <v>605</v>
      </c>
      <c r="J98" s="632" t="s">
        <v>571</v>
      </c>
      <c r="K98" s="632" t="s">
        <v>606</v>
      </c>
      <c r="L98" s="634">
        <v>22.514176337720688</v>
      </c>
      <c r="M98" s="634">
        <v>51</v>
      </c>
      <c r="N98" s="635">
        <v>1148.2229932237551</v>
      </c>
    </row>
    <row r="99" spans="1:14" ht="14.4" customHeight="1" x14ac:dyDescent="0.3">
      <c r="A99" s="630" t="s">
        <v>507</v>
      </c>
      <c r="B99" s="631" t="s">
        <v>509</v>
      </c>
      <c r="C99" s="632" t="s">
        <v>527</v>
      </c>
      <c r="D99" s="633" t="s">
        <v>528</v>
      </c>
      <c r="E99" s="632" t="s">
        <v>510</v>
      </c>
      <c r="F99" s="633" t="s">
        <v>511</v>
      </c>
      <c r="G99" s="632" t="s">
        <v>535</v>
      </c>
      <c r="H99" s="632" t="s">
        <v>846</v>
      </c>
      <c r="I99" s="632" t="s">
        <v>847</v>
      </c>
      <c r="J99" s="632" t="s">
        <v>848</v>
      </c>
      <c r="K99" s="632" t="s">
        <v>640</v>
      </c>
      <c r="L99" s="634">
        <v>23.619999999999997</v>
      </c>
      <c r="M99" s="634">
        <v>1</v>
      </c>
      <c r="N99" s="635">
        <v>23.619999999999997</v>
      </c>
    </row>
    <row r="100" spans="1:14" ht="14.4" customHeight="1" x14ac:dyDescent="0.3">
      <c r="A100" s="630" t="s">
        <v>507</v>
      </c>
      <c r="B100" s="631" t="s">
        <v>509</v>
      </c>
      <c r="C100" s="632" t="s">
        <v>527</v>
      </c>
      <c r="D100" s="633" t="s">
        <v>528</v>
      </c>
      <c r="E100" s="632" t="s">
        <v>510</v>
      </c>
      <c r="F100" s="633" t="s">
        <v>511</v>
      </c>
      <c r="G100" s="632" t="s">
        <v>535</v>
      </c>
      <c r="H100" s="632" t="s">
        <v>849</v>
      </c>
      <c r="I100" s="632" t="s">
        <v>850</v>
      </c>
      <c r="J100" s="632" t="s">
        <v>851</v>
      </c>
      <c r="K100" s="632"/>
      <c r="L100" s="634">
        <v>198.99763903577696</v>
      </c>
      <c r="M100" s="634">
        <v>1</v>
      </c>
      <c r="N100" s="635">
        <v>198.99763903577696</v>
      </c>
    </row>
    <row r="101" spans="1:14" ht="14.4" customHeight="1" x14ac:dyDescent="0.3">
      <c r="A101" s="630" t="s">
        <v>507</v>
      </c>
      <c r="B101" s="631" t="s">
        <v>509</v>
      </c>
      <c r="C101" s="632" t="s">
        <v>527</v>
      </c>
      <c r="D101" s="633" t="s">
        <v>528</v>
      </c>
      <c r="E101" s="632" t="s">
        <v>510</v>
      </c>
      <c r="F101" s="633" t="s">
        <v>511</v>
      </c>
      <c r="G101" s="632" t="s">
        <v>535</v>
      </c>
      <c r="H101" s="632" t="s">
        <v>852</v>
      </c>
      <c r="I101" s="632" t="s">
        <v>853</v>
      </c>
      <c r="J101" s="632" t="s">
        <v>854</v>
      </c>
      <c r="K101" s="632" t="s">
        <v>855</v>
      </c>
      <c r="L101" s="634">
        <v>87.830418920919797</v>
      </c>
      <c r="M101" s="634">
        <v>1</v>
      </c>
      <c r="N101" s="635">
        <v>87.830418920919797</v>
      </c>
    </row>
    <row r="102" spans="1:14" ht="14.4" customHeight="1" x14ac:dyDescent="0.3">
      <c r="A102" s="630" t="s">
        <v>507</v>
      </c>
      <c r="B102" s="631" t="s">
        <v>509</v>
      </c>
      <c r="C102" s="632" t="s">
        <v>527</v>
      </c>
      <c r="D102" s="633" t="s">
        <v>528</v>
      </c>
      <c r="E102" s="632" t="s">
        <v>510</v>
      </c>
      <c r="F102" s="633" t="s">
        <v>511</v>
      </c>
      <c r="G102" s="632" t="s">
        <v>535</v>
      </c>
      <c r="H102" s="632" t="s">
        <v>856</v>
      </c>
      <c r="I102" s="632" t="s">
        <v>857</v>
      </c>
      <c r="J102" s="632" t="s">
        <v>858</v>
      </c>
      <c r="K102" s="632" t="s">
        <v>859</v>
      </c>
      <c r="L102" s="634">
        <v>92.849732091207883</v>
      </c>
      <c r="M102" s="634">
        <v>1</v>
      </c>
      <c r="N102" s="635">
        <v>92.849732091207883</v>
      </c>
    </row>
    <row r="103" spans="1:14" ht="14.4" customHeight="1" x14ac:dyDescent="0.3">
      <c r="A103" s="630" t="s">
        <v>507</v>
      </c>
      <c r="B103" s="631" t="s">
        <v>509</v>
      </c>
      <c r="C103" s="632" t="s">
        <v>527</v>
      </c>
      <c r="D103" s="633" t="s">
        <v>528</v>
      </c>
      <c r="E103" s="632" t="s">
        <v>510</v>
      </c>
      <c r="F103" s="633" t="s">
        <v>511</v>
      </c>
      <c r="G103" s="632" t="s">
        <v>535</v>
      </c>
      <c r="H103" s="632" t="s">
        <v>860</v>
      </c>
      <c r="I103" s="632" t="s">
        <v>861</v>
      </c>
      <c r="J103" s="632" t="s">
        <v>862</v>
      </c>
      <c r="K103" s="632" t="s">
        <v>863</v>
      </c>
      <c r="L103" s="634">
        <v>121.81</v>
      </c>
      <c r="M103" s="634">
        <v>1</v>
      </c>
      <c r="N103" s="635">
        <v>121.81</v>
      </c>
    </row>
    <row r="104" spans="1:14" ht="14.4" customHeight="1" x14ac:dyDescent="0.3">
      <c r="A104" s="630" t="s">
        <v>507</v>
      </c>
      <c r="B104" s="631" t="s">
        <v>509</v>
      </c>
      <c r="C104" s="632" t="s">
        <v>527</v>
      </c>
      <c r="D104" s="633" t="s">
        <v>528</v>
      </c>
      <c r="E104" s="632" t="s">
        <v>510</v>
      </c>
      <c r="F104" s="633" t="s">
        <v>511</v>
      </c>
      <c r="G104" s="632" t="s">
        <v>535</v>
      </c>
      <c r="H104" s="632" t="s">
        <v>864</v>
      </c>
      <c r="I104" s="632" t="s">
        <v>865</v>
      </c>
      <c r="J104" s="632" t="s">
        <v>866</v>
      </c>
      <c r="K104" s="632" t="s">
        <v>867</v>
      </c>
      <c r="L104" s="634">
        <v>136.2833333333333</v>
      </c>
      <c r="M104" s="634">
        <v>3</v>
      </c>
      <c r="N104" s="635">
        <v>408.84999999999991</v>
      </c>
    </row>
    <row r="105" spans="1:14" ht="14.4" customHeight="1" x14ac:dyDescent="0.3">
      <c r="A105" s="630" t="s">
        <v>507</v>
      </c>
      <c r="B105" s="631" t="s">
        <v>509</v>
      </c>
      <c r="C105" s="632" t="s">
        <v>527</v>
      </c>
      <c r="D105" s="633" t="s">
        <v>528</v>
      </c>
      <c r="E105" s="632" t="s">
        <v>510</v>
      </c>
      <c r="F105" s="633" t="s">
        <v>511</v>
      </c>
      <c r="G105" s="632" t="s">
        <v>535</v>
      </c>
      <c r="H105" s="632" t="s">
        <v>868</v>
      </c>
      <c r="I105" s="632" t="s">
        <v>869</v>
      </c>
      <c r="J105" s="632" t="s">
        <v>870</v>
      </c>
      <c r="K105" s="632" t="s">
        <v>871</v>
      </c>
      <c r="L105" s="634">
        <v>74.290000000000006</v>
      </c>
      <c r="M105" s="634">
        <v>2</v>
      </c>
      <c r="N105" s="635">
        <v>148.58000000000001</v>
      </c>
    </row>
    <row r="106" spans="1:14" ht="14.4" customHeight="1" x14ac:dyDescent="0.3">
      <c r="A106" s="630" t="s">
        <v>507</v>
      </c>
      <c r="B106" s="631" t="s">
        <v>509</v>
      </c>
      <c r="C106" s="632" t="s">
        <v>527</v>
      </c>
      <c r="D106" s="633" t="s">
        <v>528</v>
      </c>
      <c r="E106" s="632" t="s">
        <v>510</v>
      </c>
      <c r="F106" s="633" t="s">
        <v>511</v>
      </c>
      <c r="G106" s="632" t="s">
        <v>535</v>
      </c>
      <c r="H106" s="632" t="s">
        <v>872</v>
      </c>
      <c r="I106" s="632" t="s">
        <v>873</v>
      </c>
      <c r="J106" s="632" t="s">
        <v>874</v>
      </c>
      <c r="K106" s="632" t="s">
        <v>875</v>
      </c>
      <c r="L106" s="634">
        <v>44.631554868615297</v>
      </c>
      <c r="M106" s="634">
        <v>5</v>
      </c>
      <c r="N106" s="635">
        <v>223.15777434307648</v>
      </c>
    </row>
    <row r="107" spans="1:14" ht="14.4" customHeight="1" x14ac:dyDescent="0.3">
      <c r="A107" s="630" t="s">
        <v>507</v>
      </c>
      <c r="B107" s="631" t="s">
        <v>509</v>
      </c>
      <c r="C107" s="632" t="s">
        <v>527</v>
      </c>
      <c r="D107" s="633" t="s">
        <v>528</v>
      </c>
      <c r="E107" s="632" t="s">
        <v>510</v>
      </c>
      <c r="F107" s="633" t="s">
        <v>511</v>
      </c>
      <c r="G107" s="632" t="s">
        <v>535</v>
      </c>
      <c r="H107" s="632" t="s">
        <v>627</v>
      </c>
      <c r="I107" s="632" t="s">
        <v>628</v>
      </c>
      <c r="J107" s="632" t="s">
        <v>629</v>
      </c>
      <c r="K107" s="632" t="s">
        <v>630</v>
      </c>
      <c r="L107" s="634">
        <v>41.619935674288982</v>
      </c>
      <c r="M107" s="634">
        <v>2</v>
      </c>
      <c r="N107" s="635">
        <v>83.239871348577964</v>
      </c>
    </row>
    <row r="108" spans="1:14" ht="14.4" customHeight="1" x14ac:dyDescent="0.3">
      <c r="A108" s="630" t="s">
        <v>507</v>
      </c>
      <c r="B108" s="631" t="s">
        <v>509</v>
      </c>
      <c r="C108" s="632" t="s">
        <v>527</v>
      </c>
      <c r="D108" s="633" t="s">
        <v>528</v>
      </c>
      <c r="E108" s="632" t="s">
        <v>510</v>
      </c>
      <c r="F108" s="633" t="s">
        <v>511</v>
      </c>
      <c r="G108" s="632" t="s">
        <v>535</v>
      </c>
      <c r="H108" s="632" t="s">
        <v>876</v>
      </c>
      <c r="I108" s="632" t="s">
        <v>877</v>
      </c>
      <c r="J108" s="632" t="s">
        <v>878</v>
      </c>
      <c r="K108" s="632" t="s">
        <v>879</v>
      </c>
      <c r="L108" s="634">
        <v>91.57</v>
      </c>
      <c r="M108" s="634">
        <v>1</v>
      </c>
      <c r="N108" s="635">
        <v>91.57</v>
      </c>
    </row>
    <row r="109" spans="1:14" ht="14.4" customHeight="1" x14ac:dyDescent="0.3">
      <c r="A109" s="630" t="s">
        <v>507</v>
      </c>
      <c r="B109" s="631" t="s">
        <v>509</v>
      </c>
      <c r="C109" s="632" t="s">
        <v>527</v>
      </c>
      <c r="D109" s="633" t="s">
        <v>528</v>
      </c>
      <c r="E109" s="632" t="s">
        <v>510</v>
      </c>
      <c r="F109" s="633" t="s">
        <v>511</v>
      </c>
      <c r="G109" s="632" t="s">
        <v>535</v>
      </c>
      <c r="H109" s="632" t="s">
        <v>880</v>
      </c>
      <c r="I109" s="632" t="s">
        <v>881</v>
      </c>
      <c r="J109" s="632" t="s">
        <v>882</v>
      </c>
      <c r="K109" s="632" t="s">
        <v>883</v>
      </c>
      <c r="L109" s="634">
        <v>38.029726346925202</v>
      </c>
      <c r="M109" s="634">
        <v>1</v>
      </c>
      <c r="N109" s="635">
        <v>38.029726346925202</v>
      </c>
    </row>
    <row r="110" spans="1:14" ht="14.4" customHeight="1" x14ac:dyDescent="0.3">
      <c r="A110" s="630" t="s">
        <v>507</v>
      </c>
      <c r="B110" s="631" t="s">
        <v>509</v>
      </c>
      <c r="C110" s="632" t="s">
        <v>527</v>
      </c>
      <c r="D110" s="633" t="s">
        <v>528</v>
      </c>
      <c r="E110" s="632" t="s">
        <v>510</v>
      </c>
      <c r="F110" s="633" t="s">
        <v>511</v>
      </c>
      <c r="G110" s="632" t="s">
        <v>535</v>
      </c>
      <c r="H110" s="632" t="s">
        <v>884</v>
      </c>
      <c r="I110" s="632" t="s">
        <v>885</v>
      </c>
      <c r="J110" s="632" t="s">
        <v>886</v>
      </c>
      <c r="K110" s="632" t="s">
        <v>887</v>
      </c>
      <c r="L110" s="634">
        <v>28.89</v>
      </c>
      <c r="M110" s="634">
        <v>1</v>
      </c>
      <c r="N110" s="635">
        <v>28.89</v>
      </c>
    </row>
    <row r="111" spans="1:14" ht="14.4" customHeight="1" x14ac:dyDescent="0.3">
      <c r="A111" s="630" t="s">
        <v>507</v>
      </c>
      <c r="B111" s="631" t="s">
        <v>509</v>
      </c>
      <c r="C111" s="632" t="s">
        <v>527</v>
      </c>
      <c r="D111" s="633" t="s">
        <v>528</v>
      </c>
      <c r="E111" s="632" t="s">
        <v>510</v>
      </c>
      <c r="F111" s="633" t="s">
        <v>511</v>
      </c>
      <c r="G111" s="632" t="s">
        <v>535</v>
      </c>
      <c r="H111" s="632" t="s">
        <v>888</v>
      </c>
      <c r="I111" s="632" t="s">
        <v>246</v>
      </c>
      <c r="J111" s="632" t="s">
        <v>889</v>
      </c>
      <c r="K111" s="632"/>
      <c r="L111" s="634">
        <v>639.01</v>
      </c>
      <c r="M111" s="634">
        <v>1</v>
      </c>
      <c r="N111" s="635">
        <v>639.01</v>
      </c>
    </row>
    <row r="112" spans="1:14" ht="14.4" customHeight="1" x14ac:dyDescent="0.3">
      <c r="A112" s="630" t="s">
        <v>507</v>
      </c>
      <c r="B112" s="631" t="s">
        <v>509</v>
      </c>
      <c r="C112" s="632" t="s">
        <v>527</v>
      </c>
      <c r="D112" s="633" t="s">
        <v>528</v>
      </c>
      <c r="E112" s="632" t="s">
        <v>510</v>
      </c>
      <c r="F112" s="633" t="s">
        <v>511</v>
      </c>
      <c r="G112" s="632" t="s">
        <v>535</v>
      </c>
      <c r="H112" s="632" t="s">
        <v>890</v>
      </c>
      <c r="I112" s="632" t="s">
        <v>246</v>
      </c>
      <c r="J112" s="632" t="s">
        <v>891</v>
      </c>
      <c r="K112" s="632"/>
      <c r="L112" s="634">
        <v>97.320311547696903</v>
      </c>
      <c r="M112" s="634">
        <v>4</v>
      </c>
      <c r="N112" s="635">
        <v>389.28124619078761</v>
      </c>
    </row>
    <row r="113" spans="1:14" ht="14.4" customHeight="1" x14ac:dyDescent="0.3">
      <c r="A113" s="630" t="s">
        <v>507</v>
      </c>
      <c r="B113" s="631" t="s">
        <v>509</v>
      </c>
      <c r="C113" s="632" t="s">
        <v>527</v>
      </c>
      <c r="D113" s="633" t="s">
        <v>528</v>
      </c>
      <c r="E113" s="632" t="s">
        <v>510</v>
      </c>
      <c r="F113" s="633" t="s">
        <v>511</v>
      </c>
      <c r="G113" s="632" t="s">
        <v>535</v>
      </c>
      <c r="H113" s="632" t="s">
        <v>892</v>
      </c>
      <c r="I113" s="632" t="s">
        <v>246</v>
      </c>
      <c r="J113" s="632" t="s">
        <v>893</v>
      </c>
      <c r="K113" s="632"/>
      <c r="L113" s="634">
        <v>42.710105230738797</v>
      </c>
      <c r="M113" s="634">
        <v>1</v>
      </c>
      <c r="N113" s="635">
        <v>42.710105230738797</v>
      </c>
    </row>
    <row r="114" spans="1:14" ht="14.4" customHeight="1" x14ac:dyDescent="0.3">
      <c r="A114" s="630" t="s">
        <v>507</v>
      </c>
      <c r="B114" s="631" t="s">
        <v>509</v>
      </c>
      <c r="C114" s="632" t="s">
        <v>527</v>
      </c>
      <c r="D114" s="633" t="s">
        <v>528</v>
      </c>
      <c r="E114" s="632" t="s">
        <v>510</v>
      </c>
      <c r="F114" s="633" t="s">
        <v>511</v>
      </c>
      <c r="G114" s="632" t="s">
        <v>535</v>
      </c>
      <c r="H114" s="632" t="s">
        <v>635</v>
      </c>
      <c r="I114" s="632" t="s">
        <v>246</v>
      </c>
      <c r="J114" s="632" t="s">
        <v>636</v>
      </c>
      <c r="K114" s="632"/>
      <c r="L114" s="634">
        <v>100.68</v>
      </c>
      <c r="M114" s="634">
        <v>5</v>
      </c>
      <c r="N114" s="635">
        <v>503.40000000000003</v>
      </c>
    </row>
    <row r="115" spans="1:14" ht="14.4" customHeight="1" x14ac:dyDescent="0.3">
      <c r="A115" s="630" t="s">
        <v>507</v>
      </c>
      <c r="B115" s="631" t="s">
        <v>509</v>
      </c>
      <c r="C115" s="632" t="s">
        <v>527</v>
      </c>
      <c r="D115" s="633" t="s">
        <v>528</v>
      </c>
      <c r="E115" s="632" t="s">
        <v>510</v>
      </c>
      <c r="F115" s="633" t="s">
        <v>511</v>
      </c>
      <c r="G115" s="632" t="s">
        <v>535</v>
      </c>
      <c r="H115" s="632" t="s">
        <v>637</v>
      </c>
      <c r="I115" s="632" t="s">
        <v>638</v>
      </c>
      <c r="J115" s="632" t="s">
        <v>639</v>
      </c>
      <c r="K115" s="632" t="s">
        <v>640</v>
      </c>
      <c r="L115" s="634">
        <v>23.619999999999997</v>
      </c>
      <c r="M115" s="634">
        <v>1</v>
      </c>
      <c r="N115" s="635">
        <v>23.619999999999997</v>
      </c>
    </row>
    <row r="116" spans="1:14" ht="14.4" customHeight="1" x14ac:dyDescent="0.3">
      <c r="A116" s="630" t="s">
        <v>507</v>
      </c>
      <c r="B116" s="631" t="s">
        <v>509</v>
      </c>
      <c r="C116" s="632" t="s">
        <v>527</v>
      </c>
      <c r="D116" s="633" t="s">
        <v>528</v>
      </c>
      <c r="E116" s="632" t="s">
        <v>510</v>
      </c>
      <c r="F116" s="633" t="s">
        <v>511</v>
      </c>
      <c r="G116" s="632" t="s">
        <v>535</v>
      </c>
      <c r="H116" s="632" t="s">
        <v>894</v>
      </c>
      <c r="I116" s="632" t="s">
        <v>895</v>
      </c>
      <c r="J116" s="632" t="s">
        <v>896</v>
      </c>
      <c r="K116" s="632" t="s">
        <v>897</v>
      </c>
      <c r="L116" s="634">
        <v>179.800177378478</v>
      </c>
      <c r="M116" s="634">
        <v>1</v>
      </c>
      <c r="N116" s="635">
        <v>179.800177378478</v>
      </c>
    </row>
    <row r="117" spans="1:14" ht="14.4" customHeight="1" x14ac:dyDescent="0.3">
      <c r="A117" s="630" t="s">
        <v>507</v>
      </c>
      <c r="B117" s="631" t="s">
        <v>509</v>
      </c>
      <c r="C117" s="632" t="s">
        <v>527</v>
      </c>
      <c r="D117" s="633" t="s">
        <v>528</v>
      </c>
      <c r="E117" s="632" t="s">
        <v>510</v>
      </c>
      <c r="F117" s="633" t="s">
        <v>511</v>
      </c>
      <c r="G117" s="632" t="s">
        <v>535</v>
      </c>
      <c r="H117" s="632" t="s">
        <v>898</v>
      </c>
      <c r="I117" s="632" t="s">
        <v>899</v>
      </c>
      <c r="J117" s="632" t="s">
        <v>659</v>
      </c>
      <c r="K117" s="632" t="s">
        <v>900</v>
      </c>
      <c r="L117" s="634">
        <v>28.165999999999997</v>
      </c>
      <c r="M117" s="634">
        <v>5</v>
      </c>
      <c r="N117" s="635">
        <v>140.82999999999998</v>
      </c>
    </row>
    <row r="118" spans="1:14" ht="14.4" customHeight="1" x14ac:dyDescent="0.3">
      <c r="A118" s="630" t="s">
        <v>507</v>
      </c>
      <c r="B118" s="631" t="s">
        <v>509</v>
      </c>
      <c r="C118" s="632" t="s">
        <v>527</v>
      </c>
      <c r="D118" s="633" t="s">
        <v>528</v>
      </c>
      <c r="E118" s="632" t="s">
        <v>510</v>
      </c>
      <c r="F118" s="633" t="s">
        <v>511</v>
      </c>
      <c r="G118" s="632" t="s">
        <v>535</v>
      </c>
      <c r="H118" s="632" t="s">
        <v>901</v>
      </c>
      <c r="I118" s="632" t="s">
        <v>902</v>
      </c>
      <c r="J118" s="632" t="s">
        <v>903</v>
      </c>
      <c r="K118" s="632" t="s">
        <v>904</v>
      </c>
      <c r="L118" s="634">
        <v>235.13112149465854</v>
      </c>
      <c r="M118" s="634">
        <v>1</v>
      </c>
      <c r="N118" s="635">
        <v>235.13112149465854</v>
      </c>
    </row>
    <row r="119" spans="1:14" ht="14.4" customHeight="1" x14ac:dyDescent="0.3">
      <c r="A119" s="630" t="s">
        <v>507</v>
      </c>
      <c r="B119" s="631" t="s">
        <v>509</v>
      </c>
      <c r="C119" s="632" t="s">
        <v>527</v>
      </c>
      <c r="D119" s="633" t="s">
        <v>528</v>
      </c>
      <c r="E119" s="632" t="s">
        <v>510</v>
      </c>
      <c r="F119" s="633" t="s">
        <v>511</v>
      </c>
      <c r="G119" s="632" t="s">
        <v>535</v>
      </c>
      <c r="H119" s="632" t="s">
        <v>905</v>
      </c>
      <c r="I119" s="632" t="s">
        <v>906</v>
      </c>
      <c r="J119" s="632" t="s">
        <v>907</v>
      </c>
      <c r="K119" s="632" t="s">
        <v>908</v>
      </c>
      <c r="L119" s="634">
        <v>274.09000000000003</v>
      </c>
      <c r="M119" s="634">
        <v>1</v>
      </c>
      <c r="N119" s="635">
        <v>274.09000000000003</v>
      </c>
    </row>
    <row r="120" spans="1:14" ht="14.4" customHeight="1" x14ac:dyDescent="0.3">
      <c r="A120" s="630" t="s">
        <v>507</v>
      </c>
      <c r="B120" s="631" t="s">
        <v>509</v>
      </c>
      <c r="C120" s="632" t="s">
        <v>527</v>
      </c>
      <c r="D120" s="633" t="s">
        <v>528</v>
      </c>
      <c r="E120" s="632" t="s">
        <v>510</v>
      </c>
      <c r="F120" s="633" t="s">
        <v>511</v>
      </c>
      <c r="G120" s="632" t="s">
        <v>535</v>
      </c>
      <c r="H120" s="632" t="s">
        <v>909</v>
      </c>
      <c r="I120" s="632" t="s">
        <v>910</v>
      </c>
      <c r="J120" s="632" t="s">
        <v>911</v>
      </c>
      <c r="K120" s="632" t="s">
        <v>652</v>
      </c>
      <c r="L120" s="634">
        <v>118.10999999999999</v>
      </c>
      <c r="M120" s="634">
        <v>1</v>
      </c>
      <c r="N120" s="635">
        <v>118.10999999999999</v>
      </c>
    </row>
    <row r="121" spans="1:14" ht="14.4" customHeight="1" x14ac:dyDescent="0.3">
      <c r="A121" s="630" t="s">
        <v>507</v>
      </c>
      <c r="B121" s="631" t="s">
        <v>509</v>
      </c>
      <c r="C121" s="632" t="s">
        <v>527</v>
      </c>
      <c r="D121" s="633" t="s">
        <v>528</v>
      </c>
      <c r="E121" s="632" t="s">
        <v>510</v>
      </c>
      <c r="F121" s="633" t="s">
        <v>511</v>
      </c>
      <c r="G121" s="632" t="s">
        <v>535</v>
      </c>
      <c r="H121" s="632" t="s">
        <v>661</v>
      </c>
      <c r="I121" s="632" t="s">
        <v>662</v>
      </c>
      <c r="J121" s="632" t="s">
        <v>663</v>
      </c>
      <c r="K121" s="632" t="s">
        <v>664</v>
      </c>
      <c r="L121" s="634">
        <v>218.17791259172901</v>
      </c>
      <c r="M121" s="634">
        <v>1</v>
      </c>
      <c r="N121" s="635">
        <v>218.17791259172901</v>
      </c>
    </row>
    <row r="122" spans="1:14" ht="14.4" customHeight="1" x14ac:dyDescent="0.3">
      <c r="A122" s="630" t="s">
        <v>507</v>
      </c>
      <c r="B122" s="631" t="s">
        <v>509</v>
      </c>
      <c r="C122" s="632" t="s">
        <v>527</v>
      </c>
      <c r="D122" s="633" t="s">
        <v>528</v>
      </c>
      <c r="E122" s="632" t="s">
        <v>510</v>
      </c>
      <c r="F122" s="633" t="s">
        <v>511</v>
      </c>
      <c r="G122" s="632" t="s">
        <v>535</v>
      </c>
      <c r="H122" s="632" t="s">
        <v>912</v>
      </c>
      <c r="I122" s="632" t="s">
        <v>913</v>
      </c>
      <c r="J122" s="632" t="s">
        <v>914</v>
      </c>
      <c r="K122" s="632" t="s">
        <v>915</v>
      </c>
      <c r="L122" s="634">
        <v>59.83</v>
      </c>
      <c r="M122" s="634">
        <v>1</v>
      </c>
      <c r="N122" s="635">
        <v>59.83</v>
      </c>
    </row>
    <row r="123" spans="1:14" ht="14.4" customHeight="1" x14ac:dyDescent="0.3">
      <c r="A123" s="630" t="s">
        <v>507</v>
      </c>
      <c r="B123" s="631" t="s">
        <v>509</v>
      </c>
      <c r="C123" s="632" t="s">
        <v>527</v>
      </c>
      <c r="D123" s="633" t="s">
        <v>528</v>
      </c>
      <c r="E123" s="632" t="s">
        <v>510</v>
      </c>
      <c r="F123" s="633" t="s">
        <v>511</v>
      </c>
      <c r="G123" s="632" t="s">
        <v>535</v>
      </c>
      <c r="H123" s="632" t="s">
        <v>669</v>
      </c>
      <c r="I123" s="632" t="s">
        <v>670</v>
      </c>
      <c r="J123" s="632" t="s">
        <v>671</v>
      </c>
      <c r="K123" s="632" t="s">
        <v>672</v>
      </c>
      <c r="L123" s="634">
        <v>48.66</v>
      </c>
      <c r="M123" s="634">
        <v>1</v>
      </c>
      <c r="N123" s="635">
        <v>48.66</v>
      </c>
    </row>
    <row r="124" spans="1:14" ht="14.4" customHeight="1" x14ac:dyDescent="0.3">
      <c r="A124" s="630" t="s">
        <v>507</v>
      </c>
      <c r="B124" s="631" t="s">
        <v>509</v>
      </c>
      <c r="C124" s="632" t="s">
        <v>527</v>
      </c>
      <c r="D124" s="633" t="s">
        <v>528</v>
      </c>
      <c r="E124" s="632" t="s">
        <v>510</v>
      </c>
      <c r="F124" s="633" t="s">
        <v>511</v>
      </c>
      <c r="G124" s="632" t="s">
        <v>535</v>
      </c>
      <c r="H124" s="632" t="s">
        <v>677</v>
      </c>
      <c r="I124" s="632" t="s">
        <v>678</v>
      </c>
      <c r="J124" s="632" t="s">
        <v>679</v>
      </c>
      <c r="K124" s="632" t="s">
        <v>680</v>
      </c>
      <c r="L124" s="634">
        <v>1665.2</v>
      </c>
      <c r="M124" s="634">
        <v>2</v>
      </c>
      <c r="N124" s="635">
        <v>3330.4</v>
      </c>
    </row>
    <row r="125" spans="1:14" ht="14.4" customHeight="1" x14ac:dyDescent="0.3">
      <c r="A125" s="630" t="s">
        <v>507</v>
      </c>
      <c r="B125" s="631" t="s">
        <v>509</v>
      </c>
      <c r="C125" s="632" t="s">
        <v>527</v>
      </c>
      <c r="D125" s="633" t="s">
        <v>528</v>
      </c>
      <c r="E125" s="632" t="s">
        <v>510</v>
      </c>
      <c r="F125" s="633" t="s">
        <v>511</v>
      </c>
      <c r="G125" s="632" t="s">
        <v>535</v>
      </c>
      <c r="H125" s="632" t="s">
        <v>681</v>
      </c>
      <c r="I125" s="632" t="s">
        <v>682</v>
      </c>
      <c r="J125" s="632" t="s">
        <v>683</v>
      </c>
      <c r="K125" s="632" t="s">
        <v>684</v>
      </c>
      <c r="L125" s="634">
        <v>260</v>
      </c>
      <c r="M125" s="634">
        <v>5</v>
      </c>
      <c r="N125" s="635">
        <v>1300</v>
      </c>
    </row>
    <row r="126" spans="1:14" ht="14.4" customHeight="1" x14ac:dyDescent="0.3">
      <c r="A126" s="630" t="s">
        <v>507</v>
      </c>
      <c r="B126" s="631" t="s">
        <v>509</v>
      </c>
      <c r="C126" s="632" t="s">
        <v>527</v>
      </c>
      <c r="D126" s="633" t="s">
        <v>528</v>
      </c>
      <c r="E126" s="632" t="s">
        <v>510</v>
      </c>
      <c r="F126" s="633" t="s">
        <v>511</v>
      </c>
      <c r="G126" s="632" t="s">
        <v>535</v>
      </c>
      <c r="H126" s="632" t="s">
        <v>916</v>
      </c>
      <c r="I126" s="632" t="s">
        <v>917</v>
      </c>
      <c r="J126" s="632" t="s">
        <v>918</v>
      </c>
      <c r="K126" s="632" t="s">
        <v>919</v>
      </c>
      <c r="L126" s="634">
        <v>197.46866548833401</v>
      </c>
      <c r="M126" s="634">
        <v>1</v>
      </c>
      <c r="N126" s="635">
        <v>197.46866548833401</v>
      </c>
    </row>
    <row r="127" spans="1:14" ht="14.4" customHeight="1" x14ac:dyDescent="0.3">
      <c r="A127" s="630" t="s">
        <v>507</v>
      </c>
      <c r="B127" s="631" t="s">
        <v>509</v>
      </c>
      <c r="C127" s="632" t="s">
        <v>527</v>
      </c>
      <c r="D127" s="633" t="s">
        <v>528</v>
      </c>
      <c r="E127" s="632" t="s">
        <v>510</v>
      </c>
      <c r="F127" s="633" t="s">
        <v>511</v>
      </c>
      <c r="G127" s="632" t="s">
        <v>535</v>
      </c>
      <c r="H127" s="632" t="s">
        <v>920</v>
      </c>
      <c r="I127" s="632" t="s">
        <v>921</v>
      </c>
      <c r="J127" s="632" t="s">
        <v>922</v>
      </c>
      <c r="K127" s="632" t="s">
        <v>923</v>
      </c>
      <c r="L127" s="634">
        <v>27.159859315796151</v>
      </c>
      <c r="M127" s="634">
        <v>1</v>
      </c>
      <c r="N127" s="635">
        <v>27.159859315796151</v>
      </c>
    </row>
    <row r="128" spans="1:14" ht="14.4" customHeight="1" x14ac:dyDescent="0.3">
      <c r="A128" s="630" t="s">
        <v>507</v>
      </c>
      <c r="B128" s="631" t="s">
        <v>509</v>
      </c>
      <c r="C128" s="632" t="s">
        <v>527</v>
      </c>
      <c r="D128" s="633" t="s">
        <v>528</v>
      </c>
      <c r="E128" s="632" t="s">
        <v>510</v>
      </c>
      <c r="F128" s="633" t="s">
        <v>511</v>
      </c>
      <c r="G128" s="632" t="s">
        <v>535</v>
      </c>
      <c r="H128" s="632" t="s">
        <v>924</v>
      </c>
      <c r="I128" s="632" t="s">
        <v>246</v>
      </c>
      <c r="J128" s="632" t="s">
        <v>925</v>
      </c>
      <c r="K128" s="632"/>
      <c r="L128" s="634">
        <v>109.51</v>
      </c>
      <c r="M128" s="634">
        <v>1</v>
      </c>
      <c r="N128" s="635">
        <v>109.51</v>
      </c>
    </row>
    <row r="129" spans="1:14" ht="14.4" customHeight="1" x14ac:dyDescent="0.3">
      <c r="A129" s="630" t="s">
        <v>507</v>
      </c>
      <c r="B129" s="631" t="s">
        <v>509</v>
      </c>
      <c r="C129" s="632" t="s">
        <v>527</v>
      </c>
      <c r="D129" s="633" t="s">
        <v>528</v>
      </c>
      <c r="E129" s="632" t="s">
        <v>510</v>
      </c>
      <c r="F129" s="633" t="s">
        <v>511</v>
      </c>
      <c r="G129" s="632" t="s">
        <v>535</v>
      </c>
      <c r="H129" s="632" t="s">
        <v>926</v>
      </c>
      <c r="I129" s="632" t="s">
        <v>246</v>
      </c>
      <c r="J129" s="632" t="s">
        <v>927</v>
      </c>
      <c r="K129" s="632"/>
      <c r="L129" s="634">
        <v>64.649800160633475</v>
      </c>
      <c r="M129" s="634">
        <v>2</v>
      </c>
      <c r="N129" s="635">
        <v>129.29960032126695</v>
      </c>
    </row>
    <row r="130" spans="1:14" ht="14.4" customHeight="1" x14ac:dyDescent="0.3">
      <c r="A130" s="630" t="s">
        <v>507</v>
      </c>
      <c r="B130" s="631" t="s">
        <v>509</v>
      </c>
      <c r="C130" s="632" t="s">
        <v>527</v>
      </c>
      <c r="D130" s="633" t="s">
        <v>528</v>
      </c>
      <c r="E130" s="632" t="s">
        <v>510</v>
      </c>
      <c r="F130" s="633" t="s">
        <v>511</v>
      </c>
      <c r="G130" s="632" t="s">
        <v>535</v>
      </c>
      <c r="H130" s="632" t="s">
        <v>928</v>
      </c>
      <c r="I130" s="632" t="s">
        <v>929</v>
      </c>
      <c r="J130" s="632" t="s">
        <v>930</v>
      </c>
      <c r="K130" s="632" t="s">
        <v>931</v>
      </c>
      <c r="L130" s="634">
        <v>147.17699999999999</v>
      </c>
      <c r="M130" s="634">
        <v>1</v>
      </c>
      <c r="N130" s="635">
        <v>147.17699999999999</v>
      </c>
    </row>
    <row r="131" spans="1:14" ht="14.4" customHeight="1" x14ac:dyDescent="0.3">
      <c r="A131" s="630" t="s">
        <v>507</v>
      </c>
      <c r="B131" s="631" t="s">
        <v>509</v>
      </c>
      <c r="C131" s="632" t="s">
        <v>527</v>
      </c>
      <c r="D131" s="633" t="s">
        <v>528</v>
      </c>
      <c r="E131" s="632" t="s">
        <v>510</v>
      </c>
      <c r="F131" s="633" t="s">
        <v>511</v>
      </c>
      <c r="G131" s="632" t="s">
        <v>535</v>
      </c>
      <c r="H131" s="632" t="s">
        <v>702</v>
      </c>
      <c r="I131" s="632" t="s">
        <v>703</v>
      </c>
      <c r="J131" s="632" t="s">
        <v>704</v>
      </c>
      <c r="K131" s="632" t="s">
        <v>705</v>
      </c>
      <c r="L131" s="634">
        <v>303.84970636123057</v>
      </c>
      <c r="M131" s="634">
        <v>4</v>
      </c>
      <c r="N131" s="635">
        <v>1215.3988254449223</v>
      </c>
    </row>
    <row r="132" spans="1:14" ht="14.4" customHeight="1" x14ac:dyDescent="0.3">
      <c r="A132" s="630" t="s">
        <v>507</v>
      </c>
      <c r="B132" s="631" t="s">
        <v>509</v>
      </c>
      <c r="C132" s="632" t="s">
        <v>527</v>
      </c>
      <c r="D132" s="633" t="s">
        <v>528</v>
      </c>
      <c r="E132" s="632" t="s">
        <v>510</v>
      </c>
      <c r="F132" s="633" t="s">
        <v>511</v>
      </c>
      <c r="G132" s="632" t="s">
        <v>535</v>
      </c>
      <c r="H132" s="632" t="s">
        <v>713</v>
      </c>
      <c r="I132" s="632" t="s">
        <v>714</v>
      </c>
      <c r="J132" s="632" t="s">
        <v>715</v>
      </c>
      <c r="K132" s="632" t="s">
        <v>716</v>
      </c>
      <c r="L132" s="634">
        <v>117.73999999999998</v>
      </c>
      <c r="M132" s="634">
        <v>16</v>
      </c>
      <c r="N132" s="635">
        <v>1883.8399999999997</v>
      </c>
    </row>
    <row r="133" spans="1:14" ht="14.4" customHeight="1" x14ac:dyDescent="0.3">
      <c r="A133" s="630" t="s">
        <v>507</v>
      </c>
      <c r="B133" s="631" t="s">
        <v>509</v>
      </c>
      <c r="C133" s="632" t="s">
        <v>527</v>
      </c>
      <c r="D133" s="633" t="s">
        <v>528</v>
      </c>
      <c r="E133" s="632" t="s">
        <v>510</v>
      </c>
      <c r="F133" s="633" t="s">
        <v>511</v>
      </c>
      <c r="G133" s="632" t="s">
        <v>535</v>
      </c>
      <c r="H133" s="632" t="s">
        <v>932</v>
      </c>
      <c r="I133" s="632" t="s">
        <v>933</v>
      </c>
      <c r="J133" s="632" t="s">
        <v>934</v>
      </c>
      <c r="K133" s="632" t="s">
        <v>935</v>
      </c>
      <c r="L133" s="634">
        <v>243.74999999999997</v>
      </c>
      <c r="M133" s="634">
        <v>2</v>
      </c>
      <c r="N133" s="635">
        <v>487.49999999999994</v>
      </c>
    </row>
    <row r="134" spans="1:14" ht="14.4" customHeight="1" x14ac:dyDescent="0.3">
      <c r="A134" s="630" t="s">
        <v>507</v>
      </c>
      <c r="B134" s="631" t="s">
        <v>509</v>
      </c>
      <c r="C134" s="632" t="s">
        <v>527</v>
      </c>
      <c r="D134" s="633" t="s">
        <v>528</v>
      </c>
      <c r="E134" s="632" t="s">
        <v>510</v>
      </c>
      <c r="F134" s="633" t="s">
        <v>511</v>
      </c>
      <c r="G134" s="632" t="s">
        <v>535</v>
      </c>
      <c r="H134" s="632" t="s">
        <v>936</v>
      </c>
      <c r="I134" s="632" t="s">
        <v>246</v>
      </c>
      <c r="J134" s="632" t="s">
        <v>937</v>
      </c>
      <c r="K134" s="632"/>
      <c r="L134" s="634">
        <v>280.48469133835903</v>
      </c>
      <c r="M134" s="634">
        <v>1</v>
      </c>
      <c r="N134" s="635">
        <v>280.48469133835903</v>
      </c>
    </row>
    <row r="135" spans="1:14" ht="14.4" customHeight="1" x14ac:dyDescent="0.3">
      <c r="A135" s="630" t="s">
        <v>507</v>
      </c>
      <c r="B135" s="631" t="s">
        <v>509</v>
      </c>
      <c r="C135" s="632" t="s">
        <v>527</v>
      </c>
      <c r="D135" s="633" t="s">
        <v>528</v>
      </c>
      <c r="E135" s="632" t="s">
        <v>510</v>
      </c>
      <c r="F135" s="633" t="s">
        <v>511</v>
      </c>
      <c r="G135" s="632" t="s">
        <v>535</v>
      </c>
      <c r="H135" s="632" t="s">
        <v>938</v>
      </c>
      <c r="I135" s="632" t="s">
        <v>939</v>
      </c>
      <c r="J135" s="632" t="s">
        <v>940</v>
      </c>
      <c r="K135" s="632" t="s">
        <v>941</v>
      </c>
      <c r="L135" s="634">
        <v>54.499874322135497</v>
      </c>
      <c r="M135" s="634">
        <v>1</v>
      </c>
      <c r="N135" s="635">
        <v>54.499874322135497</v>
      </c>
    </row>
    <row r="136" spans="1:14" ht="14.4" customHeight="1" x14ac:dyDescent="0.3">
      <c r="A136" s="630" t="s">
        <v>507</v>
      </c>
      <c r="B136" s="631" t="s">
        <v>509</v>
      </c>
      <c r="C136" s="632" t="s">
        <v>527</v>
      </c>
      <c r="D136" s="633" t="s">
        <v>528</v>
      </c>
      <c r="E136" s="632" t="s">
        <v>510</v>
      </c>
      <c r="F136" s="633" t="s">
        <v>511</v>
      </c>
      <c r="G136" s="632" t="s">
        <v>535</v>
      </c>
      <c r="H136" s="632" t="s">
        <v>942</v>
      </c>
      <c r="I136" s="632" t="s">
        <v>943</v>
      </c>
      <c r="J136" s="632" t="s">
        <v>944</v>
      </c>
      <c r="K136" s="632" t="s">
        <v>945</v>
      </c>
      <c r="L136" s="634">
        <v>192.07935671968451</v>
      </c>
      <c r="M136" s="634">
        <v>1</v>
      </c>
      <c r="N136" s="635">
        <v>192.07935671968451</v>
      </c>
    </row>
    <row r="137" spans="1:14" ht="14.4" customHeight="1" x14ac:dyDescent="0.3">
      <c r="A137" s="630" t="s">
        <v>507</v>
      </c>
      <c r="B137" s="631" t="s">
        <v>509</v>
      </c>
      <c r="C137" s="632" t="s">
        <v>527</v>
      </c>
      <c r="D137" s="633" t="s">
        <v>528</v>
      </c>
      <c r="E137" s="632" t="s">
        <v>510</v>
      </c>
      <c r="F137" s="633" t="s">
        <v>511</v>
      </c>
      <c r="G137" s="632" t="s">
        <v>535</v>
      </c>
      <c r="H137" s="632" t="s">
        <v>727</v>
      </c>
      <c r="I137" s="632" t="s">
        <v>728</v>
      </c>
      <c r="J137" s="632" t="s">
        <v>729</v>
      </c>
      <c r="K137" s="632" t="s">
        <v>730</v>
      </c>
      <c r="L137" s="634">
        <v>75.180000000000007</v>
      </c>
      <c r="M137" s="634">
        <v>1</v>
      </c>
      <c r="N137" s="635">
        <v>75.180000000000007</v>
      </c>
    </row>
    <row r="138" spans="1:14" ht="14.4" customHeight="1" x14ac:dyDescent="0.3">
      <c r="A138" s="630" t="s">
        <v>507</v>
      </c>
      <c r="B138" s="631" t="s">
        <v>509</v>
      </c>
      <c r="C138" s="632" t="s">
        <v>527</v>
      </c>
      <c r="D138" s="633" t="s">
        <v>528</v>
      </c>
      <c r="E138" s="632" t="s">
        <v>510</v>
      </c>
      <c r="F138" s="633" t="s">
        <v>511</v>
      </c>
      <c r="G138" s="632" t="s">
        <v>535</v>
      </c>
      <c r="H138" s="632" t="s">
        <v>946</v>
      </c>
      <c r="I138" s="632" t="s">
        <v>947</v>
      </c>
      <c r="J138" s="632" t="s">
        <v>948</v>
      </c>
      <c r="K138" s="632" t="s">
        <v>949</v>
      </c>
      <c r="L138" s="634">
        <v>36.64</v>
      </c>
      <c r="M138" s="634">
        <v>15</v>
      </c>
      <c r="N138" s="635">
        <v>549.6</v>
      </c>
    </row>
    <row r="139" spans="1:14" ht="14.4" customHeight="1" x14ac:dyDescent="0.3">
      <c r="A139" s="630" t="s">
        <v>507</v>
      </c>
      <c r="B139" s="631" t="s">
        <v>509</v>
      </c>
      <c r="C139" s="632" t="s">
        <v>527</v>
      </c>
      <c r="D139" s="633" t="s">
        <v>528</v>
      </c>
      <c r="E139" s="632" t="s">
        <v>510</v>
      </c>
      <c r="F139" s="633" t="s">
        <v>511</v>
      </c>
      <c r="G139" s="632" t="s">
        <v>535</v>
      </c>
      <c r="H139" s="632" t="s">
        <v>950</v>
      </c>
      <c r="I139" s="632" t="s">
        <v>951</v>
      </c>
      <c r="J139" s="632" t="s">
        <v>952</v>
      </c>
      <c r="K139" s="632" t="s">
        <v>953</v>
      </c>
      <c r="L139" s="634">
        <v>162.5</v>
      </c>
      <c r="M139" s="634">
        <v>4</v>
      </c>
      <c r="N139" s="635">
        <v>650</v>
      </c>
    </row>
    <row r="140" spans="1:14" ht="14.4" customHeight="1" x14ac:dyDescent="0.3">
      <c r="A140" s="630" t="s">
        <v>507</v>
      </c>
      <c r="B140" s="631" t="s">
        <v>509</v>
      </c>
      <c r="C140" s="632" t="s">
        <v>527</v>
      </c>
      <c r="D140" s="633" t="s">
        <v>528</v>
      </c>
      <c r="E140" s="632" t="s">
        <v>510</v>
      </c>
      <c r="F140" s="633" t="s">
        <v>511</v>
      </c>
      <c r="G140" s="632" t="s">
        <v>535</v>
      </c>
      <c r="H140" s="632" t="s">
        <v>731</v>
      </c>
      <c r="I140" s="632" t="s">
        <v>732</v>
      </c>
      <c r="J140" s="632" t="s">
        <v>733</v>
      </c>
      <c r="K140" s="632" t="s">
        <v>734</v>
      </c>
      <c r="L140" s="634">
        <v>47.240046603778097</v>
      </c>
      <c r="M140" s="634">
        <v>3</v>
      </c>
      <c r="N140" s="635">
        <v>141.72013981133429</v>
      </c>
    </row>
    <row r="141" spans="1:14" ht="14.4" customHeight="1" x14ac:dyDescent="0.3">
      <c r="A141" s="630" t="s">
        <v>507</v>
      </c>
      <c r="B141" s="631" t="s">
        <v>509</v>
      </c>
      <c r="C141" s="632" t="s">
        <v>527</v>
      </c>
      <c r="D141" s="633" t="s">
        <v>528</v>
      </c>
      <c r="E141" s="632" t="s">
        <v>510</v>
      </c>
      <c r="F141" s="633" t="s">
        <v>511</v>
      </c>
      <c r="G141" s="632" t="s">
        <v>535</v>
      </c>
      <c r="H141" s="632" t="s">
        <v>954</v>
      </c>
      <c r="I141" s="632" t="s">
        <v>955</v>
      </c>
      <c r="J141" s="632" t="s">
        <v>956</v>
      </c>
      <c r="K141" s="632" t="s">
        <v>957</v>
      </c>
      <c r="L141" s="634">
        <v>699.44</v>
      </c>
      <c r="M141" s="634">
        <v>2</v>
      </c>
      <c r="N141" s="635">
        <v>1398.88</v>
      </c>
    </row>
    <row r="142" spans="1:14" ht="14.4" customHeight="1" x14ac:dyDescent="0.3">
      <c r="A142" s="630" t="s">
        <v>507</v>
      </c>
      <c r="B142" s="631" t="s">
        <v>509</v>
      </c>
      <c r="C142" s="632" t="s">
        <v>527</v>
      </c>
      <c r="D142" s="633" t="s">
        <v>528</v>
      </c>
      <c r="E142" s="632" t="s">
        <v>510</v>
      </c>
      <c r="F142" s="633" t="s">
        <v>511</v>
      </c>
      <c r="G142" s="632" t="s">
        <v>535</v>
      </c>
      <c r="H142" s="632" t="s">
        <v>739</v>
      </c>
      <c r="I142" s="632" t="s">
        <v>246</v>
      </c>
      <c r="J142" s="632" t="s">
        <v>740</v>
      </c>
      <c r="K142" s="632"/>
      <c r="L142" s="634">
        <v>490.38644813179394</v>
      </c>
      <c r="M142" s="634">
        <v>3</v>
      </c>
      <c r="N142" s="635">
        <v>1471.1593443953818</v>
      </c>
    </row>
    <row r="143" spans="1:14" ht="14.4" customHeight="1" x14ac:dyDescent="0.3">
      <c r="A143" s="630" t="s">
        <v>507</v>
      </c>
      <c r="B143" s="631" t="s">
        <v>509</v>
      </c>
      <c r="C143" s="632" t="s">
        <v>527</v>
      </c>
      <c r="D143" s="633" t="s">
        <v>528</v>
      </c>
      <c r="E143" s="632" t="s">
        <v>510</v>
      </c>
      <c r="F143" s="633" t="s">
        <v>511</v>
      </c>
      <c r="G143" s="632" t="s">
        <v>535</v>
      </c>
      <c r="H143" s="632" t="s">
        <v>958</v>
      </c>
      <c r="I143" s="632" t="s">
        <v>246</v>
      </c>
      <c r="J143" s="632" t="s">
        <v>959</v>
      </c>
      <c r="K143" s="632"/>
      <c r="L143" s="634">
        <v>396.93374542192902</v>
      </c>
      <c r="M143" s="634">
        <v>1</v>
      </c>
      <c r="N143" s="635">
        <v>396.93374542192902</v>
      </c>
    </row>
    <row r="144" spans="1:14" ht="14.4" customHeight="1" x14ac:dyDescent="0.3">
      <c r="A144" s="630" t="s">
        <v>507</v>
      </c>
      <c r="B144" s="631" t="s">
        <v>509</v>
      </c>
      <c r="C144" s="632" t="s">
        <v>527</v>
      </c>
      <c r="D144" s="633" t="s">
        <v>528</v>
      </c>
      <c r="E144" s="632" t="s">
        <v>510</v>
      </c>
      <c r="F144" s="633" t="s">
        <v>511</v>
      </c>
      <c r="G144" s="632" t="s">
        <v>535</v>
      </c>
      <c r="H144" s="632" t="s">
        <v>741</v>
      </c>
      <c r="I144" s="632" t="s">
        <v>742</v>
      </c>
      <c r="J144" s="632" t="s">
        <v>743</v>
      </c>
      <c r="K144" s="632" t="s">
        <v>744</v>
      </c>
      <c r="L144" s="634">
        <v>153.77000000000001</v>
      </c>
      <c r="M144" s="634">
        <v>1</v>
      </c>
      <c r="N144" s="635">
        <v>153.77000000000001</v>
      </c>
    </row>
    <row r="145" spans="1:14" ht="14.4" customHeight="1" x14ac:dyDescent="0.3">
      <c r="A145" s="630" t="s">
        <v>507</v>
      </c>
      <c r="B145" s="631" t="s">
        <v>509</v>
      </c>
      <c r="C145" s="632" t="s">
        <v>527</v>
      </c>
      <c r="D145" s="633" t="s">
        <v>528</v>
      </c>
      <c r="E145" s="632" t="s">
        <v>510</v>
      </c>
      <c r="F145" s="633" t="s">
        <v>511</v>
      </c>
      <c r="G145" s="632" t="s">
        <v>535</v>
      </c>
      <c r="H145" s="632" t="s">
        <v>960</v>
      </c>
      <c r="I145" s="632" t="s">
        <v>961</v>
      </c>
      <c r="J145" s="632" t="s">
        <v>962</v>
      </c>
      <c r="K145" s="632" t="s">
        <v>963</v>
      </c>
      <c r="L145" s="634">
        <v>75.979742237526196</v>
      </c>
      <c r="M145" s="634">
        <v>1</v>
      </c>
      <c r="N145" s="635">
        <v>75.979742237526196</v>
      </c>
    </row>
    <row r="146" spans="1:14" ht="14.4" customHeight="1" x14ac:dyDescent="0.3">
      <c r="A146" s="630" t="s">
        <v>507</v>
      </c>
      <c r="B146" s="631" t="s">
        <v>509</v>
      </c>
      <c r="C146" s="632" t="s">
        <v>527</v>
      </c>
      <c r="D146" s="633" t="s">
        <v>528</v>
      </c>
      <c r="E146" s="632" t="s">
        <v>510</v>
      </c>
      <c r="F146" s="633" t="s">
        <v>511</v>
      </c>
      <c r="G146" s="632" t="s">
        <v>535</v>
      </c>
      <c r="H146" s="632" t="s">
        <v>964</v>
      </c>
      <c r="I146" s="632" t="s">
        <v>964</v>
      </c>
      <c r="J146" s="632" t="s">
        <v>621</v>
      </c>
      <c r="K146" s="632" t="s">
        <v>965</v>
      </c>
      <c r="L146" s="634">
        <v>569.83000000000004</v>
      </c>
      <c r="M146" s="634">
        <v>0.3</v>
      </c>
      <c r="N146" s="635">
        <v>170.94900000000001</v>
      </c>
    </row>
    <row r="147" spans="1:14" ht="14.4" customHeight="1" x14ac:dyDescent="0.3">
      <c r="A147" s="630" t="s">
        <v>507</v>
      </c>
      <c r="B147" s="631" t="s">
        <v>509</v>
      </c>
      <c r="C147" s="632" t="s">
        <v>527</v>
      </c>
      <c r="D147" s="633" t="s">
        <v>528</v>
      </c>
      <c r="E147" s="632" t="s">
        <v>510</v>
      </c>
      <c r="F147" s="633" t="s">
        <v>511</v>
      </c>
      <c r="G147" s="632" t="s">
        <v>535</v>
      </c>
      <c r="H147" s="632" t="s">
        <v>966</v>
      </c>
      <c r="I147" s="632" t="s">
        <v>967</v>
      </c>
      <c r="J147" s="632" t="s">
        <v>968</v>
      </c>
      <c r="K147" s="632" t="s">
        <v>969</v>
      </c>
      <c r="L147" s="634">
        <v>98.049454104608103</v>
      </c>
      <c r="M147" s="634">
        <v>1</v>
      </c>
      <c r="N147" s="635">
        <v>98.049454104608103</v>
      </c>
    </row>
    <row r="148" spans="1:14" ht="14.4" customHeight="1" x14ac:dyDescent="0.3">
      <c r="A148" s="630" t="s">
        <v>507</v>
      </c>
      <c r="B148" s="631" t="s">
        <v>509</v>
      </c>
      <c r="C148" s="632" t="s">
        <v>527</v>
      </c>
      <c r="D148" s="633" t="s">
        <v>528</v>
      </c>
      <c r="E148" s="632" t="s">
        <v>510</v>
      </c>
      <c r="F148" s="633" t="s">
        <v>511</v>
      </c>
      <c r="G148" s="632" t="s">
        <v>535</v>
      </c>
      <c r="H148" s="632" t="s">
        <v>970</v>
      </c>
      <c r="I148" s="632" t="s">
        <v>246</v>
      </c>
      <c r="J148" s="632" t="s">
        <v>971</v>
      </c>
      <c r="K148" s="632"/>
      <c r="L148" s="634">
        <v>306.44683546219005</v>
      </c>
      <c r="M148" s="634">
        <v>1</v>
      </c>
      <c r="N148" s="635">
        <v>306.44683546219005</v>
      </c>
    </row>
    <row r="149" spans="1:14" ht="14.4" customHeight="1" x14ac:dyDescent="0.3">
      <c r="A149" s="630" t="s">
        <v>507</v>
      </c>
      <c r="B149" s="631" t="s">
        <v>509</v>
      </c>
      <c r="C149" s="632" t="s">
        <v>527</v>
      </c>
      <c r="D149" s="633" t="s">
        <v>528</v>
      </c>
      <c r="E149" s="632" t="s">
        <v>510</v>
      </c>
      <c r="F149" s="633" t="s">
        <v>511</v>
      </c>
      <c r="G149" s="632" t="s">
        <v>751</v>
      </c>
      <c r="H149" s="632" t="s">
        <v>972</v>
      </c>
      <c r="I149" s="632" t="s">
        <v>973</v>
      </c>
      <c r="J149" s="632" t="s">
        <v>773</v>
      </c>
      <c r="K149" s="632" t="s">
        <v>974</v>
      </c>
      <c r="L149" s="634">
        <v>114.6</v>
      </c>
      <c r="M149" s="634">
        <v>1</v>
      </c>
      <c r="N149" s="635">
        <v>114.6</v>
      </c>
    </row>
    <row r="150" spans="1:14" ht="14.4" customHeight="1" x14ac:dyDescent="0.3">
      <c r="A150" s="630" t="s">
        <v>507</v>
      </c>
      <c r="B150" s="631" t="s">
        <v>509</v>
      </c>
      <c r="C150" s="632" t="s">
        <v>527</v>
      </c>
      <c r="D150" s="633" t="s">
        <v>528</v>
      </c>
      <c r="E150" s="632" t="s">
        <v>510</v>
      </c>
      <c r="F150" s="633" t="s">
        <v>511</v>
      </c>
      <c r="G150" s="632" t="s">
        <v>751</v>
      </c>
      <c r="H150" s="632" t="s">
        <v>975</v>
      </c>
      <c r="I150" s="632" t="s">
        <v>976</v>
      </c>
      <c r="J150" s="632" t="s">
        <v>977</v>
      </c>
      <c r="K150" s="632" t="s">
        <v>652</v>
      </c>
      <c r="L150" s="634">
        <v>84.510403085584997</v>
      </c>
      <c r="M150" s="634">
        <v>1</v>
      </c>
      <c r="N150" s="635">
        <v>84.510403085584997</v>
      </c>
    </row>
    <row r="151" spans="1:14" ht="14.4" customHeight="1" x14ac:dyDescent="0.3">
      <c r="A151" s="630" t="s">
        <v>507</v>
      </c>
      <c r="B151" s="631" t="s">
        <v>509</v>
      </c>
      <c r="C151" s="632" t="s">
        <v>527</v>
      </c>
      <c r="D151" s="633" t="s">
        <v>528</v>
      </c>
      <c r="E151" s="632" t="s">
        <v>510</v>
      </c>
      <c r="F151" s="633" t="s">
        <v>511</v>
      </c>
      <c r="G151" s="632" t="s">
        <v>751</v>
      </c>
      <c r="H151" s="632" t="s">
        <v>752</v>
      </c>
      <c r="I151" s="632" t="s">
        <v>753</v>
      </c>
      <c r="J151" s="632" t="s">
        <v>754</v>
      </c>
      <c r="K151" s="632" t="s">
        <v>755</v>
      </c>
      <c r="L151" s="634">
        <v>61.47</v>
      </c>
      <c r="M151" s="634">
        <v>3</v>
      </c>
      <c r="N151" s="635">
        <v>184.41</v>
      </c>
    </row>
    <row r="152" spans="1:14" ht="14.4" customHeight="1" x14ac:dyDescent="0.3">
      <c r="A152" s="630" t="s">
        <v>507</v>
      </c>
      <c r="B152" s="631" t="s">
        <v>509</v>
      </c>
      <c r="C152" s="632" t="s">
        <v>527</v>
      </c>
      <c r="D152" s="633" t="s">
        <v>528</v>
      </c>
      <c r="E152" s="632" t="s">
        <v>510</v>
      </c>
      <c r="F152" s="633" t="s">
        <v>511</v>
      </c>
      <c r="G152" s="632" t="s">
        <v>751</v>
      </c>
      <c r="H152" s="632" t="s">
        <v>756</v>
      </c>
      <c r="I152" s="632" t="s">
        <v>757</v>
      </c>
      <c r="J152" s="632" t="s">
        <v>758</v>
      </c>
      <c r="K152" s="632" t="s">
        <v>759</v>
      </c>
      <c r="L152" s="634">
        <v>3450</v>
      </c>
      <c r="M152" s="634">
        <v>2</v>
      </c>
      <c r="N152" s="635">
        <v>6900</v>
      </c>
    </row>
    <row r="153" spans="1:14" ht="14.4" customHeight="1" x14ac:dyDescent="0.3">
      <c r="A153" s="630" t="s">
        <v>507</v>
      </c>
      <c r="B153" s="631" t="s">
        <v>509</v>
      </c>
      <c r="C153" s="632" t="s">
        <v>527</v>
      </c>
      <c r="D153" s="633" t="s">
        <v>528</v>
      </c>
      <c r="E153" s="632" t="s">
        <v>510</v>
      </c>
      <c r="F153" s="633" t="s">
        <v>511</v>
      </c>
      <c r="G153" s="632" t="s">
        <v>751</v>
      </c>
      <c r="H153" s="632" t="s">
        <v>978</v>
      </c>
      <c r="I153" s="632" t="s">
        <v>979</v>
      </c>
      <c r="J153" s="632" t="s">
        <v>980</v>
      </c>
      <c r="K153" s="632" t="s">
        <v>981</v>
      </c>
      <c r="L153" s="634">
        <v>50.63</v>
      </c>
      <c r="M153" s="634">
        <v>1</v>
      </c>
      <c r="N153" s="635">
        <v>50.63</v>
      </c>
    </row>
    <row r="154" spans="1:14" ht="14.4" customHeight="1" x14ac:dyDescent="0.3">
      <c r="A154" s="630" t="s">
        <v>507</v>
      </c>
      <c r="B154" s="631" t="s">
        <v>509</v>
      </c>
      <c r="C154" s="632" t="s">
        <v>527</v>
      </c>
      <c r="D154" s="633" t="s">
        <v>528</v>
      </c>
      <c r="E154" s="632" t="s">
        <v>510</v>
      </c>
      <c r="F154" s="633" t="s">
        <v>511</v>
      </c>
      <c r="G154" s="632" t="s">
        <v>751</v>
      </c>
      <c r="H154" s="632" t="s">
        <v>982</v>
      </c>
      <c r="I154" s="632" t="s">
        <v>983</v>
      </c>
      <c r="J154" s="632" t="s">
        <v>762</v>
      </c>
      <c r="K154" s="632" t="s">
        <v>984</v>
      </c>
      <c r="L154" s="634">
        <v>99.21</v>
      </c>
      <c r="M154" s="634">
        <v>2</v>
      </c>
      <c r="N154" s="635">
        <v>198.42</v>
      </c>
    </row>
    <row r="155" spans="1:14" ht="14.4" customHeight="1" x14ac:dyDescent="0.3">
      <c r="A155" s="630" t="s">
        <v>507</v>
      </c>
      <c r="B155" s="631" t="s">
        <v>509</v>
      </c>
      <c r="C155" s="632" t="s">
        <v>527</v>
      </c>
      <c r="D155" s="633" t="s">
        <v>528</v>
      </c>
      <c r="E155" s="632" t="s">
        <v>510</v>
      </c>
      <c r="F155" s="633" t="s">
        <v>511</v>
      </c>
      <c r="G155" s="632" t="s">
        <v>751</v>
      </c>
      <c r="H155" s="632" t="s">
        <v>985</v>
      </c>
      <c r="I155" s="632" t="s">
        <v>986</v>
      </c>
      <c r="J155" s="632" t="s">
        <v>987</v>
      </c>
      <c r="K155" s="632" t="s">
        <v>988</v>
      </c>
      <c r="L155" s="634">
        <v>1964</v>
      </c>
      <c r="M155" s="634">
        <v>1</v>
      </c>
      <c r="N155" s="635">
        <v>1964</v>
      </c>
    </row>
    <row r="156" spans="1:14" ht="14.4" customHeight="1" x14ac:dyDescent="0.3">
      <c r="A156" s="630" t="s">
        <v>507</v>
      </c>
      <c r="B156" s="631" t="s">
        <v>509</v>
      </c>
      <c r="C156" s="632" t="s">
        <v>527</v>
      </c>
      <c r="D156" s="633" t="s">
        <v>528</v>
      </c>
      <c r="E156" s="632" t="s">
        <v>510</v>
      </c>
      <c r="F156" s="633" t="s">
        <v>511</v>
      </c>
      <c r="G156" s="632" t="s">
        <v>751</v>
      </c>
      <c r="H156" s="632" t="s">
        <v>989</v>
      </c>
      <c r="I156" s="632" t="s">
        <v>990</v>
      </c>
      <c r="J156" s="632" t="s">
        <v>991</v>
      </c>
      <c r="K156" s="632" t="s">
        <v>992</v>
      </c>
      <c r="L156" s="634">
        <v>337.80435476769901</v>
      </c>
      <c r="M156" s="634">
        <v>1</v>
      </c>
      <c r="N156" s="635">
        <v>337.80435476769901</v>
      </c>
    </row>
    <row r="157" spans="1:14" ht="14.4" customHeight="1" x14ac:dyDescent="0.3">
      <c r="A157" s="630" t="s">
        <v>507</v>
      </c>
      <c r="B157" s="631" t="s">
        <v>509</v>
      </c>
      <c r="C157" s="632" t="s">
        <v>527</v>
      </c>
      <c r="D157" s="633" t="s">
        <v>528</v>
      </c>
      <c r="E157" s="632" t="s">
        <v>510</v>
      </c>
      <c r="F157" s="633" t="s">
        <v>511</v>
      </c>
      <c r="G157" s="632" t="s">
        <v>751</v>
      </c>
      <c r="H157" s="632" t="s">
        <v>764</v>
      </c>
      <c r="I157" s="632" t="s">
        <v>765</v>
      </c>
      <c r="J157" s="632" t="s">
        <v>766</v>
      </c>
      <c r="K157" s="632" t="s">
        <v>767</v>
      </c>
      <c r="L157" s="634">
        <v>47.15</v>
      </c>
      <c r="M157" s="634">
        <v>4</v>
      </c>
      <c r="N157" s="635">
        <v>188.6</v>
      </c>
    </row>
    <row r="158" spans="1:14" ht="14.4" customHeight="1" x14ac:dyDescent="0.3">
      <c r="A158" s="630" t="s">
        <v>507</v>
      </c>
      <c r="B158" s="631" t="s">
        <v>509</v>
      </c>
      <c r="C158" s="632" t="s">
        <v>527</v>
      </c>
      <c r="D158" s="633" t="s">
        <v>528</v>
      </c>
      <c r="E158" s="632" t="s">
        <v>510</v>
      </c>
      <c r="F158" s="633" t="s">
        <v>511</v>
      </c>
      <c r="G158" s="632" t="s">
        <v>751</v>
      </c>
      <c r="H158" s="632" t="s">
        <v>993</v>
      </c>
      <c r="I158" s="632" t="s">
        <v>994</v>
      </c>
      <c r="J158" s="632" t="s">
        <v>995</v>
      </c>
      <c r="K158" s="632" t="s">
        <v>996</v>
      </c>
      <c r="L158" s="634">
        <v>102.54953742029249</v>
      </c>
      <c r="M158" s="634">
        <v>2</v>
      </c>
      <c r="N158" s="635">
        <v>205.09907484058499</v>
      </c>
    </row>
    <row r="159" spans="1:14" ht="14.4" customHeight="1" x14ac:dyDescent="0.3">
      <c r="A159" s="630" t="s">
        <v>507</v>
      </c>
      <c r="B159" s="631" t="s">
        <v>509</v>
      </c>
      <c r="C159" s="632" t="s">
        <v>527</v>
      </c>
      <c r="D159" s="633" t="s">
        <v>528</v>
      </c>
      <c r="E159" s="632" t="s">
        <v>510</v>
      </c>
      <c r="F159" s="633" t="s">
        <v>511</v>
      </c>
      <c r="G159" s="632" t="s">
        <v>751</v>
      </c>
      <c r="H159" s="632" t="s">
        <v>997</v>
      </c>
      <c r="I159" s="632" t="s">
        <v>998</v>
      </c>
      <c r="J159" s="632" t="s">
        <v>999</v>
      </c>
      <c r="K159" s="632" t="s">
        <v>1000</v>
      </c>
      <c r="L159" s="634">
        <v>71.67</v>
      </c>
      <c r="M159" s="634">
        <v>1</v>
      </c>
      <c r="N159" s="635">
        <v>71.67</v>
      </c>
    </row>
    <row r="160" spans="1:14" ht="14.4" customHeight="1" x14ac:dyDescent="0.3">
      <c r="A160" s="630" t="s">
        <v>507</v>
      </c>
      <c r="B160" s="631" t="s">
        <v>509</v>
      </c>
      <c r="C160" s="632" t="s">
        <v>527</v>
      </c>
      <c r="D160" s="633" t="s">
        <v>528</v>
      </c>
      <c r="E160" s="632" t="s">
        <v>510</v>
      </c>
      <c r="F160" s="633" t="s">
        <v>511</v>
      </c>
      <c r="G160" s="632" t="s">
        <v>751</v>
      </c>
      <c r="H160" s="632" t="s">
        <v>1001</v>
      </c>
      <c r="I160" s="632" t="s">
        <v>1002</v>
      </c>
      <c r="J160" s="632" t="s">
        <v>1003</v>
      </c>
      <c r="K160" s="632" t="s">
        <v>644</v>
      </c>
      <c r="L160" s="634">
        <v>63.87</v>
      </c>
      <c r="M160" s="634">
        <v>1</v>
      </c>
      <c r="N160" s="635">
        <v>63.87</v>
      </c>
    </row>
    <row r="161" spans="1:14" ht="14.4" customHeight="1" x14ac:dyDescent="0.3">
      <c r="A161" s="630" t="s">
        <v>507</v>
      </c>
      <c r="B161" s="631" t="s">
        <v>509</v>
      </c>
      <c r="C161" s="632" t="s">
        <v>527</v>
      </c>
      <c r="D161" s="633" t="s">
        <v>528</v>
      </c>
      <c r="E161" s="632" t="s">
        <v>510</v>
      </c>
      <c r="F161" s="633" t="s">
        <v>511</v>
      </c>
      <c r="G161" s="632" t="s">
        <v>751</v>
      </c>
      <c r="H161" s="632" t="s">
        <v>779</v>
      </c>
      <c r="I161" s="632" t="s">
        <v>780</v>
      </c>
      <c r="J161" s="632" t="s">
        <v>781</v>
      </c>
      <c r="K161" s="632" t="s">
        <v>782</v>
      </c>
      <c r="L161" s="634">
        <v>52.81</v>
      </c>
      <c r="M161" s="634">
        <v>1</v>
      </c>
      <c r="N161" s="635">
        <v>52.81</v>
      </c>
    </row>
    <row r="162" spans="1:14" ht="14.4" customHeight="1" x14ac:dyDescent="0.3">
      <c r="A162" s="630" t="s">
        <v>507</v>
      </c>
      <c r="B162" s="631" t="s">
        <v>509</v>
      </c>
      <c r="C162" s="632" t="s">
        <v>527</v>
      </c>
      <c r="D162" s="633" t="s">
        <v>528</v>
      </c>
      <c r="E162" s="632" t="s">
        <v>510</v>
      </c>
      <c r="F162" s="633" t="s">
        <v>511</v>
      </c>
      <c r="G162" s="632" t="s">
        <v>751</v>
      </c>
      <c r="H162" s="632" t="s">
        <v>783</v>
      </c>
      <c r="I162" s="632" t="s">
        <v>784</v>
      </c>
      <c r="J162" s="632" t="s">
        <v>785</v>
      </c>
      <c r="K162" s="632" t="s">
        <v>786</v>
      </c>
      <c r="L162" s="634">
        <v>70.909999999999982</v>
      </c>
      <c r="M162" s="634">
        <v>4</v>
      </c>
      <c r="N162" s="635">
        <v>283.63999999999993</v>
      </c>
    </row>
    <row r="163" spans="1:14" ht="14.4" customHeight="1" x14ac:dyDescent="0.3">
      <c r="A163" s="630" t="s">
        <v>507</v>
      </c>
      <c r="B163" s="631" t="s">
        <v>509</v>
      </c>
      <c r="C163" s="632" t="s">
        <v>527</v>
      </c>
      <c r="D163" s="633" t="s">
        <v>528</v>
      </c>
      <c r="E163" s="632" t="s">
        <v>510</v>
      </c>
      <c r="F163" s="633" t="s">
        <v>511</v>
      </c>
      <c r="G163" s="632" t="s">
        <v>751</v>
      </c>
      <c r="H163" s="632" t="s">
        <v>787</v>
      </c>
      <c r="I163" s="632" t="s">
        <v>788</v>
      </c>
      <c r="J163" s="632" t="s">
        <v>789</v>
      </c>
      <c r="K163" s="632" t="s">
        <v>790</v>
      </c>
      <c r="L163" s="634">
        <v>356.5</v>
      </c>
      <c r="M163" s="634">
        <v>6</v>
      </c>
      <c r="N163" s="635">
        <v>2139</v>
      </c>
    </row>
    <row r="164" spans="1:14" ht="14.4" customHeight="1" x14ac:dyDescent="0.3">
      <c r="A164" s="630" t="s">
        <v>507</v>
      </c>
      <c r="B164" s="631" t="s">
        <v>509</v>
      </c>
      <c r="C164" s="632" t="s">
        <v>527</v>
      </c>
      <c r="D164" s="633" t="s">
        <v>528</v>
      </c>
      <c r="E164" s="632" t="s">
        <v>510</v>
      </c>
      <c r="F164" s="633" t="s">
        <v>511</v>
      </c>
      <c r="G164" s="632" t="s">
        <v>751</v>
      </c>
      <c r="H164" s="632" t="s">
        <v>791</v>
      </c>
      <c r="I164" s="632" t="s">
        <v>792</v>
      </c>
      <c r="J164" s="632" t="s">
        <v>789</v>
      </c>
      <c r="K164" s="632" t="s">
        <v>793</v>
      </c>
      <c r="L164" s="634">
        <v>413.999793148354</v>
      </c>
      <c r="M164" s="634">
        <v>8</v>
      </c>
      <c r="N164" s="635">
        <v>3311.998345186832</v>
      </c>
    </row>
    <row r="165" spans="1:14" ht="14.4" customHeight="1" x14ac:dyDescent="0.3">
      <c r="A165" s="630" t="s">
        <v>507</v>
      </c>
      <c r="B165" s="631" t="s">
        <v>509</v>
      </c>
      <c r="C165" s="632" t="s">
        <v>527</v>
      </c>
      <c r="D165" s="633" t="s">
        <v>528</v>
      </c>
      <c r="E165" s="632" t="s">
        <v>510</v>
      </c>
      <c r="F165" s="633" t="s">
        <v>511</v>
      </c>
      <c r="G165" s="632" t="s">
        <v>751</v>
      </c>
      <c r="H165" s="632" t="s">
        <v>1004</v>
      </c>
      <c r="I165" s="632" t="s">
        <v>1005</v>
      </c>
      <c r="J165" s="632" t="s">
        <v>1006</v>
      </c>
      <c r="K165" s="632" t="s">
        <v>1007</v>
      </c>
      <c r="L165" s="634">
        <v>202.78</v>
      </c>
      <c r="M165" s="634">
        <v>1</v>
      </c>
      <c r="N165" s="635">
        <v>202.78</v>
      </c>
    </row>
    <row r="166" spans="1:14" ht="14.4" customHeight="1" x14ac:dyDescent="0.3">
      <c r="A166" s="630" t="s">
        <v>507</v>
      </c>
      <c r="B166" s="631" t="s">
        <v>509</v>
      </c>
      <c r="C166" s="632" t="s">
        <v>527</v>
      </c>
      <c r="D166" s="633" t="s">
        <v>528</v>
      </c>
      <c r="E166" s="632" t="s">
        <v>510</v>
      </c>
      <c r="F166" s="633" t="s">
        <v>511</v>
      </c>
      <c r="G166" s="632" t="s">
        <v>751</v>
      </c>
      <c r="H166" s="632" t="s">
        <v>1008</v>
      </c>
      <c r="I166" s="632" t="s">
        <v>1009</v>
      </c>
      <c r="J166" s="632" t="s">
        <v>1010</v>
      </c>
      <c r="K166" s="632" t="s">
        <v>1011</v>
      </c>
      <c r="L166" s="634">
        <v>162.04</v>
      </c>
      <c r="M166" s="634">
        <v>1</v>
      </c>
      <c r="N166" s="635">
        <v>162.04</v>
      </c>
    </row>
    <row r="167" spans="1:14" ht="14.4" customHeight="1" x14ac:dyDescent="0.3">
      <c r="A167" s="630" t="s">
        <v>507</v>
      </c>
      <c r="B167" s="631" t="s">
        <v>509</v>
      </c>
      <c r="C167" s="632" t="s">
        <v>527</v>
      </c>
      <c r="D167" s="633" t="s">
        <v>528</v>
      </c>
      <c r="E167" s="632" t="s">
        <v>510</v>
      </c>
      <c r="F167" s="633" t="s">
        <v>511</v>
      </c>
      <c r="G167" s="632" t="s">
        <v>751</v>
      </c>
      <c r="H167" s="632" t="s">
        <v>1012</v>
      </c>
      <c r="I167" s="632" t="s">
        <v>1013</v>
      </c>
      <c r="J167" s="632" t="s">
        <v>1014</v>
      </c>
      <c r="K167" s="632" t="s">
        <v>1015</v>
      </c>
      <c r="L167" s="634">
        <v>230.24000000000012</v>
      </c>
      <c r="M167" s="634">
        <v>1</v>
      </c>
      <c r="N167" s="635">
        <v>230.24000000000012</v>
      </c>
    </row>
    <row r="168" spans="1:14" ht="14.4" customHeight="1" x14ac:dyDescent="0.3">
      <c r="A168" s="630" t="s">
        <v>507</v>
      </c>
      <c r="B168" s="631" t="s">
        <v>509</v>
      </c>
      <c r="C168" s="632" t="s">
        <v>527</v>
      </c>
      <c r="D168" s="633" t="s">
        <v>528</v>
      </c>
      <c r="E168" s="632" t="s">
        <v>518</v>
      </c>
      <c r="F168" s="633" t="s">
        <v>519</v>
      </c>
      <c r="G168" s="632" t="s">
        <v>535</v>
      </c>
      <c r="H168" s="632" t="s">
        <v>1016</v>
      </c>
      <c r="I168" s="632" t="s">
        <v>1017</v>
      </c>
      <c r="J168" s="632" t="s">
        <v>1018</v>
      </c>
      <c r="K168" s="632" t="s">
        <v>556</v>
      </c>
      <c r="L168" s="634">
        <v>66.13</v>
      </c>
      <c r="M168" s="634">
        <v>1</v>
      </c>
      <c r="N168" s="635">
        <v>66.13</v>
      </c>
    </row>
    <row r="169" spans="1:14" ht="14.4" customHeight="1" x14ac:dyDescent="0.3">
      <c r="A169" s="630" t="s">
        <v>507</v>
      </c>
      <c r="B169" s="631" t="s">
        <v>509</v>
      </c>
      <c r="C169" s="632" t="s">
        <v>527</v>
      </c>
      <c r="D169" s="633" t="s">
        <v>528</v>
      </c>
      <c r="E169" s="632" t="s">
        <v>518</v>
      </c>
      <c r="F169" s="633" t="s">
        <v>519</v>
      </c>
      <c r="G169" s="632" t="s">
        <v>535</v>
      </c>
      <c r="H169" s="632" t="s">
        <v>798</v>
      </c>
      <c r="I169" s="632" t="s">
        <v>799</v>
      </c>
      <c r="J169" s="632" t="s">
        <v>800</v>
      </c>
      <c r="K169" s="632" t="s">
        <v>801</v>
      </c>
      <c r="L169" s="634">
        <v>33.254999931264848</v>
      </c>
      <c r="M169" s="634">
        <v>4</v>
      </c>
      <c r="N169" s="635">
        <v>133.01999972505939</v>
      </c>
    </row>
    <row r="170" spans="1:14" ht="14.4" customHeight="1" x14ac:dyDescent="0.3">
      <c r="A170" s="630" t="s">
        <v>507</v>
      </c>
      <c r="B170" s="631" t="s">
        <v>509</v>
      </c>
      <c r="C170" s="632" t="s">
        <v>527</v>
      </c>
      <c r="D170" s="633" t="s">
        <v>528</v>
      </c>
      <c r="E170" s="632" t="s">
        <v>518</v>
      </c>
      <c r="F170" s="633" t="s">
        <v>519</v>
      </c>
      <c r="G170" s="632" t="s">
        <v>535</v>
      </c>
      <c r="H170" s="632" t="s">
        <v>1019</v>
      </c>
      <c r="I170" s="632" t="s">
        <v>1020</v>
      </c>
      <c r="J170" s="632" t="s">
        <v>820</v>
      </c>
      <c r="K170" s="632" t="s">
        <v>1021</v>
      </c>
      <c r="L170" s="634">
        <v>181.80000000000004</v>
      </c>
      <c r="M170" s="634">
        <v>2</v>
      </c>
      <c r="N170" s="635">
        <v>363.60000000000008</v>
      </c>
    </row>
    <row r="171" spans="1:14" ht="14.4" customHeight="1" x14ac:dyDescent="0.3">
      <c r="A171" s="630" t="s">
        <v>507</v>
      </c>
      <c r="B171" s="631" t="s">
        <v>509</v>
      </c>
      <c r="C171" s="632" t="s">
        <v>527</v>
      </c>
      <c r="D171" s="633" t="s">
        <v>528</v>
      </c>
      <c r="E171" s="632" t="s">
        <v>518</v>
      </c>
      <c r="F171" s="633" t="s">
        <v>519</v>
      </c>
      <c r="G171" s="632" t="s">
        <v>535</v>
      </c>
      <c r="H171" s="632" t="s">
        <v>1022</v>
      </c>
      <c r="I171" s="632" t="s">
        <v>1022</v>
      </c>
      <c r="J171" s="632" t="s">
        <v>1023</v>
      </c>
      <c r="K171" s="632" t="s">
        <v>1024</v>
      </c>
      <c r="L171" s="634">
        <v>1851.4999999999998</v>
      </c>
      <c r="M171" s="634">
        <v>0.3</v>
      </c>
      <c r="N171" s="635">
        <v>555.44999999999993</v>
      </c>
    </row>
    <row r="172" spans="1:14" ht="14.4" customHeight="1" x14ac:dyDescent="0.3">
      <c r="A172" s="630" t="s">
        <v>507</v>
      </c>
      <c r="B172" s="631" t="s">
        <v>509</v>
      </c>
      <c r="C172" s="632" t="s">
        <v>527</v>
      </c>
      <c r="D172" s="633" t="s">
        <v>528</v>
      </c>
      <c r="E172" s="632" t="s">
        <v>518</v>
      </c>
      <c r="F172" s="633" t="s">
        <v>519</v>
      </c>
      <c r="G172" s="632" t="s">
        <v>751</v>
      </c>
      <c r="H172" s="632" t="s">
        <v>814</v>
      </c>
      <c r="I172" s="632" t="s">
        <v>815</v>
      </c>
      <c r="J172" s="632" t="s">
        <v>816</v>
      </c>
      <c r="K172" s="632" t="s">
        <v>817</v>
      </c>
      <c r="L172" s="634">
        <v>88.59999999999998</v>
      </c>
      <c r="M172" s="634">
        <v>3</v>
      </c>
      <c r="N172" s="635">
        <v>265.79999999999995</v>
      </c>
    </row>
    <row r="173" spans="1:14" ht="14.4" customHeight="1" x14ac:dyDescent="0.3">
      <c r="A173" s="630" t="s">
        <v>507</v>
      </c>
      <c r="B173" s="631" t="s">
        <v>509</v>
      </c>
      <c r="C173" s="632" t="s">
        <v>527</v>
      </c>
      <c r="D173" s="633" t="s">
        <v>528</v>
      </c>
      <c r="E173" s="632" t="s">
        <v>518</v>
      </c>
      <c r="F173" s="633" t="s">
        <v>519</v>
      </c>
      <c r="G173" s="632" t="s">
        <v>751</v>
      </c>
      <c r="H173" s="632" t="s">
        <v>818</v>
      </c>
      <c r="I173" s="632" t="s">
        <v>819</v>
      </c>
      <c r="J173" s="632" t="s">
        <v>820</v>
      </c>
      <c r="K173" s="632" t="s">
        <v>821</v>
      </c>
      <c r="L173" s="634">
        <v>45.85</v>
      </c>
      <c r="M173" s="634">
        <v>40</v>
      </c>
      <c r="N173" s="635">
        <v>1834</v>
      </c>
    </row>
    <row r="174" spans="1:14" ht="14.4" customHeight="1" x14ac:dyDescent="0.3">
      <c r="A174" s="630" t="s">
        <v>507</v>
      </c>
      <c r="B174" s="631" t="s">
        <v>509</v>
      </c>
      <c r="C174" s="632" t="s">
        <v>527</v>
      </c>
      <c r="D174" s="633" t="s">
        <v>528</v>
      </c>
      <c r="E174" s="632" t="s">
        <v>518</v>
      </c>
      <c r="F174" s="633" t="s">
        <v>519</v>
      </c>
      <c r="G174" s="632" t="s">
        <v>751</v>
      </c>
      <c r="H174" s="632" t="s">
        <v>1025</v>
      </c>
      <c r="I174" s="632" t="s">
        <v>1026</v>
      </c>
      <c r="J174" s="632" t="s">
        <v>1027</v>
      </c>
      <c r="K174" s="632" t="s">
        <v>1028</v>
      </c>
      <c r="L174" s="634">
        <v>153.59036289145985</v>
      </c>
      <c r="M174" s="634">
        <v>1</v>
      </c>
      <c r="N174" s="635">
        <v>153.59036289145985</v>
      </c>
    </row>
    <row r="175" spans="1:14" ht="14.4" customHeight="1" x14ac:dyDescent="0.3">
      <c r="A175" s="630" t="s">
        <v>507</v>
      </c>
      <c r="B175" s="631" t="s">
        <v>509</v>
      </c>
      <c r="C175" s="632" t="s">
        <v>527</v>
      </c>
      <c r="D175" s="633" t="s">
        <v>528</v>
      </c>
      <c r="E175" s="632" t="s">
        <v>518</v>
      </c>
      <c r="F175" s="633" t="s">
        <v>519</v>
      </c>
      <c r="G175" s="632" t="s">
        <v>751</v>
      </c>
      <c r="H175" s="632" t="s">
        <v>1029</v>
      </c>
      <c r="I175" s="632" t="s">
        <v>1030</v>
      </c>
      <c r="J175" s="632" t="s">
        <v>1031</v>
      </c>
      <c r="K175" s="632" t="s">
        <v>1032</v>
      </c>
      <c r="L175" s="634">
        <v>92</v>
      </c>
      <c r="M175" s="634">
        <v>3</v>
      </c>
      <c r="N175" s="635">
        <v>276</v>
      </c>
    </row>
    <row r="176" spans="1:14" ht="14.4" customHeight="1" x14ac:dyDescent="0.3">
      <c r="A176" s="630" t="s">
        <v>507</v>
      </c>
      <c r="B176" s="631" t="s">
        <v>509</v>
      </c>
      <c r="C176" s="632" t="s">
        <v>527</v>
      </c>
      <c r="D176" s="633" t="s">
        <v>528</v>
      </c>
      <c r="E176" s="632" t="s">
        <v>518</v>
      </c>
      <c r="F176" s="633" t="s">
        <v>519</v>
      </c>
      <c r="G176" s="632" t="s">
        <v>751</v>
      </c>
      <c r="H176" s="632" t="s">
        <v>826</v>
      </c>
      <c r="I176" s="632" t="s">
        <v>827</v>
      </c>
      <c r="J176" s="632" t="s">
        <v>828</v>
      </c>
      <c r="K176" s="632" t="s">
        <v>829</v>
      </c>
      <c r="L176" s="634">
        <v>75.22758580979901</v>
      </c>
      <c r="M176" s="634">
        <v>96</v>
      </c>
      <c r="N176" s="635">
        <v>7221.8482377407045</v>
      </c>
    </row>
    <row r="177" spans="1:14" ht="14.4" customHeight="1" x14ac:dyDescent="0.3">
      <c r="A177" s="630" t="s">
        <v>507</v>
      </c>
      <c r="B177" s="631" t="s">
        <v>509</v>
      </c>
      <c r="C177" s="632" t="s">
        <v>527</v>
      </c>
      <c r="D177" s="633" t="s">
        <v>528</v>
      </c>
      <c r="E177" s="632" t="s">
        <v>518</v>
      </c>
      <c r="F177" s="633" t="s">
        <v>519</v>
      </c>
      <c r="G177" s="632" t="s">
        <v>751</v>
      </c>
      <c r="H177" s="632" t="s">
        <v>830</v>
      </c>
      <c r="I177" s="632" t="s">
        <v>831</v>
      </c>
      <c r="J177" s="632" t="s">
        <v>832</v>
      </c>
      <c r="K177" s="632" t="s">
        <v>833</v>
      </c>
      <c r="L177" s="634">
        <v>120.31467873186509</v>
      </c>
      <c r="M177" s="634">
        <v>2</v>
      </c>
      <c r="N177" s="635">
        <v>240.62935746373017</v>
      </c>
    </row>
    <row r="178" spans="1:14" ht="14.4" customHeight="1" x14ac:dyDescent="0.3">
      <c r="A178" s="630" t="s">
        <v>507</v>
      </c>
      <c r="B178" s="631" t="s">
        <v>509</v>
      </c>
      <c r="C178" s="632" t="s">
        <v>527</v>
      </c>
      <c r="D178" s="633" t="s">
        <v>528</v>
      </c>
      <c r="E178" s="632" t="s">
        <v>518</v>
      </c>
      <c r="F178" s="633" t="s">
        <v>519</v>
      </c>
      <c r="G178" s="632" t="s">
        <v>751</v>
      </c>
      <c r="H178" s="632" t="s">
        <v>1033</v>
      </c>
      <c r="I178" s="632" t="s">
        <v>1034</v>
      </c>
      <c r="J178" s="632" t="s">
        <v>1035</v>
      </c>
      <c r="K178" s="632" t="s">
        <v>1036</v>
      </c>
      <c r="L178" s="634">
        <v>54.43019954143189</v>
      </c>
      <c r="M178" s="634">
        <v>5</v>
      </c>
      <c r="N178" s="635">
        <v>272.15099770715943</v>
      </c>
    </row>
    <row r="179" spans="1:14" ht="14.4" customHeight="1" x14ac:dyDescent="0.3">
      <c r="A179" s="630" t="s">
        <v>507</v>
      </c>
      <c r="B179" s="631" t="s">
        <v>509</v>
      </c>
      <c r="C179" s="632" t="s">
        <v>527</v>
      </c>
      <c r="D179" s="633" t="s">
        <v>528</v>
      </c>
      <c r="E179" s="632" t="s">
        <v>518</v>
      </c>
      <c r="F179" s="633" t="s">
        <v>519</v>
      </c>
      <c r="G179" s="632" t="s">
        <v>751</v>
      </c>
      <c r="H179" s="632" t="s">
        <v>1037</v>
      </c>
      <c r="I179" s="632" t="s">
        <v>1038</v>
      </c>
      <c r="J179" s="632" t="s">
        <v>1039</v>
      </c>
      <c r="K179" s="632" t="s">
        <v>1040</v>
      </c>
      <c r="L179" s="634">
        <v>59.79</v>
      </c>
      <c r="M179" s="634">
        <v>9</v>
      </c>
      <c r="N179" s="635">
        <v>538.11</v>
      </c>
    </row>
    <row r="180" spans="1:14" ht="14.4" customHeight="1" x14ac:dyDescent="0.3">
      <c r="A180" s="630" t="s">
        <v>507</v>
      </c>
      <c r="B180" s="631" t="s">
        <v>509</v>
      </c>
      <c r="C180" s="632" t="s">
        <v>529</v>
      </c>
      <c r="D180" s="633" t="s">
        <v>530</v>
      </c>
      <c r="E180" s="632" t="s">
        <v>510</v>
      </c>
      <c r="F180" s="633" t="s">
        <v>511</v>
      </c>
      <c r="G180" s="632" t="s">
        <v>535</v>
      </c>
      <c r="H180" s="632" t="s">
        <v>1041</v>
      </c>
      <c r="I180" s="632" t="s">
        <v>246</v>
      </c>
      <c r="J180" s="632" t="s">
        <v>1042</v>
      </c>
      <c r="K180" s="632"/>
      <c r="L180" s="634">
        <v>75.429788824331993</v>
      </c>
      <c r="M180" s="634">
        <v>1</v>
      </c>
      <c r="N180" s="635">
        <v>75.429788824331993</v>
      </c>
    </row>
    <row r="181" spans="1:14" ht="14.4" customHeight="1" x14ac:dyDescent="0.3">
      <c r="A181" s="630" t="s">
        <v>507</v>
      </c>
      <c r="B181" s="631" t="s">
        <v>509</v>
      </c>
      <c r="C181" s="632" t="s">
        <v>531</v>
      </c>
      <c r="D181" s="633" t="s">
        <v>532</v>
      </c>
      <c r="E181" s="632" t="s">
        <v>510</v>
      </c>
      <c r="F181" s="633" t="s">
        <v>511</v>
      </c>
      <c r="G181" s="632" t="s">
        <v>535</v>
      </c>
      <c r="H181" s="632" t="s">
        <v>536</v>
      </c>
      <c r="I181" s="632" t="s">
        <v>536</v>
      </c>
      <c r="J181" s="632" t="s">
        <v>537</v>
      </c>
      <c r="K181" s="632" t="s">
        <v>538</v>
      </c>
      <c r="L181" s="634">
        <v>179.40000000000003</v>
      </c>
      <c r="M181" s="634">
        <v>15</v>
      </c>
      <c r="N181" s="635">
        <v>2691.0000000000005</v>
      </c>
    </row>
    <row r="182" spans="1:14" ht="14.4" customHeight="1" x14ac:dyDescent="0.3">
      <c r="A182" s="630" t="s">
        <v>507</v>
      </c>
      <c r="B182" s="631" t="s">
        <v>509</v>
      </c>
      <c r="C182" s="632" t="s">
        <v>531</v>
      </c>
      <c r="D182" s="633" t="s">
        <v>532</v>
      </c>
      <c r="E182" s="632" t="s">
        <v>510</v>
      </c>
      <c r="F182" s="633" t="s">
        <v>511</v>
      </c>
      <c r="G182" s="632" t="s">
        <v>535</v>
      </c>
      <c r="H182" s="632" t="s">
        <v>539</v>
      </c>
      <c r="I182" s="632" t="s">
        <v>539</v>
      </c>
      <c r="J182" s="632" t="s">
        <v>540</v>
      </c>
      <c r="K182" s="632" t="s">
        <v>541</v>
      </c>
      <c r="L182" s="634">
        <v>181.59</v>
      </c>
      <c r="M182" s="634">
        <v>21</v>
      </c>
      <c r="N182" s="635">
        <v>3813.3900000000003</v>
      </c>
    </row>
    <row r="183" spans="1:14" ht="14.4" customHeight="1" x14ac:dyDescent="0.3">
      <c r="A183" s="630" t="s">
        <v>507</v>
      </c>
      <c r="B183" s="631" t="s">
        <v>509</v>
      </c>
      <c r="C183" s="632" t="s">
        <v>531</v>
      </c>
      <c r="D183" s="633" t="s">
        <v>532</v>
      </c>
      <c r="E183" s="632" t="s">
        <v>510</v>
      </c>
      <c r="F183" s="633" t="s">
        <v>511</v>
      </c>
      <c r="G183" s="632" t="s">
        <v>535</v>
      </c>
      <c r="H183" s="632" t="s">
        <v>542</v>
      </c>
      <c r="I183" s="632" t="s">
        <v>542</v>
      </c>
      <c r="J183" s="632" t="s">
        <v>543</v>
      </c>
      <c r="K183" s="632" t="s">
        <v>541</v>
      </c>
      <c r="L183" s="634">
        <v>149.5</v>
      </c>
      <c r="M183" s="634">
        <v>7</v>
      </c>
      <c r="N183" s="635">
        <v>1046.5</v>
      </c>
    </row>
    <row r="184" spans="1:14" ht="14.4" customHeight="1" x14ac:dyDescent="0.3">
      <c r="A184" s="630" t="s">
        <v>507</v>
      </c>
      <c r="B184" s="631" t="s">
        <v>509</v>
      </c>
      <c r="C184" s="632" t="s">
        <v>531</v>
      </c>
      <c r="D184" s="633" t="s">
        <v>532</v>
      </c>
      <c r="E184" s="632" t="s">
        <v>510</v>
      </c>
      <c r="F184" s="633" t="s">
        <v>511</v>
      </c>
      <c r="G184" s="632" t="s">
        <v>535</v>
      </c>
      <c r="H184" s="632" t="s">
        <v>544</v>
      </c>
      <c r="I184" s="632" t="s">
        <v>544</v>
      </c>
      <c r="J184" s="632" t="s">
        <v>537</v>
      </c>
      <c r="K184" s="632" t="s">
        <v>545</v>
      </c>
      <c r="L184" s="634">
        <v>97.179999999999993</v>
      </c>
      <c r="M184" s="634">
        <v>3</v>
      </c>
      <c r="N184" s="635">
        <v>291.53999999999996</v>
      </c>
    </row>
    <row r="185" spans="1:14" ht="14.4" customHeight="1" x14ac:dyDescent="0.3">
      <c r="A185" s="630" t="s">
        <v>507</v>
      </c>
      <c r="B185" s="631" t="s">
        <v>509</v>
      </c>
      <c r="C185" s="632" t="s">
        <v>531</v>
      </c>
      <c r="D185" s="633" t="s">
        <v>532</v>
      </c>
      <c r="E185" s="632" t="s">
        <v>510</v>
      </c>
      <c r="F185" s="633" t="s">
        <v>511</v>
      </c>
      <c r="G185" s="632" t="s">
        <v>535</v>
      </c>
      <c r="H185" s="632" t="s">
        <v>1043</v>
      </c>
      <c r="I185" s="632" t="s">
        <v>1043</v>
      </c>
      <c r="J185" s="632" t="s">
        <v>537</v>
      </c>
      <c r="K185" s="632" t="s">
        <v>1044</v>
      </c>
      <c r="L185" s="634">
        <v>97.750000000000014</v>
      </c>
      <c r="M185" s="634">
        <v>24</v>
      </c>
      <c r="N185" s="635">
        <v>2346.0000000000005</v>
      </c>
    </row>
    <row r="186" spans="1:14" ht="14.4" customHeight="1" x14ac:dyDescent="0.3">
      <c r="A186" s="630" t="s">
        <v>507</v>
      </c>
      <c r="B186" s="631" t="s">
        <v>509</v>
      </c>
      <c r="C186" s="632" t="s">
        <v>531</v>
      </c>
      <c r="D186" s="633" t="s">
        <v>532</v>
      </c>
      <c r="E186" s="632" t="s">
        <v>510</v>
      </c>
      <c r="F186" s="633" t="s">
        <v>511</v>
      </c>
      <c r="G186" s="632" t="s">
        <v>535</v>
      </c>
      <c r="H186" s="632" t="s">
        <v>834</v>
      </c>
      <c r="I186" s="632" t="s">
        <v>835</v>
      </c>
      <c r="J186" s="632" t="s">
        <v>836</v>
      </c>
      <c r="K186" s="632" t="s">
        <v>837</v>
      </c>
      <c r="L186" s="634">
        <v>84.569999999999979</v>
      </c>
      <c r="M186" s="634">
        <v>6</v>
      </c>
      <c r="N186" s="635">
        <v>507.4199999999999</v>
      </c>
    </row>
    <row r="187" spans="1:14" ht="14.4" customHeight="1" x14ac:dyDescent="0.3">
      <c r="A187" s="630" t="s">
        <v>507</v>
      </c>
      <c r="B187" s="631" t="s">
        <v>509</v>
      </c>
      <c r="C187" s="632" t="s">
        <v>531</v>
      </c>
      <c r="D187" s="633" t="s">
        <v>532</v>
      </c>
      <c r="E187" s="632" t="s">
        <v>510</v>
      </c>
      <c r="F187" s="633" t="s">
        <v>511</v>
      </c>
      <c r="G187" s="632" t="s">
        <v>535</v>
      </c>
      <c r="H187" s="632" t="s">
        <v>546</v>
      </c>
      <c r="I187" s="632" t="s">
        <v>547</v>
      </c>
      <c r="J187" s="632" t="s">
        <v>548</v>
      </c>
      <c r="K187" s="632" t="s">
        <v>549</v>
      </c>
      <c r="L187" s="634">
        <v>97.573507491199223</v>
      </c>
      <c r="M187" s="634">
        <v>83</v>
      </c>
      <c r="N187" s="635">
        <v>8098.6011217695359</v>
      </c>
    </row>
    <row r="188" spans="1:14" ht="14.4" customHeight="1" x14ac:dyDescent="0.3">
      <c r="A188" s="630" t="s">
        <v>507</v>
      </c>
      <c r="B188" s="631" t="s">
        <v>509</v>
      </c>
      <c r="C188" s="632" t="s">
        <v>531</v>
      </c>
      <c r="D188" s="633" t="s">
        <v>532</v>
      </c>
      <c r="E188" s="632" t="s">
        <v>510</v>
      </c>
      <c r="F188" s="633" t="s">
        <v>511</v>
      </c>
      <c r="G188" s="632" t="s">
        <v>535</v>
      </c>
      <c r="H188" s="632" t="s">
        <v>1045</v>
      </c>
      <c r="I188" s="632" t="s">
        <v>1046</v>
      </c>
      <c r="J188" s="632" t="s">
        <v>698</v>
      </c>
      <c r="K188" s="632" t="s">
        <v>1047</v>
      </c>
      <c r="L188" s="634">
        <v>170.45050136803985</v>
      </c>
      <c r="M188" s="634">
        <v>1</v>
      </c>
      <c r="N188" s="635">
        <v>170.45050136803985</v>
      </c>
    </row>
    <row r="189" spans="1:14" ht="14.4" customHeight="1" x14ac:dyDescent="0.3">
      <c r="A189" s="630" t="s">
        <v>507</v>
      </c>
      <c r="B189" s="631" t="s">
        <v>509</v>
      </c>
      <c r="C189" s="632" t="s">
        <v>531</v>
      </c>
      <c r="D189" s="633" t="s">
        <v>532</v>
      </c>
      <c r="E189" s="632" t="s">
        <v>510</v>
      </c>
      <c r="F189" s="633" t="s">
        <v>511</v>
      </c>
      <c r="G189" s="632" t="s">
        <v>535</v>
      </c>
      <c r="H189" s="632" t="s">
        <v>1048</v>
      </c>
      <c r="I189" s="632" t="s">
        <v>1049</v>
      </c>
      <c r="J189" s="632" t="s">
        <v>1050</v>
      </c>
      <c r="K189" s="632" t="s">
        <v>1051</v>
      </c>
      <c r="L189" s="634">
        <v>63.04</v>
      </c>
      <c r="M189" s="634">
        <v>7</v>
      </c>
      <c r="N189" s="635">
        <v>441.28</v>
      </c>
    </row>
    <row r="190" spans="1:14" ht="14.4" customHeight="1" x14ac:dyDescent="0.3">
      <c r="A190" s="630" t="s">
        <v>507</v>
      </c>
      <c r="B190" s="631" t="s">
        <v>509</v>
      </c>
      <c r="C190" s="632" t="s">
        <v>531</v>
      </c>
      <c r="D190" s="633" t="s">
        <v>532</v>
      </c>
      <c r="E190" s="632" t="s">
        <v>510</v>
      </c>
      <c r="F190" s="633" t="s">
        <v>511</v>
      </c>
      <c r="G190" s="632" t="s">
        <v>535</v>
      </c>
      <c r="H190" s="632" t="s">
        <v>550</v>
      </c>
      <c r="I190" s="632" t="s">
        <v>551</v>
      </c>
      <c r="J190" s="632" t="s">
        <v>552</v>
      </c>
      <c r="K190" s="632" t="s">
        <v>553</v>
      </c>
      <c r="L190" s="634">
        <v>59.762399999999985</v>
      </c>
      <c r="M190" s="634">
        <v>50</v>
      </c>
      <c r="N190" s="635">
        <v>2988.1199999999994</v>
      </c>
    </row>
    <row r="191" spans="1:14" ht="14.4" customHeight="1" x14ac:dyDescent="0.3">
      <c r="A191" s="630" t="s">
        <v>507</v>
      </c>
      <c r="B191" s="631" t="s">
        <v>509</v>
      </c>
      <c r="C191" s="632" t="s">
        <v>531</v>
      </c>
      <c r="D191" s="633" t="s">
        <v>532</v>
      </c>
      <c r="E191" s="632" t="s">
        <v>510</v>
      </c>
      <c r="F191" s="633" t="s">
        <v>511</v>
      </c>
      <c r="G191" s="632" t="s">
        <v>535</v>
      </c>
      <c r="H191" s="632" t="s">
        <v>1052</v>
      </c>
      <c r="I191" s="632" t="s">
        <v>1053</v>
      </c>
      <c r="J191" s="632" t="s">
        <v>1054</v>
      </c>
      <c r="K191" s="632" t="s">
        <v>568</v>
      </c>
      <c r="L191" s="634">
        <v>55.955821167256047</v>
      </c>
      <c r="M191" s="634">
        <v>5</v>
      </c>
      <c r="N191" s="635">
        <v>279.77910583628022</v>
      </c>
    </row>
    <row r="192" spans="1:14" ht="14.4" customHeight="1" x14ac:dyDescent="0.3">
      <c r="A192" s="630" t="s">
        <v>507</v>
      </c>
      <c r="B192" s="631" t="s">
        <v>509</v>
      </c>
      <c r="C192" s="632" t="s">
        <v>531</v>
      </c>
      <c r="D192" s="633" t="s">
        <v>532</v>
      </c>
      <c r="E192" s="632" t="s">
        <v>510</v>
      </c>
      <c r="F192" s="633" t="s">
        <v>511</v>
      </c>
      <c r="G192" s="632" t="s">
        <v>535</v>
      </c>
      <c r="H192" s="632" t="s">
        <v>1055</v>
      </c>
      <c r="I192" s="632" t="s">
        <v>1056</v>
      </c>
      <c r="J192" s="632" t="s">
        <v>1057</v>
      </c>
      <c r="K192" s="632" t="s">
        <v>568</v>
      </c>
      <c r="L192" s="634">
        <v>90.060280290321231</v>
      </c>
      <c r="M192" s="634">
        <v>2</v>
      </c>
      <c r="N192" s="635">
        <v>180.12056058064246</v>
      </c>
    </row>
    <row r="193" spans="1:14" ht="14.4" customHeight="1" x14ac:dyDescent="0.3">
      <c r="A193" s="630" t="s">
        <v>507</v>
      </c>
      <c r="B193" s="631" t="s">
        <v>509</v>
      </c>
      <c r="C193" s="632" t="s">
        <v>531</v>
      </c>
      <c r="D193" s="633" t="s">
        <v>532</v>
      </c>
      <c r="E193" s="632" t="s">
        <v>510</v>
      </c>
      <c r="F193" s="633" t="s">
        <v>511</v>
      </c>
      <c r="G193" s="632" t="s">
        <v>535</v>
      </c>
      <c r="H193" s="632" t="s">
        <v>1058</v>
      </c>
      <c r="I193" s="632" t="s">
        <v>1059</v>
      </c>
      <c r="J193" s="632" t="s">
        <v>1060</v>
      </c>
      <c r="K193" s="632" t="s">
        <v>1061</v>
      </c>
      <c r="L193" s="634">
        <v>27.419952495790096</v>
      </c>
      <c r="M193" s="634">
        <v>5</v>
      </c>
      <c r="N193" s="635">
        <v>137.09976247895048</v>
      </c>
    </row>
    <row r="194" spans="1:14" ht="14.4" customHeight="1" x14ac:dyDescent="0.3">
      <c r="A194" s="630" t="s">
        <v>507</v>
      </c>
      <c r="B194" s="631" t="s">
        <v>509</v>
      </c>
      <c r="C194" s="632" t="s">
        <v>531</v>
      </c>
      <c r="D194" s="633" t="s">
        <v>532</v>
      </c>
      <c r="E194" s="632" t="s">
        <v>510</v>
      </c>
      <c r="F194" s="633" t="s">
        <v>511</v>
      </c>
      <c r="G194" s="632" t="s">
        <v>535</v>
      </c>
      <c r="H194" s="632" t="s">
        <v>1062</v>
      </c>
      <c r="I194" s="632" t="s">
        <v>1063</v>
      </c>
      <c r="J194" s="632" t="s">
        <v>559</v>
      </c>
      <c r="K194" s="632" t="s">
        <v>1064</v>
      </c>
      <c r="L194" s="634">
        <v>42.08</v>
      </c>
      <c r="M194" s="634">
        <v>1</v>
      </c>
      <c r="N194" s="635">
        <v>42.08</v>
      </c>
    </row>
    <row r="195" spans="1:14" ht="14.4" customHeight="1" x14ac:dyDescent="0.3">
      <c r="A195" s="630" t="s">
        <v>507</v>
      </c>
      <c r="B195" s="631" t="s">
        <v>509</v>
      </c>
      <c r="C195" s="632" t="s">
        <v>531</v>
      </c>
      <c r="D195" s="633" t="s">
        <v>532</v>
      </c>
      <c r="E195" s="632" t="s">
        <v>510</v>
      </c>
      <c r="F195" s="633" t="s">
        <v>511</v>
      </c>
      <c r="G195" s="632" t="s">
        <v>535</v>
      </c>
      <c r="H195" s="632" t="s">
        <v>557</v>
      </c>
      <c r="I195" s="632" t="s">
        <v>558</v>
      </c>
      <c r="J195" s="632" t="s">
        <v>559</v>
      </c>
      <c r="K195" s="632" t="s">
        <v>560</v>
      </c>
      <c r="L195" s="634">
        <v>81.290984065970619</v>
      </c>
      <c r="M195" s="634">
        <v>2</v>
      </c>
      <c r="N195" s="635">
        <v>162.58196813194124</v>
      </c>
    </row>
    <row r="196" spans="1:14" ht="14.4" customHeight="1" x14ac:dyDescent="0.3">
      <c r="A196" s="630" t="s">
        <v>507</v>
      </c>
      <c r="B196" s="631" t="s">
        <v>509</v>
      </c>
      <c r="C196" s="632" t="s">
        <v>531</v>
      </c>
      <c r="D196" s="633" t="s">
        <v>532</v>
      </c>
      <c r="E196" s="632" t="s">
        <v>510</v>
      </c>
      <c r="F196" s="633" t="s">
        <v>511</v>
      </c>
      <c r="G196" s="632" t="s">
        <v>535</v>
      </c>
      <c r="H196" s="632" t="s">
        <v>565</v>
      </c>
      <c r="I196" s="632" t="s">
        <v>566</v>
      </c>
      <c r="J196" s="632" t="s">
        <v>567</v>
      </c>
      <c r="K196" s="632" t="s">
        <v>568</v>
      </c>
      <c r="L196" s="634">
        <v>67.469883110538305</v>
      </c>
      <c r="M196" s="634">
        <v>3</v>
      </c>
      <c r="N196" s="635">
        <v>202.4096493316149</v>
      </c>
    </row>
    <row r="197" spans="1:14" ht="14.4" customHeight="1" x14ac:dyDescent="0.3">
      <c r="A197" s="630" t="s">
        <v>507</v>
      </c>
      <c r="B197" s="631" t="s">
        <v>509</v>
      </c>
      <c r="C197" s="632" t="s">
        <v>531</v>
      </c>
      <c r="D197" s="633" t="s">
        <v>532</v>
      </c>
      <c r="E197" s="632" t="s">
        <v>510</v>
      </c>
      <c r="F197" s="633" t="s">
        <v>511</v>
      </c>
      <c r="G197" s="632" t="s">
        <v>535</v>
      </c>
      <c r="H197" s="632" t="s">
        <v>1065</v>
      </c>
      <c r="I197" s="632" t="s">
        <v>1066</v>
      </c>
      <c r="J197" s="632" t="s">
        <v>1067</v>
      </c>
      <c r="K197" s="632" t="s">
        <v>1068</v>
      </c>
      <c r="L197" s="634">
        <v>369.86768709452031</v>
      </c>
      <c r="M197" s="634">
        <v>43</v>
      </c>
      <c r="N197" s="635">
        <v>15904.310545064374</v>
      </c>
    </row>
    <row r="198" spans="1:14" ht="14.4" customHeight="1" x14ac:dyDescent="0.3">
      <c r="A198" s="630" t="s">
        <v>507</v>
      </c>
      <c r="B198" s="631" t="s">
        <v>509</v>
      </c>
      <c r="C198" s="632" t="s">
        <v>531</v>
      </c>
      <c r="D198" s="633" t="s">
        <v>532</v>
      </c>
      <c r="E198" s="632" t="s">
        <v>510</v>
      </c>
      <c r="F198" s="633" t="s">
        <v>511</v>
      </c>
      <c r="G198" s="632" t="s">
        <v>535</v>
      </c>
      <c r="H198" s="632" t="s">
        <v>1069</v>
      </c>
      <c r="I198" s="632" t="s">
        <v>1070</v>
      </c>
      <c r="J198" s="632" t="s">
        <v>1071</v>
      </c>
      <c r="K198" s="632" t="s">
        <v>1072</v>
      </c>
      <c r="L198" s="634">
        <v>132.53000000000003</v>
      </c>
      <c r="M198" s="634">
        <v>1</v>
      </c>
      <c r="N198" s="635">
        <v>132.53000000000003</v>
      </c>
    </row>
    <row r="199" spans="1:14" ht="14.4" customHeight="1" x14ac:dyDescent="0.3">
      <c r="A199" s="630" t="s">
        <v>507</v>
      </c>
      <c r="B199" s="631" t="s">
        <v>509</v>
      </c>
      <c r="C199" s="632" t="s">
        <v>531</v>
      </c>
      <c r="D199" s="633" t="s">
        <v>532</v>
      </c>
      <c r="E199" s="632" t="s">
        <v>510</v>
      </c>
      <c r="F199" s="633" t="s">
        <v>511</v>
      </c>
      <c r="G199" s="632" t="s">
        <v>535</v>
      </c>
      <c r="H199" s="632" t="s">
        <v>1073</v>
      </c>
      <c r="I199" s="632" t="s">
        <v>1074</v>
      </c>
      <c r="J199" s="632" t="s">
        <v>683</v>
      </c>
      <c r="K199" s="632" t="s">
        <v>1075</v>
      </c>
      <c r="L199" s="634">
        <v>194.05</v>
      </c>
      <c r="M199" s="634">
        <v>4</v>
      </c>
      <c r="N199" s="635">
        <v>776.2</v>
      </c>
    </row>
    <row r="200" spans="1:14" ht="14.4" customHeight="1" x14ac:dyDescent="0.3">
      <c r="A200" s="630" t="s">
        <v>507</v>
      </c>
      <c r="B200" s="631" t="s">
        <v>509</v>
      </c>
      <c r="C200" s="632" t="s">
        <v>531</v>
      </c>
      <c r="D200" s="633" t="s">
        <v>532</v>
      </c>
      <c r="E200" s="632" t="s">
        <v>510</v>
      </c>
      <c r="F200" s="633" t="s">
        <v>511</v>
      </c>
      <c r="G200" s="632" t="s">
        <v>535</v>
      </c>
      <c r="H200" s="632" t="s">
        <v>585</v>
      </c>
      <c r="I200" s="632" t="s">
        <v>585</v>
      </c>
      <c r="J200" s="632" t="s">
        <v>586</v>
      </c>
      <c r="K200" s="632" t="s">
        <v>587</v>
      </c>
      <c r="L200" s="634">
        <v>38.248969609277474</v>
      </c>
      <c r="M200" s="634">
        <v>22</v>
      </c>
      <c r="N200" s="635">
        <v>841.47733140410435</v>
      </c>
    </row>
    <row r="201" spans="1:14" ht="14.4" customHeight="1" x14ac:dyDescent="0.3">
      <c r="A201" s="630" t="s">
        <v>507</v>
      </c>
      <c r="B201" s="631" t="s">
        <v>509</v>
      </c>
      <c r="C201" s="632" t="s">
        <v>531</v>
      </c>
      <c r="D201" s="633" t="s">
        <v>532</v>
      </c>
      <c r="E201" s="632" t="s">
        <v>510</v>
      </c>
      <c r="F201" s="633" t="s">
        <v>511</v>
      </c>
      <c r="G201" s="632" t="s">
        <v>535</v>
      </c>
      <c r="H201" s="632" t="s">
        <v>1076</v>
      </c>
      <c r="I201" s="632" t="s">
        <v>1077</v>
      </c>
      <c r="J201" s="632" t="s">
        <v>590</v>
      </c>
      <c r="K201" s="632" t="s">
        <v>1078</v>
      </c>
      <c r="L201" s="634">
        <v>73.486490515542016</v>
      </c>
      <c r="M201" s="634">
        <v>3</v>
      </c>
      <c r="N201" s="635">
        <v>220.45947154662605</v>
      </c>
    </row>
    <row r="202" spans="1:14" ht="14.4" customHeight="1" x14ac:dyDescent="0.3">
      <c r="A202" s="630" t="s">
        <v>507</v>
      </c>
      <c r="B202" s="631" t="s">
        <v>509</v>
      </c>
      <c r="C202" s="632" t="s">
        <v>531</v>
      </c>
      <c r="D202" s="633" t="s">
        <v>532</v>
      </c>
      <c r="E202" s="632" t="s">
        <v>510</v>
      </c>
      <c r="F202" s="633" t="s">
        <v>511</v>
      </c>
      <c r="G202" s="632" t="s">
        <v>535</v>
      </c>
      <c r="H202" s="632" t="s">
        <v>588</v>
      </c>
      <c r="I202" s="632" t="s">
        <v>589</v>
      </c>
      <c r="J202" s="632" t="s">
        <v>590</v>
      </c>
      <c r="K202" s="632" t="s">
        <v>591</v>
      </c>
      <c r="L202" s="634">
        <v>235.86000000000007</v>
      </c>
      <c r="M202" s="634">
        <v>2</v>
      </c>
      <c r="N202" s="635">
        <v>471.72000000000014</v>
      </c>
    </row>
    <row r="203" spans="1:14" ht="14.4" customHeight="1" x14ac:dyDescent="0.3">
      <c r="A203" s="630" t="s">
        <v>507</v>
      </c>
      <c r="B203" s="631" t="s">
        <v>509</v>
      </c>
      <c r="C203" s="632" t="s">
        <v>531</v>
      </c>
      <c r="D203" s="633" t="s">
        <v>532</v>
      </c>
      <c r="E203" s="632" t="s">
        <v>510</v>
      </c>
      <c r="F203" s="633" t="s">
        <v>511</v>
      </c>
      <c r="G203" s="632" t="s">
        <v>535</v>
      </c>
      <c r="H203" s="632" t="s">
        <v>1079</v>
      </c>
      <c r="I203" s="632" t="s">
        <v>1080</v>
      </c>
      <c r="J203" s="632" t="s">
        <v>1081</v>
      </c>
      <c r="K203" s="632" t="s">
        <v>908</v>
      </c>
      <c r="L203" s="634">
        <v>184.74</v>
      </c>
      <c r="M203" s="634">
        <v>1</v>
      </c>
      <c r="N203" s="635">
        <v>184.74</v>
      </c>
    </row>
    <row r="204" spans="1:14" ht="14.4" customHeight="1" x14ac:dyDescent="0.3">
      <c r="A204" s="630" t="s">
        <v>507</v>
      </c>
      <c r="B204" s="631" t="s">
        <v>509</v>
      </c>
      <c r="C204" s="632" t="s">
        <v>531</v>
      </c>
      <c r="D204" s="633" t="s">
        <v>532</v>
      </c>
      <c r="E204" s="632" t="s">
        <v>510</v>
      </c>
      <c r="F204" s="633" t="s">
        <v>511</v>
      </c>
      <c r="G204" s="632" t="s">
        <v>535</v>
      </c>
      <c r="H204" s="632" t="s">
        <v>596</v>
      </c>
      <c r="I204" s="632" t="s">
        <v>597</v>
      </c>
      <c r="J204" s="632" t="s">
        <v>598</v>
      </c>
      <c r="K204" s="632" t="s">
        <v>599</v>
      </c>
      <c r="L204" s="634">
        <v>339.70375000000001</v>
      </c>
      <c r="M204" s="634">
        <v>8</v>
      </c>
      <c r="N204" s="635">
        <v>2717.63</v>
      </c>
    </row>
    <row r="205" spans="1:14" ht="14.4" customHeight="1" x14ac:dyDescent="0.3">
      <c r="A205" s="630" t="s">
        <v>507</v>
      </c>
      <c r="B205" s="631" t="s">
        <v>509</v>
      </c>
      <c r="C205" s="632" t="s">
        <v>531</v>
      </c>
      <c r="D205" s="633" t="s">
        <v>532</v>
      </c>
      <c r="E205" s="632" t="s">
        <v>510</v>
      </c>
      <c r="F205" s="633" t="s">
        <v>511</v>
      </c>
      <c r="G205" s="632" t="s">
        <v>535</v>
      </c>
      <c r="H205" s="632" t="s">
        <v>1082</v>
      </c>
      <c r="I205" s="632" t="s">
        <v>1083</v>
      </c>
      <c r="J205" s="632" t="s">
        <v>1084</v>
      </c>
      <c r="K205" s="632" t="s">
        <v>1085</v>
      </c>
      <c r="L205" s="634">
        <v>76.92</v>
      </c>
      <c r="M205" s="634">
        <v>1</v>
      </c>
      <c r="N205" s="635">
        <v>76.92</v>
      </c>
    </row>
    <row r="206" spans="1:14" ht="14.4" customHeight="1" x14ac:dyDescent="0.3">
      <c r="A206" s="630" t="s">
        <v>507</v>
      </c>
      <c r="B206" s="631" t="s">
        <v>509</v>
      </c>
      <c r="C206" s="632" t="s">
        <v>531</v>
      </c>
      <c r="D206" s="633" t="s">
        <v>532</v>
      </c>
      <c r="E206" s="632" t="s">
        <v>510</v>
      </c>
      <c r="F206" s="633" t="s">
        <v>511</v>
      </c>
      <c r="G206" s="632" t="s">
        <v>535</v>
      </c>
      <c r="H206" s="632" t="s">
        <v>604</v>
      </c>
      <c r="I206" s="632" t="s">
        <v>605</v>
      </c>
      <c r="J206" s="632" t="s">
        <v>571</v>
      </c>
      <c r="K206" s="632" t="s">
        <v>606</v>
      </c>
      <c r="L206" s="634">
        <v>22.48</v>
      </c>
      <c r="M206" s="634">
        <v>12</v>
      </c>
      <c r="N206" s="635">
        <v>269.76</v>
      </c>
    </row>
    <row r="207" spans="1:14" ht="14.4" customHeight="1" x14ac:dyDescent="0.3">
      <c r="A207" s="630" t="s">
        <v>507</v>
      </c>
      <c r="B207" s="631" t="s">
        <v>509</v>
      </c>
      <c r="C207" s="632" t="s">
        <v>531</v>
      </c>
      <c r="D207" s="633" t="s">
        <v>532</v>
      </c>
      <c r="E207" s="632" t="s">
        <v>510</v>
      </c>
      <c r="F207" s="633" t="s">
        <v>511</v>
      </c>
      <c r="G207" s="632" t="s">
        <v>535</v>
      </c>
      <c r="H207" s="632" t="s">
        <v>849</v>
      </c>
      <c r="I207" s="632" t="s">
        <v>850</v>
      </c>
      <c r="J207" s="632" t="s">
        <v>851</v>
      </c>
      <c r="K207" s="632"/>
      <c r="L207" s="634">
        <v>198.99999999999994</v>
      </c>
      <c r="M207" s="634">
        <v>2</v>
      </c>
      <c r="N207" s="635">
        <v>397.99999999999989</v>
      </c>
    </row>
    <row r="208" spans="1:14" ht="14.4" customHeight="1" x14ac:dyDescent="0.3">
      <c r="A208" s="630" t="s">
        <v>507</v>
      </c>
      <c r="B208" s="631" t="s">
        <v>509</v>
      </c>
      <c r="C208" s="632" t="s">
        <v>531</v>
      </c>
      <c r="D208" s="633" t="s">
        <v>532</v>
      </c>
      <c r="E208" s="632" t="s">
        <v>510</v>
      </c>
      <c r="F208" s="633" t="s">
        <v>511</v>
      </c>
      <c r="G208" s="632" t="s">
        <v>535</v>
      </c>
      <c r="H208" s="632" t="s">
        <v>1086</v>
      </c>
      <c r="I208" s="632" t="s">
        <v>1087</v>
      </c>
      <c r="J208" s="632" t="s">
        <v>1088</v>
      </c>
      <c r="K208" s="632" t="s">
        <v>1089</v>
      </c>
      <c r="L208" s="634">
        <v>69.56</v>
      </c>
      <c r="M208" s="634">
        <v>1</v>
      </c>
      <c r="N208" s="635">
        <v>69.56</v>
      </c>
    </row>
    <row r="209" spans="1:14" ht="14.4" customHeight="1" x14ac:dyDescent="0.3">
      <c r="A209" s="630" t="s">
        <v>507</v>
      </c>
      <c r="B209" s="631" t="s">
        <v>509</v>
      </c>
      <c r="C209" s="632" t="s">
        <v>531</v>
      </c>
      <c r="D209" s="633" t="s">
        <v>532</v>
      </c>
      <c r="E209" s="632" t="s">
        <v>510</v>
      </c>
      <c r="F209" s="633" t="s">
        <v>511</v>
      </c>
      <c r="G209" s="632" t="s">
        <v>535</v>
      </c>
      <c r="H209" s="632" t="s">
        <v>1090</v>
      </c>
      <c r="I209" s="632" t="s">
        <v>1091</v>
      </c>
      <c r="J209" s="632" t="s">
        <v>1092</v>
      </c>
      <c r="K209" s="632" t="s">
        <v>1093</v>
      </c>
      <c r="L209" s="634">
        <v>167.82493080113062</v>
      </c>
      <c r="M209" s="634">
        <v>19</v>
      </c>
      <c r="N209" s="635">
        <v>3188.6736852214817</v>
      </c>
    </row>
    <row r="210" spans="1:14" ht="14.4" customHeight="1" x14ac:dyDescent="0.3">
      <c r="A210" s="630" t="s">
        <v>507</v>
      </c>
      <c r="B210" s="631" t="s">
        <v>509</v>
      </c>
      <c r="C210" s="632" t="s">
        <v>531</v>
      </c>
      <c r="D210" s="633" t="s">
        <v>532</v>
      </c>
      <c r="E210" s="632" t="s">
        <v>510</v>
      </c>
      <c r="F210" s="633" t="s">
        <v>511</v>
      </c>
      <c r="G210" s="632" t="s">
        <v>535</v>
      </c>
      <c r="H210" s="632" t="s">
        <v>1094</v>
      </c>
      <c r="I210" s="632" t="s">
        <v>1095</v>
      </c>
      <c r="J210" s="632" t="s">
        <v>1096</v>
      </c>
      <c r="K210" s="632" t="s">
        <v>1097</v>
      </c>
      <c r="L210" s="634">
        <v>376.75000000000006</v>
      </c>
      <c r="M210" s="634">
        <v>2</v>
      </c>
      <c r="N210" s="635">
        <v>753.50000000000011</v>
      </c>
    </row>
    <row r="211" spans="1:14" ht="14.4" customHeight="1" x14ac:dyDescent="0.3">
      <c r="A211" s="630" t="s">
        <v>507</v>
      </c>
      <c r="B211" s="631" t="s">
        <v>509</v>
      </c>
      <c r="C211" s="632" t="s">
        <v>531</v>
      </c>
      <c r="D211" s="633" t="s">
        <v>532</v>
      </c>
      <c r="E211" s="632" t="s">
        <v>510</v>
      </c>
      <c r="F211" s="633" t="s">
        <v>511</v>
      </c>
      <c r="G211" s="632" t="s">
        <v>535</v>
      </c>
      <c r="H211" s="632" t="s">
        <v>619</v>
      </c>
      <c r="I211" s="632" t="s">
        <v>620</v>
      </c>
      <c r="J211" s="632" t="s">
        <v>621</v>
      </c>
      <c r="K211" s="632" t="s">
        <v>622</v>
      </c>
      <c r="L211" s="634">
        <v>63.640000000000008</v>
      </c>
      <c r="M211" s="634">
        <v>6</v>
      </c>
      <c r="N211" s="635">
        <v>381.84000000000003</v>
      </c>
    </row>
    <row r="212" spans="1:14" ht="14.4" customHeight="1" x14ac:dyDescent="0.3">
      <c r="A212" s="630" t="s">
        <v>507</v>
      </c>
      <c r="B212" s="631" t="s">
        <v>509</v>
      </c>
      <c r="C212" s="632" t="s">
        <v>531</v>
      </c>
      <c r="D212" s="633" t="s">
        <v>532</v>
      </c>
      <c r="E212" s="632" t="s">
        <v>510</v>
      </c>
      <c r="F212" s="633" t="s">
        <v>511</v>
      </c>
      <c r="G212" s="632" t="s">
        <v>535</v>
      </c>
      <c r="H212" s="632" t="s">
        <v>1098</v>
      </c>
      <c r="I212" s="632" t="s">
        <v>1099</v>
      </c>
      <c r="J212" s="632" t="s">
        <v>866</v>
      </c>
      <c r="K212" s="632" t="s">
        <v>1100</v>
      </c>
      <c r="L212" s="634">
        <v>121.06</v>
      </c>
      <c r="M212" s="634">
        <v>2</v>
      </c>
      <c r="N212" s="635">
        <v>242.12</v>
      </c>
    </row>
    <row r="213" spans="1:14" ht="14.4" customHeight="1" x14ac:dyDescent="0.3">
      <c r="A213" s="630" t="s">
        <v>507</v>
      </c>
      <c r="B213" s="631" t="s">
        <v>509</v>
      </c>
      <c r="C213" s="632" t="s">
        <v>531</v>
      </c>
      <c r="D213" s="633" t="s">
        <v>532</v>
      </c>
      <c r="E213" s="632" t="s">
        <v>510</v>
      </c>
      <c r="F213" s="633" t="s">
        <v>511</v>
      </c>
      <c r="G213" s="632" t="s">
        <v>535</v>
      </c>
      <c r="H213" s="632" t="s">
        <v>868</v>
      </c>
      <c r="I213" s="632" t="s">
        <v>869</v>
      </c>
      <c r="J213" s="632" t="s">
        <v>870</v>
      </c>
      <c r="K213" s="632" t="s">
        <v>871</v>
      </c>
      <c r="L213" s="634">
        <v>76.680181174016155</v>
      </c>
      <c r="M213" s="634">
        <v>1</v>
      </c>
      <c r="N213" s="635">
        <v>76.680181174016155</v>
      </c>
    </row>
    <row r="214" spans="1:14" ht="14.4" customHeight="1" x14ac:dyDescent="0.3">
      <c r="A214" s="630" t="s">
        <v>507</v>
      </c>
      <c r="B214" s="631" t="s">
        <v>509</v>
      </c>
      <c r="C214" s="632" t="s">
        <v>531</v>
      </c>
      <c r="D214" s="633" t="s">
        <v>532</v>
      </c>
      <c r="E214" s="632" t="s">
        <v>510</v>
      </c>
      <c r="F214" s="633" t="s">
        <v>511</v>
      </c>
      <c r="G214" s="632" t="s">
        <v>535</v>
      </c>
      <c r="H214" s="632" t="s">
        <v>623</v>
      </c>
      <c r="I214" s="632" t="s">
        <v>624</v>
      </c>
      <c r="J214" s="632" t="s">
        <v>625</v>
      </c>
      <c r="K214" s="632" t="s">
        <v>626</v>
      </c>
      <c r="L214" s="634">
        <v>45.779897420854773</v>
      </c>
      <c r="M214" s="634">
        <v>10</v>
      </c>
      <c r="N214" s="635">
        <v>457.79897420854775</v>
      </c>
    </row>
    <row r="215" spans="1:14" ht="14.4" customHeight="1" x14ac:dyDescent="0.3">
      <c r="A215" s="630" t="s">
        <v>507</v>
      </c>
      <c r="B215" s="631" t="s">
        <v>509</v>
      </c>
      <c r="C215" s="632" t="s">
        <v>531</v>
      </c>
      <c r="D215" s="633" t="s">
        <v>532</v>
      </c>
      <c r="E215" s="632" t="s">
        <v>510</v>
      </c>
      <c r="F215" s="633" t="s">
        <v>511</v>
      </c>
      <c r="G215" s="632" t="s">
        <v>535</v>
      </c>
      <c r="H215" s="632" t="s">
        <v>1101</v>
      </c>
      <c r="I215" s="632" t="s">
        <v>1102</v>
      </c>
      <c r="J215" s="632" t="s">
        <v>629</v>
      </c>
      <c r="K215" s="632" t="s">
        <v>1103</v>
      </c>
      <c r="L215" s="634">
        <v>292.5632810748786</v>
      </c>
      <c r="M215" s="634">
        <v>12</v>
      </c>
      <c r="N215" s="635">
        <v>3510.7593728985435</v>
      </c>
    </row>
    <row r="216" spans="1:14" ht="14.4" customHeight="1" x14ac:dyDescent="0.3">
      <c r="A216" s="630" t="s">
        <v>507</v>
      </c>
      <c r="B216" s="631" t="s">
        <v>509</v>
      </c>
      <c r="C216" s="632" t="s">
        <v>531</v>
      </c>
      <c r="D216" s="633" t="s">
        <v>532</v>
      </c>
      <c r="E216" s="632" t="s">
        <v>510</v>
      </c>
      <c r="F216" s="633" t="s">
        <v>511</v>
      </c>
      <c r="G216" s="632" t="s">
        <v>535</v>
      </c>
      <c r="H216" s="632" t="s">
        <v>1104</v>
      </c>
      <c r="I216" s="632" t="s">
        <v>1105</v>
      </c>
      <c r="J216" s="632" t="s">
        <v>1106</v>
      </c>
      <c r="K216" s="632" t="s">
        <v>1107</v>
      </c>
      <c r="L216" s="634">
        <v>392.89015451270262</v>
      </c>
      <c r="M216" s="634">
        <v>6</v>
      </c>
      <c r="N216" s="635">
        <v>2357.3409270762158</v>
      </c>
    </row>
    <row r="217" spans="1:14" ht="14.4" customHeight="1" x14ac:dyDescent="0.3">
      <c r="A217" s="630" t="s">
        <v>507</v>
      </c>
      <c r="B217" s="631" t="s">
        <v>509</v>
      </c>
      <c r="C217" s="632" t="s">
        <v>531</v>
      </c>
      <c r="D217" s="633" t="s">
        <v>532</v>
      </c>
      <c r="E217" s="632" t="s">
        <v>510</v>
      </c>
      <c r="F217" s="633" t="s">
        <v>511</v>
      </c>
      <c r="G217" s="632" t="s">
        <v>535</v>
      </c>
      <c r="H217" s="632" t="s">
        <v>876</v>
      </c>
      <c r="I217" s="632" t="s">
        <v>877</v>
      </c>
      <c r="J217" s="632" t="s">
        <v>878</v>
      </c>
      <c r="K217" s="632" t="s">
        <v>879</v>
      </c>
      <c r="L217" s="634">
        <v>91.57</v>
      </c>
      <c r="M217" s="634">
        <v>1</v>
      </c>
      <c r="N217" s="635">
        <v>91.57</v>
      </c>
    </row>
    <row r="218" spans="1:14" ht="14.4" customHeight="1" x14ac:dyDescent="0.3">
      <c r="A218" s="630" t="s">
        <v>507</v>
      </c>
      <c r="B218" s="631" t="s">
        <v>509</v>
      </c>
      <c r="C218" s="632" t="s">
        <v>531</v>
      </c>
      <c r="D218" s="633" t="s">
        <v>532</v>
      </c>
      <c r="E218" s="632" t="s">
        <v>510</v>
      </c>
      <c r="F218" s="633" t="s">
        <v>511</v>
      </c>
      <c r="G218" s="632" t="s">
        <v>535</v>
      </c>
      <c r="H218" s="632" t="s">
        <v>1108</v>
      </c>
      <c r="I218" s="632" t="s">
        <v>1109</v>
      </c>
      <c r="J218" s="632" t="s">
        <v>1110</v>
      </c>
      <c r="K218" s="632" t="s">
        <v>1111</v>
      </c>
      <c r="L218" s="634">
        <v>215.95842585048999</v>
      </c>
      <c r="M218" s="634">
        <v>3</v>
      </c>
      <c r="N218" s="635">
        <v>647.87527755146994</v>
      </c>
    </row>
    <row r="219" spans="1:14" ht="14.4" customHeight="1" x14ac:dyDescent="0.3">
      <c r="A219" s="630" t="s">
        <v>507</v>
      </c>
      <c r="B219" s="631" t="s">
        <v>509</v>
      </c>
      <c r="C219" s="632" t="s">
        <v>531</v>
      </c>
      <c r="D219" s="633" t="s">
        <v>532</v>
      </c>
      <c r="E219" s="632" t="s">
        <v>510</v>
      </c>
      <c r="F219" s="633" t="s">
        <v>511</v>
      </c>
      <c r="G219" s="632" t="s">
        <v>535</v>
      </c>
      <c r="H219" s="632" t="s">
        <v>888</v>
      </c>
      <c r="I219" s="632" t="s">
        <v>246</v>
      </c>
      <c r="J219" s="632" t="s">
        <v>889</v>
      </c>
      <c r="K219" s="632"/>
      <c r="L219" s="634">
        <v>639.01</v>
      </c>
      <c r="M219" s="634">
        <v>2</v>
      </c>
      <c r="N219" s="635">
        <v>1278.02</v>
      </c>
    </row>
    <row r="220" spans="1:14" ht="14.4" customHeight="1" x14ac:dyDescent="0.3">
      <c r="A220" s="630" t="s">
        <v>507</v>
      </c>
      <c r="B220" s="631" t="s">
        <v>509</v>
      </c>
      <c r="C220" s="632" t="s">
        <v>531</v>
      </c>
      <c r="D220" s="633" t="s">
        <v>532</v>
      </c>
      <c r="E220" s="632" t="s">
        <v>510</v>
      </c>
      <c r="F220" s="633" t="s">
        <v>511</v>
      </c>
      <c r="G220" s="632" t="s">
        <v>535</v>
      </c>
      <c r="H220" s="632" t="s">
        <v>1112</v>
      </c>
      <c r="I220" s="632" t="s">
        <v>1113</v>
      </c>
      <c r="J220" s="632" t="s">
        <v>1114</v>
      </c>
      <c r="K220" s="632" t="s">
        <v>1115</v>
      </c>
      <c r="L220" s="634">
        <v>148.22337494459657</v>
      </c>
      <c r="M220" s="634">
        <v>9</v>
      </c>
      <c r="N220" s="635">
        <v>1334.0103745013691</v>
      </c>
    </row>
    <row r="221" spans="1:14" ht="14.4" customHeight="1" x14ac:dyDescent="0.3">
      <c r="A221" s="630" t="s">
        <v>507</v>
      </c>
      <c r="B221" s="631" t="s">
        <v>509</v>
      </c>
      <c r="C221" s="632" t="s">
        <v>531</v>
      </c>
      <c r="D221" s="633" t="s">
        <v>532</v>
      </c>
      <c r="E221" s="632" t="s">
        <v>510</v>
      </c>
      <c r="F221" s="633" t="s">
        <v>511</v>
      </c>
      <c r="G221" s="632" t="s">
        <v>535</v>
      </c>
      <c r="H221" s="632" t="s">
        <v>1116</v>
      </c>
      <c r="I221" s="632" t="s">
        <v>246</v>
      </c>
      <c r="J221" s="632" t="s">
        <v>1117</v>
      </c>
      <c r="K221" s="632"/>
      <c r="L221" s="634">
        <v>47.160376807644788</v>
      </c>
      <c r="M221" s="634">
        <v>3</v>
      </c>
      <c r="N221" s="635">
        <v>141.48113042293437</v>
      </c>
    </row>
    <row r="222" spans="1:14" ht="14.4" customHeight="1" x14ac:dyDescent="0.3">
      <c r="A222" s="630" t="s">
        <v>507</v>
      </c>
      <c r="B222" s="631" t="s">
        <v>509</v>
      </c>
      <c r="C222" s="632" t="s">
        <v>531</v>
      </c>
      <c r="D222" s="633" t="s">
        <v>532</v>
      </c>
      <c r="E222" s="632" t="s">
        <v>510</v>
      </c>
      <c r="F222" s="633" t="s">
        <v>511</v>
      </c>
      <c r="G222" s="632" t="s">
        <v>535</v>
      </c>
      <c r="H222" s="632" t="s">
        <v>892</v>
      </c>
      <c r="I222" s="632" t="s">
        <v>246</v>
      </c>
      <c r="J222" s="632" t="s">
        <v>893</v>
      </c>
      <c r="K222" s="632"/>
      <c r="L222" s="634">
        <v>42.550023541764091</v>
      </c>
      <c r="M222" s="634">
        <v>9</v>
      </c>
      <c r="N222" s="635">
        <v>382.95021187587685</v>
      </c>
    </row>
    <row r="223" spans="1:14" ht="14.4" customHeight="1" x14ac:dyDescent="0.3">
      <c r="A223" s="630" t="s">
        <v>507</v>
      </c>
      <c r="B223" s="631" t="s">
        <v>509</v>
      </c>
      <c r="C223" s="632" t="s">
        <v>531</v>
      </c>
      <c r="D223" s="633" t="s">
        <v>532</v>
      </c>
      <c r="E223" s="632" t="s">
        <v>510</v>
      </c>
      <c r="F223" s="633" t="s">
        <v>511</v>
      </c>
      <c r="G223" s="632" t="s">
        <v>535</v>
      </c>
      <c r="H223" s="632" t="s">
        <v>1118</v>
      </c>
      <c r="I223" s="632" t="s">
        <v>246</v>
      </c>
      <c r="J223" s="632" t="s">
        <v>1119</v>
      </c>
      <c r="K223" s="632"/>
      <c r="L223" s="634">
        <v>143.19</v>
      </c>
      <c r="M223" s="634">
        <v>1</v>
      </c>
      <c r="N223" s="635">
        <v>143.19</v>
      </c>
    </row>
    <row r="224" spans="1:14" ht="14.4" customHeight="1" x14ac:dyDescent="0.3">
      <c r="A224" s="630" t="s">
        <v>507</v>
      </c>
      <c r="B224" s="631" t="s">
        <v>509</v>
      </c>
      <c r="C224" s="632" t="s">
        <v>531</v>
      </c>
      <c r="D224" s="633" t="s">
        <v>532</v>
      </c>
      <c r="E224" s="632" t="s">
        <v>510</v>
      </c>
      <c r="F224" s="633" t="s">
        <v>511</v>
      </c>
      <c r="G224" s="632" t="s">
        <v>535</v>
      </c>
      <c r="H224" s="632" t="s">
        <v>635</v>
      </c>
      <c r="I224" s="632" t="s">
        <v>246</v>
      </c>
      <c r="J224" s="632" t="s">
        <v>636</v>
      </c>
      <c r="K224" s="632"/>
      <c r="L224" s="634">
        <v>100.68</v>
      </c>
      <c r="M224" s="634">
        <v>11</v>
      </c>
      <c r="N224" s="635">
        <v>1107.48</v>
      </c>
    </row>
    <row r="225" spans="1:14" ht="14.4" customHeight="1" x14ac:dyDescent="0.3">
      <c r="A225" s="630" t="s">
        <v>507</v>
      </c>
      <c r="B225" s="631" t="s">
        <v>509</v>
      </c>
      <c r="C225" s="632" t="s">
        <v>531</v>
      </c>
      <c r="D225" s="633" t="s">
        <v>532</v>
      </c>
      <c r="E225" s="632" t="s">
        <v>510</v>
      </c>
      <c r="F225" s="633" t="s">
        <v>511</v>
      </c>
      <c r="G225" s="632" t="s">
        <v>535</v>
      </c>
      <c r="H225" s="632" t="s">
        <v>1120</v>
      </c>
      <c r="I225" s="632" t="s">
        <v>1121</v>
      </c>
      <c r="J225" s="632" t="s">
        <v>1122</v>
      </c>
      <c r="K225" s="632" t="s">
        <v>1123</v>
      </c>
      <c r="L225" s="634">
        <v>59.460719800253571</v>
      </c>
      <c r="M225" s="634">
        <v>1</v>
      </c>
      <c r="N225" s="635">
        <v>59.460719800253571</v>
      </c>
    </row>
    <row r="226" spans="1:14" ht="14.4" customHeight="1" x14ac:dyDescent="0.3">
      <c r="A226" s="630" t="s">
        <v>507</v>
      </c>
      <c r="B226" s="631" t="s">
        <v>509</v>
      </c>
      <c r="C226" s="632" t="s">
        <v>531</v>
      </c>
      <c r="D226" s="633" t="s">
        <v>532</v>
      </c>
      <c r="E226" s="632" t="s">
        <v>510</v>
      </c>
      <c r="F226" s="633" t="s">
        <v>511</v>
      </c>
      <c r="G226" s="632" t="s">
        <v>535</v>
      </c>
      <c r="H226" s="632" t="s">
        <v>641</v>
      </c>
      <c r="I226" s="632" t="s">
        <v>642</v>
      </c>
      <c r="J226" s="632" t="s">
        <v>643</v>
      </c>
      <c r="K226" s="632" t="s">
        <v>644</v>
      </c>
      <c r="L226" s="634">
        <v>63.780153535971849</v>
      </c>
      <c r="M226" s="634">
        <v>2</v>
      </c>
      <c r="N226" s="635">
        <v>127.5603070719437</v>
      </c>
    </row>
    <row r="227" spans="1:14" ht="14.4" customHeight="1" x14ac:dyDescent="0.3">
      <c r="A227" s="630" t="s">
        <v>507</v>
      </c>
      <c r="B227" s="631" t="s">
        <v>509</v>
      </c>
      <c r="C227" s="632" t="s">
        <v>531</v>
      </c>
      <c r="D227" s="633" t="s">
        <v>532</v>
      </c>
      <c r="E227" s="632" t="s">
        <v>510</v>
      </c>
      <c r="F227" s="633" t="s">
        <v>511</v>
      </c>
      <c r="G227" s="632" t="s">
        <v>535</v>
      </c>
      <c r="H227" s="632" t="s">
        <v>653</v>
      </c>
      <c r="I227" s="632" t="s">
        <v>654</v>
      </c>
      <c r="J227" s="632" t="s">
        <v>655</v>
      </c>
      <c r="K227" s="632" t="s">
        <v>656</v>
      </c>
      <c r="L227" s="634">
        <v>59.21</v>
      </c>
      <c r="M227" s="634">
        <v>3</v>
      </c>
      <c r="N227" s="635">
        <v>177.63</v>
      </c>
    </row>
    <row r="228" spans="1:14" ht="14.4" customHeight="1" x14ac:dyDescent="0.3">
      <c r="A228" s="630" t="s">
        <v>507</v>
      </c>
      <c r="B228" s="631" t="s">
        <v>509</v>
      </c>
      <c r="C228" s="632" t="s">
        <v>531</v>
      </c>
      <c r="D228" s="633" t="s">
        <v>532</v>
      </c>
      <c r="E228" s="632" t="s">
        <v>510</v>
      </c>
      <c r="F228" s="633" t="s">
        <v>511</v>
      </c>
      <c r="G228" s="632" t="s">
        <v>535</v>
      </c>
      <c r="H228" s="632" t="s">
        <v>1124</v>
      </c>
      <c r="I228" s="632" t="s">
        <v>1125</v>
      </c>
      <c r="J228" s="632" t="s">
        <v>1084</v>
      </c>
      <c r="K228" s="632" t="s">
        <v>1126</v>
      </c>
      <c r="L228" s="634">
        <v>61.379979410778887</v>
      </c>
      <c r="M228" s="634">
        <v>5</v>
      </c>
      <c r="N228" s="635">
        <v>306.89989705389445</v>
      </c>
    </row>
    <row r="229" spans="1:14" ht="14.4" customHeight="1" x14ac:dyDescent="0.3">
      <c r="A229" s="630" t="s">
        <v>507</v>
      </c>
      <c r="B229" s="631" t="s">
        <v>509</v>
      </c>
      <c r="C229" s="632" t="s">
        <v>531</v>
      </c>
      <c r="D229" s="633" t="s">
        <v>532</v>
      </c>
      <c r="E229" s="632" t="s">
        <v>510</v>
      </c>
      <c r="F229" s="633" t="s">
        <v>511</v>
      </c>
      <c r="G229" s="632" t="s">
        <v>535</v>
      </c>
      <c r="H229" s="632" t="s">
        <v>1127</v>
      </c>
      <c r="I229" s="632" t="s">
        <v>246</v>
      </c>
      <c r="J229" s="632" t="s">
        <v>1128</v>
      </c>
      <c r="K229" s="632"/>
      <c r="L229" s="634">
        <v>57.421989757662701</v>
      </c>
      <c r="M229" s="634">
        <v>10</v>
      </c>
      <c r="N229" s="635">
        <v>574.21989757662698</v>
      </c>
    </row>
    <row r="230" spans="1:14" ht="14.4" customHeight="1" x14ac:dyDescent="0.3">
      <c r="A230" s="630" t="s">
        <v>507</v>
      </c>
      <c r="B230" s="631" t="s">
        <v>509</v>
      </c>
      <c r="C230" s="632" t="s">
        <v>531</v>
      </c>
      <c r="D230" s="633" t="s">
        <v>532</v>
      </c>
      <c r="E230" s="632" t="s">
        <v>510</v>
      </c>
      <c r="F230" s="633" t="s">
        <v>511</v>
      </c>
      <c r="G230" s="632" t="s">
        <v>535</v>
      </c>
      <c r="H230" s="632" t="s">
        <v>657</v>
      </c>
      <c r="I230" s="632" t="s">
        <v>658</v>
      </c>
      <c r="J230" s="632" t="s">
        <v>659</v>
      </c>
      <c r="K230" s="632" t="s">
        <v>660</v>
      </c>
      <c r="L230" s="634">
        <v>19.139900018838706</v>
      </c>
      <c r="M230" s="634">
        <v>4</v>
      </c>
      <c r="N230" s="635">
        <v>76.559600075354822</v>
      </c>
    </row>
    <row r="231" spans="1:14" ht="14.4" customHeight="1" x14ac:dyDescent="0.3">
      <c r="A231" s="630" t="s">
        <v>507</v>
      </c>
      <c r="B231" s="631" t="s">
        <v>509</v>
      </c>
      <c r="C231" s="632" t="s">
        <v>531</v>
      </c>
      <c r="D231" s="633" t="s">
        <v>532</v>
      </c>
      <c r="E231" s="632" t="s">
        <v>510</v>
      </c>
      <c r="F231" s="633" t="s">
        <v>511</v>
      </c>
      <c r="G231" s="632" t="s">
        <v>535</v>
      </c>
      <c r="H231" s="632" t="s">
        <v>898</v>
      </c>
      <c r="I231" s="632" t="s">
        <v>899</v>
      </c>
      <c r="J231" s="632" t="s">
        <v>659</v>
      </c>
      <c r="K231" s="632" t="s">
        <v>900</v>
      </c>
      <c r="L231" s="634">
        <v>28.189983756680391</v>
      </c>
      <c r="M231" s="634">
        <v>6</v>
      </c>
      <c r="N231" s="635">
        <v>169.13990254008235</v>
      </c>
    </row>
    <row r="232" spans="1:14" ht="14.4" customHeight="1" x14ac:dyDescent="0.3">
      <c r="A232" s="630" t="s">
        <v>507</v>
      </c>
      <c r="B232" s="631" t="s">
        <v>509</v>
      </c>
      <c r="C232" s="632" t="s">
        <v>531</v>
      </c>
      <c r="D232" s="633" t="s">
        <v>532</v>
      </c>
      <c r="E232" s="632" t="s">
        <v>510</v>
      </c>
      <c r="F232" s="633" t="s">
        <v>511</v>
      </c>
      <c r="G232" s="632" t="s">
        <v>535</v>
      </c>
      <c r="H232" s="632" t="s">
        <v>1129</v>
      </c>
      <c r="I232" s="632" t="s">
        <v>1130</v>
      </c>
      <c r="J232" s="632" t="s">
        <v>1131</v>
      </c>
      <c r="K232" s="632" t="s">
        <v>1132</v>
      </c>
      <c r="L232" s="634">
        <v>101.06999999999998</v>
      </c>
      <c r="M232" s="634">
        <v>1</v>
      </c>
      <c r="N232" s="635">
        <v>101.06999999999998</v>
      </c>
    </row>
    <row r="233" spans="1:14" ht="14.4" customHeight="1" x14ac:dyDescent="0.3">
      <c r="A233" s="630" t="s">
        <v>507</v>
      </c>
      <c r="B233" s="631" t="s">
        <v>509</v>
      </c>
      <c r="C233" s="632" t="s">
        <v>531</v>
      </c>
      <c r="D233" s="633" t="s">
        <v>532</v>
      </c>
      <c r="E233" s="632" t="s">
        <v>510</v>
      </c>
      <c r="F233" s="633" t="s">
        <v>511</v>
      </c>
      <c r="G233" s="632" t="s">
        <v>535</v>
      </c>
      <c r="H233" s="632" t="s">
        <v>661</v>
      </c>
      <c r="I233" s="632" t="s">
        <v>662</v>
      </c>
      <c r="J233" s="632" t="s">
        <v>663</v>
      </c>
      <c r="K233" s="632" t="s">
        <v>664</v>
      </c>
      <c r="L233" s="634">
        <v>218.178</v>
      </c>
      <c r="M233" s="634">
        <v>4</v>
      </c>
      <c r="N233" s="635">
        <v>872.71199999999999</v>
      </c>
    </row>
    <row r="234" spans="1:14" ht="14.4" customHeight="1" x14ac:dyDescent="0.3">
      <c r="A234" s="630" t="s">
        <v>507</v>
      </c>
      <c r="B234" s="631" t="s">
        <v>509</v>
      </c>
      <c r="C234" s="632" t="s">
        <v>531</v>
      </c>
      <c r="D234" s="633" t="s">
        <v>532</v>
      </c>
      <c r="E234" s="632" t="s">
        <v>510</v>
      </c>
      <c r="F234" s="633" t="s">
        <v>511</v>
      </c>
      <c r="G234" s="632" t="s">
        <v>535</v>
      </c>
      <c r="H234" s="632" t="s">
        <v>1133</v>
      </c>
      <c r="I234" s="632" t="s">
        <v>246</v>
      </c>
      <c r="J234" s="632" t="s">
        <v>1134</v>
      </c>
      <c r="K234" s="632"/>
      <c r="L234" s="634">
        <v>202.261982384552</v>
      </c>
      <c r="M234" s="634">
        <v>1</v>
      </c>
      <c r="N234" s="635">
        <v>202.261982384552</v>
      </c>
    </row>
    <row r="235" spans="1:14" ht="14.4" customHeight="1" x14ac:dyDescent="0.3">
      <c r="A235" s="630" t="s">
        <v>507</v>
      </c>
      <c r="B235" s="631" t="s">
        <v>509</v>
      </c>
      <c r="C235" s="632" t="s">
        <v>531</v>
      </c>
      <c r="D235" s="633" t="s">
        <v>532</v>
      </c>
      <c r="E235" s="632" t="s">
        <v>510</v>
      </c>
      <c r="F235" s="633" t="s">
        <v>511</v>
      </c>
      <c r="G235" s="632" t="s">
        <v>535</v>
      </c>
      <c r="H235" s="632" t="s">
        <v>1135</v>
      </c>
      <c r="I235" s="632" t="s">
        <v>246</v>
      </c>
      <c r="J235" s="632" t="s">
        <v>1136</v>
      </c>
      <c r="K235" s="632"/>
      <c r="L235" s="634">
        <v>99.740227675310436</v>
      </c>
      <c r="M235" s="634">
        <v>4</v>
      </c>
      <c r="N235" s="635">
        <v>398.96091070124174</v>
      </c>
    </row>
    <row r="236" spans="1:14" ht="14.4" customHeight="1" x14ac:dyDescent="0.3">
      <c r="A236" s="630" t="s">
        <v>507</v>
      </c>
      <c r="B236" s="631" t="s">
        <v>509</v>
      </c>
      <c r="C236" s="632" t="s">
        <v>531</v>
      </c>
      <c r="D236" s="633" t="s">
        <v>532</v>
      </c>
      <c r="E236" s="632" t="s">
        <v>510</v>
      </c>
      <c r="F236" s="633" t="s">
        <v>511</v>
      </c>
      <c r="G236" s="632" t="s">
        <v>535</v>
      </c>
      <c r="H236" s="632" t="s">
        <v>1137</v>
      </c>
      <c r="I236" s="632" t="s">
        <v>1137</v>
      </c>
      <c r="J236" s="632" t="s">
        <v>537</v>
      </c>
      <c r="K236" s="632" t="s">
        <v>1138</v>
      </c>
      <c r="L236" s="634">
        <v>201.25</v>
      </c>
      <c r="M236" s="634">
        <v>10</v>
      </c>
      <c r="N236" s="635">
        <v>2012.5</v>
      </c>
    </row>
    <row r="237" spans="1:14" ht="14.4" customHeight="1" x14ac:dyDescent="0.3">
      <c r="A237" s="630" t="s">
        <v>507</v>
      </c>
      <c r="B237" s="631" t="s">
        <v>509</v>
      </c>
      <c r="C237" s="632" t="s">
        <v>531</v>
      </c>
      <c r="D237" s="633" t="s">
        <v>532</v>
      </c>
      <c r="E237" s="632" t="s">
        <v>510</v>
      </c>
      <c r="F237" s="633" t="s">
        <v>511</v>
      </c>
      <c r="G237" s="632" t="s">
        <v>535</v>
      </c>
      <c r="H237" s="632" t="s">
        <v>665</v>
      </c>
      <c r="I237" s="632" t="s">
        <v>666</v>
      </c>
      <c r="J237" s="632" t="s">
        <v>667</v>
      </c>
      <c r="K237" s="632" t="s">
        <v>668</v>
      </c>
      <c r="L237" s="634">
        <v>40.909926925157535</v>
      </c>
      <c r="M237" s="634">
        <v>7</v>
      </c>
      <c r="N237" s="635">
        <v>286.36948847610273</v>
      </c>
    </row>
    <row r="238" spans="1:14" ht="14.4" customHeight="1" x14ac:dyDescent="0.3">
      <c r="A238" s="630" t="s">
        <v>507</v>
      </c>
      <c r="B238" s="631" t="s">
        <v>509</v>
      </c>
      <c r="C238" s="632" t="s">
        <v>531</v>
      </c>
      <c r="D238" s="633" t="s">
        <v>532</v>
      </c>
      <c r="E238" s="632" t="s">
        <v>510</v>
      </c>
      <c r="F238" s="633" t="s">
        <v>511</v>
      </c>
      <c r="G238" s="632" t="s">
        <v>535</v>
      </c>
      <c r="H238" s="632" t="s">
        <v>1139</v>
      </c>
      <c r="I238" s="632" t="s">
        <v>1140</v>
      </c>
      <c r="J238" s="632" t="s">
        <v>1141</v>
      </c>
      <c r="K238" s="632" t="s">
        <v>549</v>
      </c>
      <c r="L238" s="634">
        <v>55.958964126130418</v>
      </c>
      <c r="M238" s="634">
        <v>17</v>
      </c>
      <c r="N238" s="635">
        <v>951.30239014421716</v>
      </c>
    </row>
    <row r="239" spans="1:14" ht="14.4" customHeight="1" x14ac:dyDescent="0.3">
      <c r="A239" s="630" t="s">
        <v>507</v>
      </c>
      <c r="B239" s="631" t="s">
        <v>509</v>
      </c>
      <c r="C239" s="632" t="s">
        <v>531</v>
      </c>
      <c r="D239" s="633" t="s">
        <v>532</v>
      </c>
      <c r="E239" s="632" t="s">
        <v>510</v>
      </c>
      <c r="F239" s="633" t="s">
        <v>511</v>
      </c>
      <c r="G239" s="632" t="s">
        <v>535</v>
      </c>
      <c r="H239" s="632" t="s">
        <v>1142</v>
      </c>
      <c r="I239" s="632" t="s">
        <v>1143</v>
      </c>
      <c r="J239" s="632" t="s">
        <v>1144</v>
      </c>
      <c r="K239" s="632" t="s">
        <v>837</v>
      </c>
      <c r="L239" s="634">
        <v>121.91930730723635</v>
      </c>
      <c r="M239" s="634">
        <v>190</v>
      </c>
      <c r="N239" s="635">
        <v>23164.668388374906</v>
      </c>
    </row>
    <row r="240" spans="1:14" ht="14.4" customHeight="1" x14ac:dyDescent="0.3">
      <c r="A240" s="630" t="s">
        <v>507</v>
      </c>
      <c r="B240" s="631" t="s">
        <v>509</v>
      </c>
      <c r="C240" s="632" t="s">
        <v>531</v>
      </c>
      <c r="D240" s="633" t="s">
        <v>532</v>
      </c>
      <c r="E240" s="632" t="s">
        <v>510</v>
      </c>
      <c r="F240" s="633" t="s">
        <v>511</v>
      </c>
      <c r="G240" s="632" t="s">
        <v>535</v>
      </c>
      <c r="H240" s="632" t="s">
        <v>1145</v>
      </c>
      <c r="I240" s="632" t="s">
        <v>1146</v>
      </c>
      <c r="J240" s="632" t="s">
        <v>1147</v>
      </c>
      <c r="K240" s="632" t="s">
        <v>1148</v>
      </c>
      <c r="L240" s="634">
        <v>57.719968023379501</v>
      </c>
      <c r="M240" s="634">
        <v>12</v>
      </c>
      <c r="N240" s="635">
        <v>692.63961628055404</v>
      </c>
    </row>
    <row r="241" spans="1:14" ht="14.4" customHeight="1" x14ac:dyDescent="0.3">
      <c r="A241" s="630" t="s">
        <v>507</v>
      </c>
      <c r="B241" s="631" t="s">
        <v>509</v>
      </c>
      <c r="C241" s="632" t="s">
        <v>531</v>
      </c>
      <c r="D241" s="633" t="s">
        <v>532</v>
      </c>
      <c r="E241" s="632" t="s">
        <v>510</v>
      </c>
      <c r="F241" s="633" t="s">
        <v>511</v>
      </c>
      <c r="G241" s="632" t="s">
        <v>535</v>
      </c>
      <c r="H241" s="632" t="s">
        <v>681</v>
      </c>
      <c r="I241" s="632" t="s">
        <v>682</v>
      </c>
      <c r="J241" s="632" t="s">
        <v>683</v>
      </c>
      <c r="K241" s="632" t="s">
        <v>684</v>
      </c>
      <c r="L241" s="634">
        <v>260</v>
      </c>
      <c r="M241" s="634">
        <v>32</v>
      </c>
      <c r="N241" s="635">
        <v>8320</v>
      </c>
    </row>
    <row r="242" spans="1:14" ht="14.4" customHeight="1" x14ac:dyDescent="0.3">
      <c r="A242" s="630" t="s">
        <v>507</v>
      </c>
      <c r="B242" s="631" t="s">
        <v>509</v>
      </c>
      <c r="C242" s="632" t="s">
        <v>531</v>
      </c>
      <c r="D242" s="633" t="s">
        <v>532</v>
      </c>
      <c r="E242" s="632" t="s">
        <v>510</v>
      </c>
      <c r="F242" s="633" t="s">
        <v>511</v>
      </c>
      <c r="G242" s="632" t="s">
        <v>535</v>
      </c>
      <c r="H242" s="632" t="s">
        <v>689</v>
      </c>
      <c r="I242" s="632" t="s">
        <v>690</v>
      </c>
      <c r="J242" s="632" t="s">
        <v>571</v>
      </c>
      <c r="K242" s="632" t="s">
        <v>691</v>
      </c>
      <c r="L242" s="634">
        <v>60.349999999999987</v>
      </c>
      <c r="M242" s="634">
        <v>3</v>
      </c>
      <c r="N242" s="635">
        <v>181.04999999999995</v>
      </c>
    </row>
    <row r="243" spans="1:14" ht="14.4" customHeight="1" x14ac:dyDescent="0.3">
      <c r="A243" s="630" t="s">
        <v>507</v>
      </c>
      <c r="B243" s="631" t="s">
        <v>509</v>
      </c>
      <c r="C243" s="632" t="s">
        <v>531</v>
      </c>
      <c r="D243" s="633" t="s">
        <v>532</v>
      </c>
      <c r="E243" s="632" t="s">
        <v>510</v>
      </c>
      <c r="F243" s="633" t="s">
        <v>511</v>
      </c>
      <c r="G243" s="632" t="s">
        <v>535</v>
      </c>
      <c r="H243" s="632" t="s">
        <v>1149</v>
      </c>
      <c r="I243" s="632" t="s">
        <v>1150</v>
      </c>
      <c r="J243" s="632" t="s">
        <v>1151</v>
      </c>
      <c r="K243" s="632" t="s">
        <v>1152</v>
      </c>
      <c r="L243" s="634">
        <v>811.2004917062269</v>
      </c>
      <c r="M243" s="634">
        <v>10</v>
      </c>
      <c r="N243" s="635">
        <v>8112.0049170622688</v>
      </c>
    </row>
    <row r="244" spans="1:14" ht="14.4" customHeight="1" x14ac:dyDescent="0.3">
      <c r="A244" s="630" t="s">
        <v>507</v>
      </c>
      <c r="B244" s="631" t="s">
        <v>509</v>
      </c>
      <c r="C244" s="632" t="s">
        <v>531</v>
      </c>
      <c r="D244" s="633" t="s">
        <v>532</v>
      </c>
      <c r="E244" s="632" t="s">
        <v>510</v>
      </c>
      <c r="F244" s="633" t="s">
        <v>511</v>
      </c>
      <c r="G244" s="632" t="s">
        <v>535</v>
      </c>
      <c r="H244" s="632" t="s">
        <v>1153</v>
      </c>
      <c r="I244" s="632" t="s">
        <v>1154</v>
      </c>
      <c r="J244" s="632" t="s">
        <v>1155</v>
      </c>
      <c r="K244" s="632" t="s">
        <v>1156</v>
      </c>
      <c r="L244" s="634">
        <v>21.898195608660629</v>
      </c>
      <c r="M244" s="634">
        <v>160</v>
      </c>
      <c r="N244" s="635">
        <v>3503.7112973857006</v>
      </c>
    </row>
    <row r="245" spans="1:14" ht="14.4" customHeight="1" x14ac:dyDescent="0.3">
      <c r="A245" s="630" t="s">
        <v>507</v>
      </c>
      <c r="B245" s="631" t="s">
        <v>509</v>
      </c>
      <c r="C245" s="632" t="s">
        <v>531</v>
      </c>
      <c r="D245" s="633" t="s">
        <v>532</v>
      </c>
      <c r="E245" s="632" t="s">
        <v>510</v>
      </c>
      <c r="F245" s="633" t="s">
        <v>511</v>
      </c>
      <c r="G245" s="632" t="s">
        <v>535</v>
      </c>
      <c r="H245" s="632" t="s">
        <v>1157</v>
      </c>
      <c r="I245" s="632" t="s">
        <v>1158</v>
      </c>
      <c r="J245" s="632" t="s">
        <v>1159</v>
      </c>
      <c r="K245" s="632" t="s">
        <v>1160</v>
      </c>
      <c r="L245" s="634">
        <v>54.650404951134163</v>
      </c>
      <c r="M245" s="634">
        <v>2</v>
      </c>
      <c r="N245" s="635">
        <v>109.30080990226833</v>
      </c>
    </row>
    <row r="246" spans="1:14" ht="14.4" customHeight="1" x14ac:dyDescent="0.3">
      <c r="A246" s="630" t="s">
        <v>507</v>
      </c>
      <c r="B246" s="631" t="s">
        <v>509</v>
      </c>
      <c r="C246" s="632" t="s">
        <v>531</v>
      </c>
      <c r="D246" s="633" t="s">
        <v>532</v>
      </c>
      <c r="E246" s="632" t="s">
        <v>510</v>
      </c>
      <c r="F246" s="633" t="s">
        <v>511</v>
      </c>
      <c r="G246" s="632" t="s">
        <v>535</v>
      </c>
      <c r="H246" s="632" t="s">
        <v>1161</v>
      </c>
      <c r="I246" s="632" t="s">
        <v>1162</v>
      </c>
      <c r="J246" s="632" t="s">
        <v>1163</v>
      </c>
      <c r="K246" s="632" t="s">
        <v>1164</v>
      </c>
      <c r="L246" s="634">
        <v>237.64999999999992</v>
      </c>
      <c r="M246" s="634">
        <v>1</v>
      </c>
      <c r="N246" s="635">
        <v>237.64999999999992</v>
      </c>
    </row>
    <row r="247" spans="1:14" ht="14.4" customHeight="1" x14ac:dyDescent="0.3">
      <c r="A247" s="630" t="s">
        <v>507</v>
      </c>
      <c r="B247" s="631" t="s">
        <v>509</v>
      </c>
      <c r="C247" s="632" t="s">
        <v>531</v>
      </c>
      <c r="D247" s="633" t="s">
        <v>532</v>
      </c>
      <c r="E247" s="632" t="s">
        <v>510</v>
      </c>
      <c r="F247" s="633" t="s">
        <v>511</v>
      </c>
      <c r="G247" s="632" t="s">
        <v>535</v>
      </c>
      <c r="H247" s="632" t="s">
        <v>926</v>
      </c>
      <c r="I247" s="632" t="s">
        <v>246</v>
      </c>
      <c r="J247" s="632" t="s">
        <v>927</v>
      </c>
      <c r="K247" s="632"/>
      <c r="L247" s="634">
        <v>55.430000000000007</v>
      </c>
      <c r="M247" s="634">
        <v>3</v>
      </c>
      <c r="N247" s="635">
        <v>166.29000000000002</v>
      </c>
    </row>
    <row r="248" spans="1:14" ht="14.4" customHeight="1" x14ac:dyDescent="0.3">
      <c r="A248" s="630" t="s">
        <v>507</v>
      </c>
      <c r="B248" s="631" t="s">
        <v>509</v>
      </c>
      <c r="C248" s="632" t="s">
        <v>531</v>
      </c>
      <c r="D248" s="633" t="s">
        <v>532</v>
      </c>
      <c r="E248" s="632" t="s">
        <v>510</v>
      </c>
      <c r="F248" s="633" t="s">
        <v>511</v>
      </c>
      <c r="G248" s="632" t="s">
        <v>535</v>
      </c>
      <c r="H248" s="632" t="s">
        <v>1165</v>
      </c>
      <c r="I248" s="632" t="s">
        <v>246</v>
      </c>
      <c r="J248" s="632" t="s">
        <v>1166</v>
      </c>
      <c r="K248" s="632"/>
      <c r="L248" s="634">
        <v>71.583499999999987</v>
      </c>
      <c r="M248" s="634">
        <v>2</v>
      </c>
      <c r="N248" s="635">
        <v>143.16699999999997</v>
      </c>
    </row>
    <row r="249" spans="1:14" ht="14.4" customHeight="1" x14ac:dyDescent="0.3">
      <c r="A249" s="630" t="s">
        <v>507</v>
      </c>
      <c r="B249" s="631" t="s">
        <v>509</v>
      </c>
      <c r="C249" s="632" t="s">
        <v>531</v>
      </c>
      <c r="D249" s="633" t="s">
        <v>532</v>
      </c>
      <c r="E249" s="632" t="s">
        <v>510</v>
      </c>
      <c r="F249" s="633" t="s">
        <v>511</v>
      </c>
      <c r="G249" s="632" t="s">
        <v>535</v>
      </c>
      <c r="H249" s="632" t="s">
        <v>1167</v>
      </c>
      <c r="I249" s="632" t="s">
        <v>1168</v>
      </c>
      <c r="J249" s="632" t="s">
        <v>1169</v>
      </c>
      <c r="K249" s="632" t="s">
        <v>556</v>
      </c>
      <c r="L249" s="634">
        <v>41.598383335419513</v>
      </c>
      <c r="M249" s="634">
        <v>56</v>
      </c>
      <c r="N249" s="635">
        <v>2329.5094667834928</v>
      </c>
    </row>
    <row r="250" spans="1:14" ht="14.4" customHeight="1" x14ac:dyDescent="0.3">
      <c r="A250" s="630" t="s">
        <v>507</v>
      </c>
      <c r="B250" s="631" t="s">
        <v>509</v>
      </c>
      <c r="C250" s="632" t="s">
        <v>531</v>
      </c>
      <c r="D250" s="633" t="s">
        <v>532</v>
      </c>
      <c r="E250" s="632" t="s">
        <v>510</v>
      </c>
      <c r="F250" s="633" t="s">
        <v>511</v>
      </c>
      <c r="G250" s="632" t="s">
        <v>535</v>
      </c>
      <c r="H250" s="632" t="s">
        <v>1170</v>
      </c>
      <c r="I250" s="632" t="s">
        <v>1171</v>
      </c>
      <c r="J250" s="632" t="s">
        <v>1172</v>
      </c>
      <c r="K250" s="632" t="s">
        <v>1173</v>
      </c>
      <c r="L250" s="634">
        <v>266.57</v>
      </c>
      <c r="M250" s="634">
        <v>1</v>
      </c>
      <c r="N250" s="635">
        <v>266.57</v>
      </c>
    </row>
    <row r="251" spans="1:14" ht="14.4" customHeight="1" x14ac:dyDescent="0.3">
      <c r="A251" s="630" t="s">
        <v>507</v>
      </c>
      <c r="B251" s="631" t="s">
        <v>509</v>
      </c>
      <c r="C251" s="632" t="s">
        <v>531</v>
      </c>
      <c r="D251" s="633" t="s">
        <v>532</v>
      </c>
      <c r="E251" s="632" t="s">
        <v>510</v>
      </c>
      <c r="F251" s="633" t="s">
        <v>511</v>
      </c>
      <c r="G251" s="632" t="s">
        <v>535</v>
      </c>
      <c r="H251" s="632" t="s">
        <v>1174</v>
      </c>
      <c r="I251" s="632" t="s">
        <v>1175</v>
      </c>
      <c r="J251" s="632" t="s">
        <v>1176</v>
      </c>
      <c r="K251" s="632" t="s">
        <v>1177</v>
      </c>
      <c r="L251" s="634">
        <v>126.96</v>
      </c>
      <c r="M251" s="634">
        <v>1</v>
      </c>
      <c r="N251" s="635">
        <v>126.96</v>
      </c>
    </row>
    <row r="252" spans="1:14" ht="14.4" customHeight="1" x14ac:dyDescent="0.3">
      <c r="A252" s="630" t="s">
        <v>507</v>
      </c>
      <c r="B252" s="631" t="s">
        <v>509</v>
      </c>
      <c r="C252" s="632" t="s">
        <v>531</v>
      </c>
      <c r="D252" s="633" t="s">
        <v>532</v>
      </c>
      <c r="E252" s="632" t="s">
        <v>510</v>
      </c>
      <c r="F252" s="633" t="s">
        <v>511</v>
      </c>
      <c r="G252" s="632" t="s">
        <v>535</v>
      </c>
      <c r="H252" s="632" t="s">
        <v>1178</v>
      </c>
      <c r="I252" s="632" t="s">
        <v>1179</v>
      </c>
      <c r="J252" s="632" t="s">
        <v>1180</v>
      </c>
      <c r="K252" s="632" t="s">
        <v>1181</v>
      </c>
      <c r="L252" s="634">
        <v>1006.96</v>
      </c>
      <c r="M252" s="634">
        <v>3</v>
      </c>
      <c r="N252" s="635">
        <v>3020.88</v>
      </c>
    </row>
    <row r="253" spans="1:14" ht="14.4" customHeight="1" x14ac:dyDescent="0.3">
      <c r="A253" s="630" t="s">
        <v>507</v>
      </c>
      <c r="B253" s="631" t="s">
        <v>509</v>
      </c>
      <c r="C253" s="632" t="s">
        <v>531</v>
      </c>
      <c r="D253" s="633" t="s">
        <v>532</v>
      </c>
      <c r="E253" s="632" t="s">
        <v>510</v>
      </c>
      <c r="F253" s="633" t="s">
        <v>511</v>
      </c>
      <c r="G253" s="632" t="s">
        <v>535</v>
      </c>
      <c r="H253" s="632" t="s">
        <v>1182</v>
      </c>
      <c r="I253" s="632" t="s">
        <v>1183</v>
      </c>
      <c r="J253" s="632" t="s">
        <v>1184</v>
      </c>
      <c r="K253" s="632" t="s">
        <v>1185</v>
      </c>
      <c r="L253" s="634">
        <v>272.775644479047</v>
      </c>
      <c r="M253" s="634">
        <v>6</v>
      </c>
      <c r="N253" s="635">
        <v>1636.6538668742821</v>
      </c>
    </row>
    <row r="254" spans="1:14" ht="14.4" customHeight="1" x14ac:dyDescent="0.3">
      <c r="A254" s="630" t="s">
        <v>507</v>
      </c>
      <c r="B254" s="631" t="s">
        <v>509</v>
      </c>
      <c r="C254" s="632" t="s">
        <v>531</v>
      </c>
      <c r="D254" s="633" t="s">
        <v>532</v>
      </c>
      <c r="E254" s="632" t="s">
        <v>510</v>
      </c>
      <c r="F254" s="633" t="s">
        <v>511</v>
      </c>
      <c r="G254" s="632" t="s">
        <v>535</v>
      </c>
      <c r="H254" s="632" t="s">
        <v>1186</v>
      </c>
      <c r="I254" s="632" t="s">
        <v>1186</v>
      </c>
      <c r="J254" s="632" t="s">
        <v>1187</v>
      </c>
      <c r="K254" s="632" t="s">
        <v>587</v>
      </c>
      <c r="L254" s="634">
        <v>56.513999999999989</v>
      </c>
      <c r="M254" s="634">
        <v>20</v>
      </c>
      <c r="N254" s="635">
        <v>1130.2799999999997</v>
      </c>
    </row>
    <row r="255" spans="1:14" ht="14.4" customHeight="1" x14ac:dyDescent="0.3">
      <c r="A255" s="630" t="s">
        <v>507</v>
      </c>
      <c r="B255" s="631" t="s">
        <v>509</v>
      </c>
      <c r="C255" s="632" t="s">
        <v>531</v>
      </c>
      <c r="D255" s="633" t="s">
        <v>532</v>
      </c>
      <c r="E255" s="632" t="s">
        <v>510</v>
      </c>
      <c r="F255" s="633" t="s">
        <v>511</v>
      </c>
      <c r="G255" s="632" t="s">
        <v>535</v>
      </c>
      <c r="H255" s="632" t="s">
        <v>1188</v>
      </c>
      <c r="I255" s="632" t="s">
        <v>1189</v>
      </c>
      <c r="J255" s="632" t="s">
        <v>1190</v>
      </c>
      <c r="K255" s="632" t="s">
        <v>1191</v>
      </c>
      <c r="L255" s="634">
        <v>1096.7673334959391</v>
      </c>
      <c r="M255" s="634">
        <v>4</v>
      </c>
      <c r="N255" s="635">
        <v>4387.0693339837562</v>
      </c>
    </row>
    <row r="256" spans="1:14" ht="14.4" customHeight="1" x14ac:dyDescent="0.3">
      <c r="A256" s="630" t="s">
        <v>507</v>
      </c>
      <c r="B256" s="631" t="s">
        <v>509</v>
      </c>
      <c r="C256" s="632" t="s">
        <v>531</v>
      </c>
      <c r="D256" s="633" t="s">
        <v>532</v>
      </c>
      <c r="E256" s="632" t="s">
        <v>510</v>
      </c>
      <c r="F256" s="633" t="s">
        <v>511</v>
      </c>
      <c r="G256" s="632" t="s">
        <v>535</v>
      </c>
      <c r="H256" s="632" t="s">
        <v>1192</v>
      </c>
      <c r="I256" s="632" t="s">
        <v>1193</v>
      </c>
      <c r="J256" s="632" t="s">
        <v>1194</v>
      </c>
      <c r="K256" s="632" t="s">
        <v>1195</v>
      </c>
      <c r="L256" s="634">
        <v>90.295000000000002</v>
      </c>
      <c r="M256" s="634">
        <v>10</v>
      </c>
      <c r="N256" s="635">
        <v>902.95</v>
      </c>
    </row>
    <row r="257" spans="1:14" ht="14.4" customHeight="1" x14ac:dyDescent="0.3">
      <c r="A257" s="630" t="s">
        <v>507</v>
      </c>
      <c r="B257" s="631" t="s">
        <v>509</v>
      </c>
      <c r="C257" s="632" t="s">
        <v>531</v>
      </c>
      <c r="D257" s="633" t="s">
        <v>532</v>
      </c>
      <c r="E257" s="632" t="s">
        <v>510</v>
      </c>
      <c r="F257" s="633" t="s">
        <v>511</v>
      </c>
      <c r="G257" s="632" t="s">
        <v>535</v>
      </c>
      <c r="H257" s="632" t="s">
        <v>1196</v>
      </c>
      <c r="I257" s="632" t="s">
        <v>246</v>
      </c>
      <c r="J257" s="632" t="s">
        <v>1197</v>
      </c>
      <c r="K257" s="632"/>
      <c r="L257" s="634">
        <v>99.327229765151287</v>
      </c>
      <c r="M257" s="634">
        <v>3</v>
      </c>
      <c r="N257" s="635">
        <v>297.98168929545386</v>
      </c>
    </row>
    <row r="258" spans="1:14" ht="14.4" customHeight="1" x14ac:dyDescent="0.3">
      <c r="A258" s="630" t="s">
        <v>507</v>
      </c>
      <c r="B258" s="631" t="s">
        <v>509</v>
      </c>
      <c r="C258" s="632" t="s">
        <v>531</v>
      </c>
      <c r="D258" s="633" t="s">
        <v>532</v>
      </c>
      <c r="E258" s="632" t="s">
        <v>510</v>
      </c>
      <c r="F258" s="633" t="s">
        <v>511</v>
      </c>
      <c r="G258" s="632" t="s">
        <v>535</v>
      </c>
      <c r="H258" s="632" t="s">
        <v>700</v>
      </c>
      <c r="I258" s="632" t="s">
        <v>246</v>
      </c>
      <c r="J258" s="632" t="s">
        <v>701</v>
      </c>
      <c r="K258" s="632"/>
      <c r="L258" s="634">
        <v>64.649842920346629</v>
      </c>
      <c r="M258" s="634">
        <v>3</v>
      </c>
      <c r="N258" s="635">
        <v>193.94952876103989</v>
      </c>
    </row>
    <row r="259" spans="1:14" ht="14.4" customHeight="1" x14ac:dyDescent="0.3">
      <c r="A259" s="630" t="s">
        <v>507</v>
      </c>
      <c r="B259" s="631" t="s">
        <v>509</v>
      </c>
      <c r="C259" s="632" t="s">
        <v>531</v>
      </c>
      <c r="D259" s="633" t="s">
        <v>532</v>
      </c>
      <c r="E259" s="632" t="s">
        <v>510</v>
      </c>
      <c r="F259" s="633" t="s">
        <v>511</v>
      </c>
      <c r="G259" s="632" t="s">
        <v>535</v>
      </c>
      <c r="H259" s="632" t="s">
        <v>1198</v>
      </c>
      <c r="I259" s="632" t="s">
        <v>246</v>
      </c>
      <c r="J259" s="632" t="s">
        <v>1199</v>
      </c>
      <c r="K259" s="632"/>
      <c r="L259" s="634">
        <v>39.008499813129568</v>
      </c>
      <c r="M259" s="634">
        <v>7</v>
      </c>
      <c r="N259" s="635">
        <v>273.05949869190698</v>
      </c>
    </row>
    <row r="260" spans="1:14" ht="14.4" customHeight="1" x14ac:dyDescent="0.3">
      <c r="A260" s="630" t="s">
        <v>507</v>
      </c>
      <c r="B260" s="631" t="s">
        <v>509</v>
      </c>
      <c r="C260" s="632" t="s">
        <v>531</v>
      </c>
      <c r="D260" s="633" t="s">
        <v>532</v>
      </c>
      <c r="E260" s="632" t="s">
        <v>510</v>
      </c>
      <c r="F260" s="633" t="s">
        <v>511</v>
      </c>
      <c r="G260" s="632" t="s">
        <v>535</v>
      </c>
      <c r="H260" s="632" t="s">
        <v>1200</v>
      </c>
      <c r="I260" s="632" t="s">
        <v>1201</v>
      </c>
      <c r="J260" s="632" t="s">
        <v>1202</v>
      </c>
      <c r="K260" s="632" t="s">
        <v>1203</v>
      </c>
      <c r="L260" s="634">
        <v>61.594000548995325</v>
      </c>
      <c r="M260" s="634">
        <v>10</v>
      </c>
      <c r="N260" s="635">
        <v>615.94000548995325</v>
      </c>
    </row>
    <row r="261" spans="1:14" ht="14.4" customHeight="1" x14ac:dyDescent="0.3">
      <c r="A261" s="630" t="s">
        <v>507</v>
      </c>
      <c r="B261" s="631" t="s">
        <v>509</v>
      </c>
      <c r="C261" s="632" t="s">
        <v>531</v>
      </c>
      <c r="D261" s="633" t="s">
        <v>532</v>
      </c>
      <c r="E261" s="632" t="s">
        <v>510</v>
      </c>
      <c r="F261" s="633" t="s">
        <v>511</v>
      </c>
      <c r="G261" s="632" t="s">
        <v>535</v>
      </c>
      <c r="H261" s="632" t="s">
        <v>1204</v>
      </c>
      <c r="I261" s="632" t="s">
        <v>1205</v>
      </c>
      <c r="J261" s="632" t="s">
        <v>1206</v>
      </c>
      <c r="K261" s="632" t="s">
        <v>1207</v>
      </c>
      <c r="L261" s="634">
        <v>111.19</v>
      </c>
      <c r="M261" s="634">
        <v>4</v>
      </c>
      <c r="N261" s="635">
        <v>444.76</v>
      </c>
    </row>
    <row r="262" spans="1:14" ht="14.4" customHeight="1" x14ac:dyDescent="0.3">
      <c r="A262" s="630" t="s">
        <v>507</v>
      </c>
      <c r="B262" s="631" t="s">
        <v>509</v>
      </c>
      <c r="C262" s="632" t="s">
        <v>531</v>
      </c>
      <c r="D262" s="633" t="s">
        <v>532</v>
      </c>
      <c r="E262" s="632" t="s">
        <v>510</v>
      </c>
      <c r="F262" s="633" t="s">
        <v>511</v>
      </c>
      <c r="G262" s="632" t="s">
        <v>535</v>
      </c>
      <c r="H262" s="632" t="s">
        <v>702</v>
      </c>
      <c r="I262" s="632" t="s">
        <v>703</v>
      </c>
      <c r="J262" s="632" t="s">
        <v>704</v>
      </c>
      <c r="K262" s="632" t="s">
        <v>705</v>
      </c>
      <c r="L262" s="634">
        <v>303.69935085446491</v>
      </c>
      <c r="M262" s="634">
        <v>2</v>
      </c>
      <c r="N262" s="635">
        <v>607.39870170892982</v>
      </c>
    </row>
    <row r="263" spans="1:14" ht="14.4" customHeight="1" x14ac:dyDescent="0.3">
      <c r="A263" s="630" t="s">
        <v>507</v>
      </c>
      <c r="B263" s="631" t="s">
        <v>509</v>
      </c>
      <c r="C263" s="632" t="s">
        <v>531</v>
      </c>
      <c r="D263" s="633" t="s">
        <v>532</v>
      </c>
      <c r="E263" s="632" t="s">
        <v>510</v>
      </c>
      <c r="F263" s="633" t="s">
        <v>511</v>
      </c>
      <c r="G263" s="632" t="s">
        <v>535</v>
      </c>
      <c r="H263" s="632" t="s">
        <v>706</v>
      </c>
      <c r="I263" s="632" t="s">
        <v>707</v>
      </c>
      <c r="J263" s="632" t="s">
        <v>708</v>
      </c>
      <c r="K263" s="632" t="s">
        <v>709</v>
      </c>
      <c r="L263" s="634">
        <v>49.14898774346895</v>
      </c>
      <c r="M263" s="634">
        <v>50</v>
      </c>
      <c r="N263" s="635">
        <v>2457.4493871734476</v>
      </c>
    </row>
    <row r="264" spans="1:14" ht="14.4" customHeight="1" x14ac:dyDescent="0.3">
      <c r="A264" s="630" t="s">
        <v>507</v>
      </c>
      <c r="B264" s="631" t="s">
        <v>509</v>
      </c>
      <c r="C264" s="632" t="s">
        <v>531</v>
      </c>
      <c r="D264" s="633" t="s">
        <v>532</v>
      </c>
      <c r="E264" s="632" t="s">
        <v>510</v>
      </c>
      <c r="F264" s="633" t="s">
        <v>511</v>
      </c>
      <c r="G264" s="632" t="s">
        <v>535</v>
      </c>
      <c r="H264" s="632" t="s">
        <v>710</v>
      </c>
      <c r="I264" s="632" t="s">
        <v>711</v>
      </c>
      <c r="J264" s="632" t="s">
        <v>712</v>
      </c>
      <c r="K264" s="632" t="s">
        <v>560</v>
      </c>
      <c r="L264" s="634">
        <v>110.29</v>
      </c>
      <c r="M264" s="634">
        <v>2</v>
      </c>
      <c r="N264" s="635">
        <v>220.58</v>
      </c>
    </row>
    <row r="265" spans="1:14" ht="14.4" customHeight="1" x14ac:dyDescent="0.3">
      <c r="A265" s="630" t="s">
        <v>507</v>
      </c>
      <c r="B265" s="631" t="s">
        <v>509</v>
      </c>
      <c r="C265" s="632" t="s">
        <v>531</v>
      </c>
      <c r="D265" s="633" t="s">
        <v>532</v>
      </c>
      <c r="E265" s="632" t="s">
        <v>510</v>
      </c>
      <c r="F265" s="633" t="s">
        <v>511</v>
      </c>
      <c r="G265" s="632" t="s">
        <v>535</v>
      </c>
      <c r="H265" s="632" t="s">
        <v>1208</v>
      </c>
      <c r="I265" s="632" t="s">
        <v>1209</v>
      </c>
      <c r="J265" s="632" t="s">
        <v>1210</v>
      </c>
      <c r="K265" s="632" t="s">
        <v>1164</v>
      </c>
      <c r="L265" s="634">
        <v>211.83999999999995</v>
      </c>
      <c r="M265" s="634">
        <v>1</v>
      </c>
      <c r="N265" s="635">
        <v>211.83999999999995</v>
      </c>
    </row>
    <row r="266" spans="1:14" ht="14.4" customHeight="1" x14ac:dyDescent="0.3">
      <c r="A266" s="630" t="s">
        <v>507</v>
      </c>
      <c r="B266" s="631" t="s">
        <v>509</v>
      </c>
      <c r="C266" s="632" t="s">
        <v>531</v>
      </c>
      <c r="D266" s="633" t="s">
        <v>532</v>
      </c>
      <c r="E266" s="632" t="s">
        <v>510</v>
      </c>
      <c r="F266" s="633" t="s">
        <v>511</v>
      </c>
      <c r="G266" s="632" t="s">
        <v>535</v>
      </c>
      <c r="H266" s="632" t="s">
        <v>713</v>
      </c>
      <c r="I266" s="632" t="s">
        <v>714</v>
      </c>
      <c r="J266" s="632" t="s">
        <v>715</v>
      </c>
      <c r="K266" s="632" t="s">
        <v>716</v>
      </c>
      <c r="L266" s="634">
        <v>117.73964104461081</v>
      </c>
      <c r="M266" s="634">
        <v>26</v>
      </c>
      <c r="N266" s="635">
        <v>3061.2306671598808</v>
      </c>
    </row>
    <row r="267" spans="1:14" ht="14.4" customHeight="1" x14ac:dyDescent="0.3">
      <c r="A267" s="630" t="s">
        <v>507</v>
      </c>
      <c r="B267" s="631" t="s">
        <v>509</v>
      </c>
      <c r="C267" s="632" t="s">
        <v>531</v>
      </c>
      <c r="D267" s="633" t="s">
        <v>532</v>
      </c>
      <c r="E267" s="632" t="s">
        <v>510</v>
      </c>
      <c r="F267" s="633" t="s">
        <v>511</v>
      </c>
      <c r="G267" s="632" t="s">
        <v>535</v>
      </c>
      <c r="H267" s="632" t="s">
        <v>1211</v>
      </c>
      <c r="I267" s="632" t="s">
        <v>1212</v>
      </c>
      <c r="J267" s="632" t="s">
        <v>1213</v>
      </c>
      <c r="K267" s="632" t="s">
        <v>1214</v>
      </c>
      <c r="L267" s="634">
        <v>4539.5211089274499</v>
      </c>
      <c r="M267" s="634">
        <v>1</v>
      </c>
      <c r="N267" s="635">
        <v>4539.5211089274499</v>
      </c>
    </row>
    <row r="268" spans="1:14" ht="14.4" customHeight="1" x14ac:dyDescent="0.3">
      <c r="A268" s="630" t="s">
        <v>507</v>
      </c>
      <c r="B268" s="631" t="s">
        <v>509</v>
      </c>
      <c r="C268" s="632" t="s">
        <v>531</v>
      </c>
      <c r="D268" s="633" t="s">
        <v>532</v>
      </c>
      <c r="E268" s="632" t="s">
        <v>510</v>
      </c>
      <c r="F268" s="633" t="s">
        <v>511</v>
      </c>
      <c r="G268" s="632" t="s">
        <v>535</v>
      </c>
      <c r="H268" s="632" t="s">
        <v>1215</v>
      </c>
      <c r="I268" s="632" t="s">
        <v>1216</v>
      </c>
      <c r="J268" s="632" t="s">
        <v>1217</v>
      </c>
      <c r="K268" s="632" t="s">
        <v>1218</v>
      </c>
      <c r="L268" s="634">
        <v>461.86003225657078</v>
      </c>
      <c r="M268" s="634">
        <v>1</v>
      </c>
      <c r="N268" s="635">
        <v>461.86003225657078</v>
      </c>
    </row>
    <row r="269" spans="1:14" ht="14.4" customHeight="1" x14ac:dyDescent="0.3">
      <c r="A269" s="630" t="s">
        <v>507</v>
      </c>
      <c r="B269" s="631" t="s">
        <v>509</v>
      </c>
      <c r="C269" s="632" t="s">
        <v>531</v>
      </c>
      <c r="D269" s="633" t="s">
        <v>532</v>
      </c>
      <c r="E269" s="632" t="s">
        <v>510</v>
      </c>
      <c r="F269" s="633" t="s">
        <v>511</v>
      </c>
      <c r="G269" s="632" t="s">
        <v>535</v>
      </c>
      <c r="H269" s="632" t="s">
        <v>936</v>
      </c>
      <c r="I269" s="632" t="s">
        <v>246</v>
      </c>
      <c r="J269" s="632" t="s">
        <v>937</v>
      </c>
      <c r="K269" s="632"/>
      <c r="L269" s="634">
        <v>264.61500000000001</v>
      </c>
      <c r="M269" s="634">
        <v>1</v>
      </c>
      <c r="N269" s="635">
        <v>264.61500000000001</v>
      </c>
    </row>
    <row r="270" spans="1:14" ht="14.4" customHeight="1" x14ac:dyDescent="0.3">
      <c r="A270" s="630" t="s">
        <v>507</v>
      </c>
      <c r="B270" s="631" t="s">
        <v>509</v>
      </c>
      <c r="C270" s="632" t="s">
        <v>531</v>
      </c>
      <c r="D270" s="633" t="s">
        <v>532</v>
      </c>
      <c r="E270" s="632" t="s">
        <v>510</v>
      </c>
      <c r="F270" s="633" t="s">
        <v>511</v>
      </c>
      <c r="G270" s="632" t="s">
        <v>535</v>
      </c>
      <c r="H270" s="632" t="s">
        <v>1219</v>
      </c>
      <c r="I270" s="632" t="s">
        <v>1220</v>
      </c>
      <c r="J270" s="632" t="s">
        <v>1221</v>
      </c>
      <c r="K270" s="632" t="s">
        <v>1222</v>
      </c>
      <c r="L270" s="634">
        <v>203.14</v>
      </c>
      <c r="M270" s="634">
        <v>1</v>
      </c>
      <c r="N270" s="635">
        <v>203.14</v>
      </c>
    </row>
    <row r="271" spans="1:14" ht="14.4" customHeight="1" x14ac:dyDescent="0.3">
      <c r="A271" s="630" t="s">
        <v>507</v>
      </c>
      <c r="B271" s="631" t="s">
        <v>509</v>
      </c>
      <c r="C271" s="632" t="s">
        <v>531</v>
      </c>
      <c r="D271" s="633" t="s">
        <v>532</v>
      </c>
      <c r="E271" s="632" t="s">
        <v>510</v>
      </c>
      <c r="F271" s="633" t="s">
        <v>511</v>
      </c>
      <c r="G271" s="632" t="s">
        <v>535</v>
      </c>
      <c r="H271" s="632" t="s">
        <v>1223</v>
      </c>
      <c r="I271" s="632" t="s">
        <v>1224</v>
      </c>
      <c r="J271" s="632" t="s">
        <v>1225</v>
      </c>
      <c r="K271" s="632" t="s">
        <v>1164</v>
      </c>
      <c r="L271" s="634">
        <v>221.68824360131987</v>
      </c>
      <c r="M271" s="634">
        <v>1</v>
      </c>
      <c r="N271" s="635">
        <v>221.68824360131987</v>
      </c>
    </row>
    <row r="272" spans="1:14" ht="14.4" customHeight="1" x14ac:dyDescent="0.3">
      <c r="A272" s="630" t="s">
        <v>507</v>
      </c>
      <c r="B272" s="631" t="s">
        <v>509</v>
      </c>
      <c r="C272" s="632" t="s">
        <v>531</v>
      </c>
      <c r="D272" s="633" t="s">
        <v>532</v>
      </c>
      <c r="E272" s="632" t="s">
        <v>510</v>
      </c>
      <c r="F272" s="633" t="s">
        <v>511</v>
      </c>
      <c r="G272" s="632" t="s">
        <v>535</v>
      </c>
      <c r="H272" s="632" t="s">
        <v>1226</v>
      </c>
      <c r="I272" s="632" t="s">
        <v>246</v>
      </c>
      <c r="J272" s="632" t="s">
        <v>1227</v>
      </c>
      <c r="K272" s="632"/>
      <c r="L272" s="634">
        <v>228.42241200625801</v>
      </c>
      <c r="M272" s="634">
        <v>2</v>
      </c>
      <c r="N272" s="635">
        <v>456.84482401251603</v>
      </c>
    </row>
    <row r="273" spans="1:14" ht="14.4" customHeight="1" x14ac:dyDescent="0.3">
      <c r="A273" s="630" t="s">
        <v>507</v>
      </c>
      <c r="B273" s="631" t="s">
        <v>509</v>
      </c>
      <c r="C273" s="632" t="s">
        <v>531</v>
      </c>
      <c r="D273" s="633" t="s">
        <v>532</v>
      </c>
      <c r="E273" s="632" t="s">
        <v>510</v>
      </c>
      <c r="F273" s="633" t="s">
        <v>511</v>
      </c>
      <c r="G273" s="632" t="s">
        <v>535</v>
      </c>
      <c r="H273" s="632" t="s">
        <v>1228</v>
      </c>
      <c r="I273" s="632" t="s">
        <v>1229</v>
      </c>
      <c r="J273" s="632" t="s">
        <v>1230</v>
      </c>
      <c r="K273" s="632" t="s">
        <v>1231</v>
      </c>
      <c r="L273" s="634">
        <v>145.56000000000003</v>
      </c>
      <c r="M273" s="634">
        <v>1</v>
      </c>
      <c r="N273" s="635">
        <v>145.56000000000003</v>
      </c>
    </row>
    <row r="274" spans="1:14" ht="14.4" customHeight="1" x14ac:dyDescent="0.3">
      <c r="A274" s="630" t="s">
        <v>507</v>
      </c>
      <c r="B274" s="631" t="s">
        <v>509</v>
      </c>
      <c r="C274" s="632" t="s">
        <v>531</v>
      </c>
      <c r="D274" s="633" t="s">
        <v>532</v>
      </c>
      <c r="E274" s="632" t="s">
        <v>510</v>
      </c>
      <c r="F274" s="633" t="s">
        <v>511</v>
      </c>
      <c r="G274" s="632" t="s">
        <v>535</v>
      </c>
      <c r="H274" s="632" t="s">
        <v>938</v>
      </c>
      <c r="I274" s="632" t="s">
        <v>939</v>
      </c>
      <c r="J274" s="632" t="s">
        <v>940</v>
      </c>
      <c r="K274" s="632" t="s">
        <v>941</v>
      </c>
      <c r="L274" s="634">
        <v>54.6</v>
      </c>
      <c r="M274" s="634">
        <v>1</v>
      </c>
      <c r="N274" s="635">
        <v>54.6</v>
      </c>
    </row>
    <row r="275" spans="1:14" ht="14.4" customHeight="1" x14ac:dyDescent="0.3">
      <c r="A275" s="630" t="s">
        <v>507</v>
      </c>
      <c r="B275" s="631" t="s">
        <v>509</v>
      </c>
      <c r="C275" s="632" t="s">
        <v>531</v>
      </c>
      <c r="D275" s="633" t="s">
        <v>532</v>
      </c>
      <c r="E275" s="632" t="s">
        <v>510</v>
      </c>
      <c r="F275" s="633" t="s">
        <v>511</v>
      </c>
      <c r="G275" s="632" t="s">
        <v>535</v>
      </c>
      <c r="H275" s="632" t="s">
        <v>1232</v>
      </c>
      <c r="I275" s="632" t="s">
        <v>1233</v>
      </c>
      <c r="J275" s="632" t="s">
        <v>1234</v>
      </c>
      <c r="K275" s="632" t="s">
        <v>1235</v>
      </c>
      <c r="L275" s="634">
        <v>339.9399366505574</v>
      </c>
      <c r="M275" s="634">
        <v>6</v>
      </c>
      <c r="N275" s="635">
        <v>2039.6396199033443</v>
      </c>
    </row>
    <row r="276" spans="1:14" ht="14.4" customHeight="1" x14ac:dyDescent="0.3">
      <c r="A276" s="630" t="s">
        <v>507</v>
      </c>
      <c r="B276" s="631" t="s">
        <v>509</v>
      </c>
      <c r="C276" s="632" t="s">
        <v>531</v>
      </c>
      <c r="D276" s="633" t="s">
        <v>532</v>
      </c>
      <c r="E276" s="632" t="s">
        <v>510</v>
      </c>
      <c r="F276" s="633" t="s">
        <v>511</v>
      </c>
      <c r="G276" s="632" t="s">
        <v>535</v>
      </c>
      <c r="H276" s="632" t="s">
        <v>1236</v>
      </c>
      <c r="I276" s="632" t="s">
        <v>246</v>
      </c>
      <c r="J276" s="632" t="s">
        <v>1237</v>
      </c>
      <c r="K276" s="632" t="s">
        <v>1238</v>
      </c>
      <c r="L276" s="634">
        <v>33.659865456494593</v>
      </c>
      <c r="M276" s="634">
        <v>1</v>
      </c>
      <c r="N276" s="635">
        <v>33.659865456494593</v>
      </c>
    </row>
    <row r="277" spans="1:14" ht="14.4" customHeight="1" x14ac:dyDescent="0.3">
      <c r="A277" s="630" t="s">
        <v>507</v>
      </c>
      <c r="B277" s="631" t="s">
        <v>509</v>
      </c>
      <c r="C277" s="632" t="s">
        <v>531</v>
      </c>
      <c r="D277" s="633" t="s">
        <v>532</v>
      </c>
      <c r="E277" s="632" t="s">
        <v>510</v>
      </c>
      <c r="F277" s="633" t="s">
        <v>511</v>
      </c>
      <c r="G277" s="632" t="s">
        <v>535</v>
      </c>
      <c r="H277" s="632" t="s">
        <v>1239</v>
      </c>
      <c r="I277" s="632" t="s">
        <v>246</v>
      </c>
      <c r="J277" s="632" t="s">
        <v>1240</v>
      </c>
      <c r="K277" s="632"/>
      <c r="L277" s="634">
        <v>50.819587292190597</v>
      </c>
      <c r="M277" s="634">
        <v>1</v>
      </c>
      <c r="N277" s="635">
        <v>50.819587292190597</v>
      </c>
    </row>
    <row r="278" spans="1:14" ht="14.4" customHeight="1" x14ac:dyDescent="0.3">
      <c r="A278" s="630" t="s">
        <v>507</v>
      </c>
      <c r="B278" s="631" t="s">
        <v>509</v>
      </c>
      <c r="C278" s="632" t="s">
        <v>531</v>
      </c>
      <c r="D278" s="633" t="s">
        <v>532</v>
      </c>
      <c r="E278" s="632" t="s">
        <v>510</v>
      </c>
      <c r="F278" s="633" t="s">
        <v>511</v>
      </c>
      <c r="G278" s="632" t="s">
        <v>535</v>
      </c>
      <c r="H278" s="632" t="s">
        <v>1241</v>
      </c>
      <c r="I278" s="632" t="s">
        <v>1242</v>
      </c>
      <c r="J278" s="632" t="s">
        <v>1243</v>
      </c>
      <c r="K278" s="632" t="s">
        <v>1214</v>
      </c>
      <c r="L278" s="634">
        <v>2700.0000000000005</v>
      </c>
      <c r="M278" s="634">
        <v>3</v>
      </c>
      <c r="N278" s="635">
        <v>8100.0000000000009</v>
      </c>
    </row>
    <row r="279" spans="1:14" ht="14.4" customHeight="1" x14ac:dyDescent="0.3">
      <c r="A279" s="630" t="s">
        <v>507</v>
      </c>
      <c r="B279" s="631" t="s">
        <v>509</v>
      </c>
      <c r="C279" s="632" t="s">
        <v>531</v>
      </c>
      <c r="D279" s="633" t="s">
        <v>532</v>
      </c>
      <c r="E279" s="632" t="s">
        <v>510</v>
      </c>
      <c r="F279" s="633" t="s">
        <v>511</v>
      </c>
      <c r="G279" s="632" t="s">
        <v>535</v>
      </c>
      <c r="H279" s="632" t="s">
        <v>1244</v>
      </c>
      <c r="I279" s="632" t="s">
        <v>1245</v>
      </c>
      <c r="J279" s="632" t="s">
        <v>948</v>
      </c>
      <c r="K279" s="632" t="s">
        <v>1246</v>
      </c>
      <c r="L279" s="634">
        <v>31.569999999999997</v>
      </c>
      <c r="M279" s="634">
        <v>468</v>
      </c>
      <c r="N279" s="635">
        <v>14774.759999999998</v>
      </c>
    </row>
    <row r="280" spans="1:14" ht="14.4" customHeight="1" x14ac:dyDescent="0.3">
      <c r="A280" s="630" t="s">
        <v>507</v>
      </c>
      <c r="B280" s="631" t="s">
        <v>509</v>
      </c>
      <c r="C280" s="632" t="s">
        <v>531</v>
      </c>
      <c r="D280" s="633" t="s">
        <v>532</v>
      </c>
      <c r="E280" s="632" t="s">
        <v>510</v>
      </c>
      <c r="F280" s="633" t="s">
        <v>511</v>
      </c>
      <c r="G280" s="632" t="s">
        <v>535</v>
      </c>
      <c r="H280" s="632" t="s">
        <v>950</v>
      </c>
      <c r="I280" s="632" t="s">
        <v>951</v>
      </c>
      <c r="J280" s="632" t="s">
        <v>952</v>
      </c>
      <c r="K280" s="632" t="s">
        <v>953</v>
      </c>
      <c r="L280" s="634">
        <v>162.41200413499934</v>
      </c>
      <c r="M280" s="634">
        <v>184</v>
      </c>
      <c r="N280" s="635">
        <v>29883.808760839878</v>
      </c>
    </row>
    <row r="281" spans="1:14" ht="14.4" customHeight="1" x14ac:dyDescent="0.3">
      <c r="A281" s="630" t="s">
        <v>507</v>
      </c>
      <c r="B281" s="631" t="s">
        <v>509</v>
      </c>
      <c r="C281" s="632" t="s">
        <v>531</v>
      </c>
      <c r="D281" s="633" t="s">
        <v>532</v>
      </c>
      <c r="E281" s="632" t="s">
        <v>510</v>
      </c>
      <c r="F281" s="633" t="s">
        <v>511</v>
      </c>
      <c r="G281" s="632" t="s">
        <v>535</v>
      </c>
      <c r="H281" s="632" t="s">
        <v>1247</v>
      </c>
      <c r="I281" s="632" t="s">
        <v>1248</v>
      </c>
      <c r="J281" s="632" t="s">
        <v>1163</v>
      </c>
      <c r="K281" s="632" t="s">
        <v>1249</v>
      </c>
      <c r="L281" s="634">
        <v>627.07000000000005</v>
      </c>
      <c r="M281" s="634">
        <v>1</v>
      </c>
      <c r="N281" s="635">
        <v>627.07000000000005</v>
      </c>
    </row>
    <row r="282" spans="1:14" ht="14.4" customHeight="1" x14ac:dyDescent="0.3">
      <c r="A282" s="630" t="s">
        <v>507</v>
      </c>
      <c r="B282" s="631" t="s">
        <v>509</v>
      </c>
      <c r="C282" s="632" t="s">
        <v>531</v>
      </c>
      <c r="D282" s="633" t="s">
        <v>532</v>
      </c>
      <c r="E282" s="632" t="s">
        <v>510</v>
      </c>
      <c r="F282" s="633" t="s">
        <v>511</v>
      </c>
      <c r="G282" s="632" t="s">
        <v>535</v>
      </c>
      <c r="H282" s="632" t="s">
        <v>1250</v>
      </c>
      <c r="I282" s="632" t="s">
        <v>1250</v>
      </c>
      <c r="J282" s="632" t="s">
        <v>1251</v>
      </c>
      <c r="K282" s="632" t="s">
        <v>1252</v>
      </c>
      <c r="L282" s="634">
        <v>560.04880291749441</v>
      </c>
      <c r="M282" s="634">
        <v>3</v>
      </c>
      <c r="N282" s="635">
        <v>1680.1464087524832</v>
      </c>
    </row>
    <row r="283" spans="1:14" ht="14.4" customHeight="1" x14ac:dyDescent="0.3">
      <c r="A283" s="630" t="s">
        <v>507</v>
      </c>
      <c r="B283" s="631" t="s">
        <v>509</v>
      </c>
      <c r="C283" s="632" t="s">
        <v>531</v>
      </c>
      <c r="D283" s="633" t="s">
        <v>532</v>
      </c>
      <c r="E283" s="632" t="s">
        <v>510</v>
      </c>
      <c r="F283" s="633" t="s">
        <v>511</v>
      </c>
      <c r="G283" s="632" t="s">
        <v>535</v>
      </c>
      <c r="H283" s="632" t="s">
        <v>741</v>
      </c>
      <c r="I283" s="632" t="s">
        <v>742</v>
      </c>
      <c r="J283" s="632" t="s">
        <v>743</v>
      </c>
      <c r="K283" s="632" t="s">
        <v>744</v>
      </c>
      <c r="L283" s="634">
        <v>153.77000000000001</v>
      </c>
      <c r="M283" s="634">
        <v>1</v>
      </c>
      <c r="N283" s="635">
        <v>153.77000000000001</v>
      </c>
    </row>
    <row r="284" spans="1:14" ht="14.4" customHeight="1" x14ac:dyDescent="0.3">
      <c r="A284" s="630" t="s">
        <v>507</v>
      </c>
      <c r="B284" s="631" t="s">
        <v>509</v>
      </c>
      <c r="C284" s="632" t="s">
        <v>531</v>
      </c>
      <c r="D284" s="633" t="s">
        <v>532</v>
      </c>
      <c r="E284" s="632" t="s">
        <v>510</v>
      </c>
      <c r="F284" s="633" t="s">
        <v>511</v>
      </c>
      <c r="G284" s="632" t="s">
        <v>535</v>
      </c>
      <c r="H284" s="632" t="s">
        <v>1253</v>
      </c>
      <c r="I284" s="632" t="s">
        <v>246</v>
      </c>
      <c r="J284" s="632" t="s">
        <v>1254</v>
      </c>
      <c r="K284" s="632"/>
      <c r="L284" s="634">
        <v>852.01</v>
      </c>
      <c r="M284" s="634">
        <v>2</v>
      </c>
      <c r="N284" s="635">
        <v>1704.02</v>
      </c>
    </row>
    <row r="285" spans="1:14" ht="14.4" customHeight="1" x14ac:dyDescent="0.3">
      <c r="A285" s="630" t="s">
        <v>507</v>
      </c>
      <c r="B285" s="631" t="s">
        <v>509</v>
      </c>
      <c r="C285" s="632" t="s">
        <v>531</v>
      </c>
      <c r="D285" s="633" t="s">
        <v>532</v>
      </c>
      <c r="E285" s="632" t="s">
        <v>510</v>
      </c>
      <c r="F285" s="633" t="s">
        <v>511</v>
      </c>
      <c r="G285" s="632" t="s">
        <v>535</v>
      </c>
      <c r="H285" s="632" t="s">
        <v>1255</v>
      </c>
      <c r="I285" s="632" t="s">
        <v>1256</v>
      </c>
      <c r="J285" s="632" t="s">
        <v>1257</v>
      </c>
      <c r="K285" s="632" t="s">
        <v>1258</v>
      </c>
      <c r="L285" s="634">
        <v>71.253818929361998</v>
      </c>
      <c r="M285" s="634">
        <v>30</v>
      </c>
      <c r="N285" s="635">
        <v>2137.6145678808598</v>
      </c>
    </row>
    <row r="286" spans="1:14" ht="14.4" customHeight="1" x14ac:dyDescent="0.3">
      <c r="A286" s="630" t="s">
        <v>507</v>
      </c>
      <c r="B286" s="631" t="s">
        <v>509</v>
      </c>
      <c r="C286" s="632" t="s">
        <v>531</v>
      </c>
      <c r="D286" s="633" t="s">
        <v>532</v>
      </c>
      <c r="E286" s="632" t="s">
        <v>510</v>
      </c>
      <c r="F286" s="633" t="s">
        <v>511</v>
      </c>
      <c r="G286" s="632" t="s">
        <v>535</v>
      </c>
      <c r="H286" s="632" t="s">
        <v>1259</v>
      </c>
      <c r="I286" s="632" t="s">
        <v>246</v>
      </c>
      <c r="J286" s="632" t="s">
        <v>1260</v>
      </c>
      <c r="K286" s="632" t="s">
        <v>1261</v>
      </c>
      <c r="L286" s="634">
        <v>13.900643731107676</v>
      </c>
      <c r="M286" s="634">
        <v>500</v>
      </c>
      <c r="N286" s="635">
        <v>6950.3218655538385</v>
      </c>
    </row>
    <row r="287" spans="1:14" ht="14.4" customHeight="1" x14ac:dyDescent="0.3">
      <c r="A287" s="630" t="s">
        <v>507</v>
      </c>
      <c r="B287" s="631" t="s">
        <v>509</v>
      </c>
      <c r="C287" s="632" t="s">
        <v>531</v>
      </c>
      <c r="D287" s="633" t="s">
        <v>532</v>
      </c>
      <c r="E287" s="632" t="s">
        <v>510</v>
      </c>
      <c r="F287" s="633" t="s">
        <v>511</v>
      </c>
      <c r="G287" s="632" t="s">
        <v>535</v>
      </c>
      <c r="H287" s="632" t="s">
        <v>1262</v>
      </c>
      <c r="I287" s="632" t="s">
        <v>246</v>
      </c>
      <c r="J287" s="632" t="s">
        <v>1263</v>
      </c>
      <c r="K287" s="632"/>
      <c r="L287" s="634">
        <v>615.89009404748867</v>
      </c>
      <c r="M287" s="634">
        <v>4</v>
      </c>
      <c r="N287" s="635">
        <v>2463.5603761899547</v>
      </c>
    </row>
    <row r="288" spans="1:14" ht="14.4" customHeight="1" x14ac:dyDescent="0.3">
      <c r="A288" s="630" t="s">
        <v>507</v>
      </c>
      <c r="B288" s="631" t="s">
        <v>509</v>
      </c>
      <c r="C288" s="632" t="s">
        <v>531</v>
      </c>
      <c r="D288" s="633" t="s">
        <v>532</v>
      </c>
      <c r="E288" s="632" t="s">
        <v>510</v>
      </c>
      <c r="F288" s="633" t="s">
        <v>511</v>
      </c>
      <c r="G288" s="632" t="s">
        <v>535</v>
      </c>
      <c r="H288" s="632" t="s">
        <v>1264</v>
      </c>
      <c r="I288" s="632" t="s">
        <v>246</v>
      </c>
      <c r="J288" s="632" t="s">
        <v>1265</v>
      </c>
      <c r="K288" s="632"/>
      <c r="L288" s="634">
        <v>49.735348067255302</v>
      </c>
      <c r="M288" s="634">
        <v>1</v>
      </c>
      <c r="N288" s="635">
        <v>49.735348067255302</v>
      </c>
    </row>
    <row r="289" spans="1:14" ht="14.4" customHeight="1" x14ac:dyDescent="0.3">
      <c r="A289" s="630" t="s">
        <v>507</v>
      </c>
      <c r="B289" s="631" t="s">
        <v>509</v>
      </c>
      <c r="C289" s="632" t="s">
        <v>531</v>
      </c>
      <c r="D289" s="633" t="s">
        <v>532</v>
      </c>
      <c r="E289" s="632" t="s">
        <v>510</v>
      </c>
      <c r="F289" s="633" t="s">
        <v>511</v>
      </c>
      <c r="G289" s="632" t="s">
        <v>535</v>
      </c>
      <c r="H289" s="632" t="s">
        <v>1266</v>
      </c>
      <c r="I289" s="632" t="s">
        <v>1267</v>
      </c>
      <c r="J289" s="632" t="s">
        <v>1268</v>
      </c>
      <c r="K289" s="632" t="s">
        <v>1269</v>
      </c>
      <c r="L289" s="634">
        <v>101.4973</v>
      </c>
      <c r="M289" s="634">
        <v>1</v>
      </c>
      <c r="N289" s="635">
        <v>101.4973</v>
      </c>
    </row>
    <row r="290" spans="1:14" ht="14.4" customHeight="1" x14ac:dyDescent="0.3">
      <c r="A290" s="630" t="s">
        <v>507</v>
      </c>
      <c r="B290" s="631" t="s">
        <v>509</v>
      </c>
      <c r="C290" s="632" t="s">
        <v>531</v>
      </c>
      <c r="D290" s="633" t="s">
        <v>532</v>
      </c>
      <c r="E290" s="632" t="s">
        <v>510</v>
      </c>
      <c r="F290" s="633" t="s">
        <v>511</v>
      </c>
      <c r="G290" s="632" t="s">
        <v>535</v>
      </c>
      <c r="H290" s="632" t="s">
        <v>1270</v>
      </c>
      <c r="I290" s="632" t="s">
        <v>1271</v>
      </c>
      <c r="J290" s="632" t="s">
        <v>1272</v>
      </c>
      <c r="K290" s="632" t="s">
        <v>1273</v>
      </c>
      <c r="L290" s="634">
        <v>109.98999999999997</v>
      </c>
      <c r="M290" s="634">
        <v>1</v>
      </c>
      <c r="N290" s="635">
        <v>109.98999999999997</v>
      </c>
    </row>
    <row r="291" spans="1:14" ht="14.4" customHeight="1" x14ac:dyDescent="0.3">
      <c r="A291" s="630" t="s">
        <v>507</v>
      </c>
      <c r="B291" s="631" t="s">
        <v>509</v>
      </c>
      <c r="C291" s="632" t="s">
        <v>531</v>
      </c>
      <c r="D291" s="633" t="s">
        <v>532</v>
      </c>
      <c r="E291" s="632" t="s">
        <v>510</v>
      </c>
      <c r="F291" s="633" t="s">
        <v>511</v>
      </c>
      <c r="G291" s="632" t="s">
        <v>535</v>
      </c>
      <c r="H291" s="632" t="s">
        <v>1274</v>
      </c>
      <c r="I291" s="632" t="s">
        <v>1275</v>
      </c>
      <c r="J291" s="632" t="s">
        <v>1276</v>
      </c>
      <c r="K291" s="632" t="s">
        <v>1277</v>
      </c>
      <c r="L291" s="634">
        <v>393.33</v>
      </c>
      <c r="M291" s="634">
        <v>1</v>
      </c>
      <c r="N291" s="635">
        <v>393.33</v>
      </c>
    </row>
    <row r="292" spans="1:14" ht="14.4" customHeight="1" x14ac:dyDescent="0.3">
      <c r="A292" s="630" t="s">
        <v>507</v>
      </c>
      <c r="B292" s="631" t="s">
        <v>509</v>
      </c>
      <c r="C292" s="632" t="s">
        <v>531</v>
      </c>
      <c r="D292" s="633" t="s">
        <v>532</v>
      </c>
      <c r="E292" s="632" t="s">
        <v>510</v>
      </c>
      <c r="F292" s="633" t="s">
        <v>511</v>
      </c>
      <c r="G292" s="632" t="s">
        <v>535</v>
      </c>
      <c r="H292" s="632" t="s">
        <v>1278</v>
      </c>
      <c r="I292" s="632" t="s">
        <v>246</v>
      </c>
      <c r="J292" s="632" t="s">
        <v>1279</v>
      </c>
      <c r="K292" s="632"/>
      <c r="L292" s="634">
        <v>116.46</v>
      </c>
      <c r="M292" s="634">
        <v>1</v>
      </c>
      <c r="N292" s="635">
        <v>116.46</v>
      </c>
    </row>
    <row r="293" spans="1:14" ht="14.4" customHeight="1" x14ac:dyDescent="0.3">
      <c r="A293" s="630" t="s">
        <v>507</v>
      </c>
      <c r="B293" s="631" t="s">
        <v>509</v>
      </c>
      <c r="C293" s="632" t="s">
        <v>531</v>
      </c>
      <c r="D293" s="633" t="s">
        <v>532</v>
      </c>
      <c r="E293" s="632" t="s">
        <v>510</v>
      </c>
      <c r="F293" s="633" t="s">
        <v>511</v>
      </c>
      <c r="G293" s="632" t="s">
        <v>535</v>
      </c>
      <c r="H293" s="632" t="s">
        <v>1280</v>
      </c>
      <c r="I293" s="632" t="s">
        <v>246</v>
      </c>
      <c r="J293" s="632" t="s">
        <v>1281</v>
      </c>
      <c r="K293" s="632" t="s">
        <v>1282</v>
      </c>
      <c r="L293" s="634">
        <v>109.8</v>
      </c>
      <c r="M293" s="634">
        <v>1</v>
      </c>
      <c r="N293" s="635">
        <v>109.8</v>
      </c>
    </row>
    <row r="294" spans="1:14" ht="14.4" customHeight="1" x14ac:dyDescent="0.3">
      <c r="A294" s="630" t="s">
        <v>507</v>
      </c>
      <c r="B294" s="631" t="s">
        <v>509</v>
      </c>
      <c r="C294" s="632" t="s">
        <v>531</v>
      </c>
      <c r="D294" s="633" t="s">
        <v>532</v>
      </c>
      <c r="E294" s="632" t="s">
        <v>510</v>
      </c>
      <c r="F294" s="633" t="s">
        <v>511</v>
      </c>
      <c r="G294" s="632" t="s">
        <v>535</v>
      </c>
      <c r="H294" s="632" t="s">
        <v>1283</v>
      </c>
      <c r="I294" s="632" t="s">
        <v>1284</v>
      </c>
      <c r="J294" s="632" t="s">
        <v>1285</v>
      </c>
      <c r="K294" s="632" t="s">
        <v>1286</v>
      </c>
      <c r="L294" s="634">
        <v>252.64</v>
      </c>
      <c r="M294" s="634">
        <v>1</v>
      </c>
      <c r="N294" s="635">
        <v>252.64</v>
      </c>
    </row>
    <row r="295" spans="1:14" ht="14.4" customHeight="1" x14ac:dyDescent="0.3">
      <c r="A295" s="630" t="s">
        <v>507</v>
      </c>
      <c r="B295" s="631" t="s">
        <v>509</v>
      </c>
      <c r="C295" s="632" t="s">
        <v>531</v>
      </c>
      <c r="D295" s="633" t="s">
        <v>532</v>
      </c>
      <c r="E295" s="632" t="s">
        <v>510</v>
      </c>
      <c r="F295" s="633" t="s">
        <v>511</v>
      </c>
      <c r="G295" s="632" t="s">
        <v>535</v>
      </c>
      <c r="H295" s="632" t="s">
        <v>1287</v>
      </c>
      <c r="I295" s="632" t="s">
        <v>246</v>
      </c>
      <c r="J295" s="632" t="s">
        <v>1288</v>
      </c>
      <c r="K295" s="632"/>
      <c r="L295" s="634">
        <v>270.33999999999997</v>
      </c>
      <c r="M295" s="634">
        <v>1</v>
      </c>
      <c r="N295" s="635">
        <v>270.33999999999997</v>
      </c>
    </row>
    <row r="296" spans="1:14" ht="14.4" customHeight="1" x14ac:dyDescent="0.3">
      <c r="A296" s="630" t="s">
        <v>507</v>
      </c>
      <c r="B296" s="631" t="s">
        <v>509</v>
      </c>
      <c r="C296" s="632" t="s">
        <v>531</v>
      </c>
      <c r="D296" s="633" t="s">
        <v>532</v>
      </c>
      <c r="E296" s="632" t="s">
        <v>510</v>
      </c>
      <c r="F296" s="633" t="s">
        <v>511</v>
      </c>
      <c r="G296" s="632" t="s">
        <v>535</v>
      </c>
      <c r="H296" s="632" t="s">
        <v>1289</v>
      </c>
      <c r="I296" s="632" t="s">
        <v>1289</v>
      </c>
      <c r="J296" s="632" t="s">
        <v>552</v>
      </c>
      <c r="K296" s="632" t="s">
        <v>1290</v>
      </c>
      <c r="L296" s="634">
        <v>60.259999999999991</v>
      </c>
      <c r="M296" s="634">
        <v>20</v>
      </c>
      <c r="N296" s="635">
        <v>1205.1999999999998</v>
      </c>
    </row>
    <row r="297" spans="1:14" ht="14.4" customHeight="1" x14ac:dyDescent="0.3">
      <c r="A297" s="630" t="s">
        <v>507</v>
      </c>
      <c r="B297" s="631" t="s">
        <v>509</v>
      </c>
      <c r="C297" s="632" t="s">
        <v>531</v>
      </c>
      <c r="D297" s="633" t="s">
        <v>532</v>
      </c>
      <c r="E297" s="632" t="s">
        <v>510</v>
      </c>
      <c r="F297" s="633" t="s">
        <v>511</v>
      </c>
      <c r="G297" s="632" t="s">
        <v>535</v>
      </c>
      <c r="H297" s="632" t="s">
        <v>1291</v>
      </c>
      <c r="I297" s="632" t="s">
        <v>246</v>
      </c>
      <c r="J297" s="632" t="s">
        <v>1292</v>
      </c>
      <c r="K297" s="632"/>
      <c r="L297" s="634">
        <v>147.49950971397899</v>
      </c>
      <c r="M297" s="634">
        <v>2</v>
      </c>
      <c r="N297" s="635">
        <v>294.99901942795799</v>
      </c>
    </row>
    <row r="298" spans="1:14" ht="14.4" customHeight="1" x14ac:dyDescent="0.3">
      <c r="A298" s="630" t="s">
        <v>507</v>
      </c>
      <c r="B298" s="631" t="s">
        <v>509</v>
      </c>
      <c r="C298" s="632" t="s">
        <v>531</v>
      </c>
      <c r="D298" s="633" t="s">
        <v>532</v>
      </c>
      <c r="E298" s="632" t="s">
        <v>510</v>
      </c>
      <c r="F298" s="633" t="s">
        <v>511</v>
      </c>
      <c r="G298" s="632" t="s">
        <v>535</v>
      </c>
      <c r="H298" s="632" t="s">
        <v>749</v>
      </c>
      <c r="I298" s="632" t="s">
        <v>246</v>
      </c>
      <c r="J298" s="632" t="s">
        <v>750</v>
      </c>
      <c r="K298" s="632"/>
      <c r="L298" s="634">
        <v>165.13452794163325</v>
      </c>
      <c r="M298" s="634">
        <v>4</v>
      </c>
      <c r="N298" s="635">
        <v>660.53811176653301</v>
      </c>
    </row>
    <row r="299" spans="1:14" ht="14.4" customHeight="1" x14ac:dyDescent="0.3">
      <c r="A299" s="630" t="s">
        <v>507</v>
      </c>
      <c r="B299" s="631" t="s">
        <v>509</v>
      </c>
      <c r="C299" s="632" t="s">
        <v>531</v>
      </c>
      <c r="D299" s="633" t="s">
        <v>532</v>
      </c>
      <c r="E299" s="632" t="s">
        <v>510</v>
      </c>
      <c r="F299" s="633" t="s">
        <v>511</v>
      </c>
      <c r="G299" s="632" t="s">
        <v>751</v>
      </c>
      <c r="H299" s="632" t="s">
        <v>972</v>
      </c>
      <c r="I299" s="632" t="s">
        <v>973</v>
      </c>
      <c r="J299" s="632" t="s">
        <v>773</v>
      </c>
      <c r="K299" s="632" t="s">
        <v>974</v>
      </c>
      <c r="L299" s="634">
        <v>124.23</v>
      </c>
      <c r="M299" s="634">
        <v>2</v>
      </c>
      <c r="N299" s="635">
        <v>248.46</v>
      </c>
    </row>
    <row r="300" spans="1:14" ht="14.4" customHeight="1" x14ac:dyDescent="0.3">
      <c r="A300" s="630" t="s">
        <v>507</v>
      </c>
      <c r="B300" s="631" t="s">
        <v>509</v>
      </c>
      <c r="C300" s="632" t="s">
        <v>531</v>
      </c>
      <c r="D300" s="633" t="s">
        <v>532</v>
      </c>
      <c r="E300" s="632" t="s">
        <v>510</v>
      </c>
      <c r="F300" s="633" t="s">
        <v>511</v>
      </c>
      <c r="G300" s="632" t="s">
        <v>751</v>
      </c>
      <c r="H300" s="632" t="s">
        <v>752</v>
      </c>
      <c r="I300" s="632" t="s">
        <v>753</v>
      </c>
      <c r="J300" s="632" t="s">
        <v>754</v>
      </c>
      <c r="K300" s="632" t="s">
        <v>755</v>
      </c>
      <c r="L300" s="634">
        <v>61.470000000000006</v>
      </c>
      <c r="M300" s="634">
        <v>2</v>
      </c>
      <c r="N300" s="635">
        <v>122.94000000000001</v>
      </c>
    </row>
    <row r="301" spans="1:14" ht="14.4" customHeight="1" x14ac:dyDescent="0.3">
      <c r="A301" s="630" t="s">
        <v>507</v>
      </c>
      <c r="B301" s="631" t="s">
        <v>509</v>
      </c>
      <c r="C301" s="632" t="s">
        <v>531</v>
      </c>
      <c r="D301" s="633" t="s">
        <v>532</v>
      </c>
      <c r="E301" s="632" t="s">
        <v>510</v>
      </c>
      <c r="F301" s="633" t="s">
        <v>511</v>
      </c>
      <c r="G301" s="632" t="s">
        <v>751</v>
      </c>
      <c r="H301" s="632" t="s">
        <v>756</v>
      </c>
      <c r="I301" s="632" t="s">
        <v>757</v>
      </c>
      <c r="J301" s="632" t="s">
        <v>758</v>
      </c>
      <c r="K301" s="632" t="s">
        <v>759</v>
      </c>
      <c r="L301" s="634">
        <v>3450</v>
      </c>
      <c r="M301" s="634">
        <v>2</v>
      </c>
      <c r="N301" s="635">
        <v>6900</v>
      </c>
    </row>
    <row r="302" spans="1:14" ht="14.4" customHeight="1" x14ac:dyDescent="0.3">
      <c r="A302" s="630" t="s">
        <v>507</v>
      </c>
      <c r="B302" s="631" t="s">
        <v>509</v>
      </c>
      <c r="C302" s="632" t="s">
        <v>531</v>
      </c>
      <c r="D302" s="633" t="s">
        <v>532</v>
      </c>
      <c r="E302" s="632" t="s">
        <v>510</v>
      </c>
      <c r="F302" s="633" t="s">
        <v>511</v>
      </c>
      <c r="G302" s="632" t="s">
        <v>751</v>
      </c>
      <c r="H302" s="632" t="s">
        <v>993</v>
      </c>
      <c r="I302" s="632" t="s">
        <v>994</v>
      </c>
      <c r="J302" s="632" t="s">
        <v>995</v>
      </c>
      <c r="K302" s="632" t="s">
        <v>996</v>
      </c>
      <c r="L302" s="634">
        <v>102.54982233564103</v>
      </c>
      <c r="M302" s="634">
        <v>3</v>
      </c>
      <c r="N302" s="635">
        <v>307.64946700692309</v>
      </c>
    </row>
    <row r="303" spans="1:14" ht="14.4" customHeight="1" x14ac:dyDescent="0.3">
      <c r="A303" s="630" t="s">
        <v>507</v>
      </c>
      <c r="B303" s="631" t="s">
        <v>509</v>
      </c>
      <c r="C303" s="632" t="s">
        <v>531</v>
      </c>
      <c r="D303" s="633" t="s">
        <v>532</v>
      </c>
      <c r="E303" s="632" t="s">
        <v>510</v>
      </c>
      <c r="F303" s="633" t="s">
        <v>511</v>
      </c>
      <c r="G303" s="632" t="s">
        <v>751</v>
      </c>
      <c r="H303" s="632" t="s">
        <v>783</v>
      </c>
      <c r="I303" s="632" t="s">
        <v>784</v>
      </c>
      <c r="J303" s="632" t="s">
        <v>785</v>
      </c>
      <c r="K303" s="632" t="s">
        <v>786</v>
      </c>
      <c r="L303" s="634">
        <v>70.956608405557105</v>
      </c>
      <c r="M303" s="634">
        <v>270</v>
      </c>
      <c r="N303" s="635">
        <v>19158.284269500418</v>
      </c>
    </row>
    <row r="304" spans="1:14" ht="14.4" customHeight="1" x14ac:dyDescent="0.3">
      <c r="A304" s="630" t="s">
        <v>507</v>
      </c>
      <c r="B304" s="631" t="s">
        <v>509</v>
      </c>
      <c r="C304" s="632" t="s">
        <v>531</v>
      </c>
      <c r="D304" s="633" t="s">
        <v>532</v>
      </c>
      <c r="E304" s="632" t="s">
        <v>510</v>
      </c>
      <c r="F304" s="633" t="s">
        <v>511</v>
      </c>
      <c r="G304" s="632" t="s">
        <v>751</v>
      </c>
      <c r="H304" s="632" t="s">
        <v>1293</v>
      </c>
      <c r="I304" s="632" t="s">
        <v>1294</v>
      </c>
      <c r="J304" s="632" t="s">
        <v>1295</v>
      </c>
      <c r="K304" s="632" t="s">
        <v>1296</v>
      </c>
      <c r="L304" s="634">
        <v>266.34990861488626</v>
      </c>
      <c r="M304" s="634">
        <v>6</v>
      </c>
      <c r="N304" s="635">
        <v>1598.0994516893177</v>
      </c>
    </row>
    <row r="305" spans="1:14" ht="14.4" customHeight="1" x14ac:dyDescent="0.3">
      <c r="A305" s="630" t="s">
        <v>507</v>
      </c>
      <c r="B305" s="631" t="s">
        <v>509</v>
      </c>
      <c r="C305" s="632" t="s">
        <v>531</v>
      </c>
      <c r="D305" s="633" t="s">
        <v>532</v>
      </c>
      <c r="E305" s="632" t="s">
        <v>510</v>
      </c>
      <c r="F305" s="633" t="s">
        <v>511</v>
      </c>
      <c r="G305" s="632" t="s">
        <v>751</v>
      </c>
      <c r="H305" s="632" t="s">
        <v>1297</v>
      </c>
      <c r="I305" s="632" t="s">
        <v>1298</v>
      </c>
      <c r="J305" s="632" t="s">
        <v>1295</v>
      </c>
      <c r="K305" s="632" t="s">
        <v>1299</v>
      </c>
      <c r="L305" s="634">
        <v>890.09987559421018</v>
      </c>
      <c r="M305" s="634">
        <v>4</v>
      </c>
      <c r="N305" s="635">
        <v>3560.3995023768407</v>
      </c>
    </row>
    <row r="306" spans="1:14" ht="14.4" customHeight="1" x14ac:dyDescent="0.3">
      <c r="A306" s="630" t="s">
        <v>507</v>
      </c>
      <c r="B306" s="631" t="s">
        <v>509</v>
      </c>
      <c r="C306" s="632" t="s">
        <v>531</v>
      </c>
      <c r="D306" s="633" t="s">
        <v>532</v>
      </c>
      <c r="E306" s="632" t="s">
        <v>510</v>
      </c>
      <c r="F306" s="633" t="s">
        <v>511</v>
      </c>
      <c r="G306" s="632" t="s">
        <v>751</v>
      </c>
      <c r="H306" s="632" t="s">
        <v>1300</v>
      </c>
      <c r="I306" s="632" t="s">
        <v>1301</v>
      </c>
      <c r="J306" s="632" t="s">
        <v>1302</v>
      </c>
      <c r="K306" s="632" t="s">
        <v>1303</v>
      </c>
      <c r="L306" s="634">
        <v>147.42972906985804</v>
      </c>
      <c r="M306" s="634">
        <v>55</v>
      </c>
      <c r="N306" s="635">
        <v>8108.6350988421927</v>
      </c>
    </row>
    <row r="307" spans="1:14" ht="14.4" customHeight="1" x14ac:dyDescent="0.3">
      <c r="A307" s="630" t="s">
        <v>507</v>
      </c>
      <c r="B307" s="631" t="s">
        <v>509</v>
      </c>
      <c r="C307" s="632" t="s">
        <v>531</v>
      </c>
      <c r="D307" s="633" t="s">
        <v>532</v>
      </c>
      <c r="E307" s="632" t="s">
        <v>510</v>
      </c>
      <c r="F307" s="633" t="s">
        <v>511</v>
      </c>
      <c r="G307" s="632" t="s">
        <v>751</v>
      </c>
      <c r="H307" s="632" t="s">
        <v>787</v>
      </c>
      <c r="I307" s="632" t="s">
        <v>788</v>
      </c>
      <c r="J307" s="632" t="s">
        <v>789</v>
      </c>
      <c r="K307" s="632" t="s">
        <v>790</v>
      </c>
      <c r="L307" s="634">
        <v>356.49974283929896</v>
      </c>
      <c r="M307" s="634">
        <v>4</v>
      </c>
      <c r="N307" s="635">
        <v>1425.9989713571958</v>
      </c>
    </row>
    <row r="308" spans="1:14" ht="14.4" customHeight="1" x14ac:dyDescent="0.3">
      <c r="A308" s="630" t="s">
        <v>507</v>
      </c>
      <c r="B308" s="631" t="s">
        <v>509</v>
      </c>
      <c r="C308" s="632" t="s">
        <v>531</v>
      </c>
      <c r="D308" s="633" t="s">
        <v>532</v>
      </c>
      <c r="E308" s="632" t="s">
        <v>510</v>
      </c>
      <c r="F308" s="633" t="s">
        <v>511</v>
      </c>
      <c r="G308" s="632" t="s">
        <v>751</v>
      </c>
      <c r="H308" s="632" t="s">
        <v>791</v>
      </c>
      <c r="I308" s="632" t="s">
        <v>792</v>
      </c>
      <c r="J308" s="632" t="s">
        <v>789</v>
      </c>
      <c r="K308" s="632" t="s">
        <v>793</v>
      </c>
      <c r="L308" s="634">
        <v>414.00000000000011</v>
      </c>
      <c r="M308" s="634">
        <v>2</v>
      </c>
      <c r="N308" s="635">
        <v>828.00000000000023</v>
      </c>
    </row>
    <row r="309" spans="1:14" ht="14.4" customHeight="1" x14ac:dyDescent="0.3">
      <c r="A309" s="630" t="s">
        <v>507</v>
      </c>
      <c r="B309" s="631" t="s">
        <v>509</v>
      </c>
      <c r="C309" s="632" t="s">
        <v>531</v>
      </c>
      <c r="D309" s="633" t="s">
        <v>532</v>
      </c>
      <c r="E309" s="632" t="s">
        <v>510</v>
      </c>
      <c r="F309" s="633" t="s">
        <v>511</v>
      </c>
      <c r="G309" s="632" t="s">
        <v>751</v>
      </c>
      <c r="H309" s="632" t="s">
        <v>1304</v>
      </c>
      <c r="I309" s="632" t="s">
        <v>1305</v>
      </c>
      <c r="J309" s="632" t="s">
        <v>1306</v>
      </c>
      <c r="K309" s="632" t="s">
        <v>1307</v>
      </c>
      <c r="L309" s="634">
        <v>380.51999999999992</v>
      </c>
      <c r="M309" s="634">
        <v>2</v>
      </c>
      <c r="N309" s="635">
        <v>761.03999999999985</v>
      </c>
    </row>
    <row r="310" spans="1:14" ht="14.4" customHeight="1" x14ac:dyDescent="0.3">
      <c r="A310" s="630" t="s">
        <v>507</v>
      </c>
      <c r="B310" s="631" t="s">
        <v>509</v>
      </c>
      <c r="C310" s="632" t="s">
        <v>531</v>
      </c>
      <c r="D310" s="633" t="s">
        <v>532</v>
      </c>
      <c r="E310" s="632" t="s">
        <v>510</v>
      </c>
      <c r="F310" s="633" t="s">
        <v>511</v>
      </c>
      <c r="G310" s="632" t="s">
        <v>751</v>
      </c>
      <c r="H310" s="632" t="s">
        <v>1308</v>
      </c>
      <c r="I310" s="632" t="s">
        <v>1309</v>
      </c>
      <c r="J310" s="632" t="s">
        <v>1310</v>
      </c>
      <c r="K310" s="632" t="s">
        <v>1311</v>
      </c>
      <c r="L310" s="634">
        <v>371.51000000000005</v>
      </c>
      <c r="M310" s="634">
        <v>10</v>
      </c>
      <c r="N310" s="635">
        <v>3715.1000000000004</v>
      </c>
    </row>
    <row r="311" spans="1:14" ht="14.4" customHeight="1" x14ac:dyDescent="0.3">
      <c r="A311" s="630" t="s">
        <v>507</v>
      </c>
      <c r="B311" s="631" t="s">
        <v>509</v>
      </c>
      <c r="C311" s="632" t="s">
        <v>531</v>
      </c>
      <c r="D311" s="633" t="s">
        <v>532</v>
      </c>
      <c r="E311" s="632" t="s">
        <v>510</v>
      </c>
      <c r="F311" s="633" t="s">
        <v>511</v>
      </c>
      <c r="G311" s="632" t="s">
        <v>751</v>
      </c>
      <c r="H311" s="632" t="s">
        <v>1312</v>
      </c>
      <c r="I311" s="632" t="s">
        <v>1313</v>
      </c>
      <c r="J311" s="632" t="s">
        <v>1314</v>
      </c>
      <c r="K311" s="632" t="s">
        <v>1315</v>
      </c>
      <c r="L311" s="634">
        <v>722.87894299296681</v>
      </c>
      <c r="M311" s="634">
        <v>26</v>
      </c>
      <c r="N311" s="635">
        <v>18794.852517817137</v>
      </c>
    </row>
    <row r="312" spans="1:14" ht="14.4" customHeight="1" x14ac:dyDescent="0.3">
      <c r="A312" s="630" t="s">
        <v>507</v>
      </c>
      <c r="B312" s="631" t="s">
        <v>509</v>
      </c>
      <c r="C312" s="632" t="s">
        <v>531</v>
      </c>
      <c r="D312" s="633" t="s">
        <v>532</v>
      </c>
      <c r="E312" s="632" t="s">
        <v>510</v>
      </c>
      <c r="F312" s="633" t="s">
        <v>511</v>
      </c>
      <c r="G312" s="632" t="s">
        <v>751</v>
      </c>
      <c r="H312" s="632" t="s">
        <v>1316</v>
      </c>
      <c r="I312" s="632" t="s">
        <v>1317</v>
      </c>
      <c r="J312" s="632" t="s">
        <v>1318</v>
      </c>
      <c r="K312" s="632" t="s">
        <v>1319</v>
      </c>
      <c r="L312" s="634">
        <v>1004.500978592664</v>
      </c>
      <c r="M312" s="634">
        <v>32</v>
      </c>
      <c r="N312" s="635">
        <v>32144.031314965247</v>
      </c>
    </row>
    <row r="313" spans="1:14" ht="14.4" customHeight="1" x14ac:dyDescent="0.3">
      <c r="A313" s="630" t="s">
        <v>507</v>
      </c>
      <c r="B313" s="631" t="s">
        <v>509</v>
      </c>
      <c r="C313" s="632" t="s">
        <v>531</v>
      </c>
      <c r="D313" s="633" t="s">
        <v>532</v>
      </c>
      <c r="E313" s="632" t="s">
        <v>512</v>
      </c>
      <c r="F313" s="633" t="s">
        <v>513</v>
      </c>
      <c r="G313" s="632" t="s">
        <v>535</v>
      </c>
      <c r="H313" s="632" t="s">
        <v>1320</v>
      </c>
      <c r="I313" s="632" t="s">
        <v>1321</v>
      </c>
      <c r="J313" s="632" t="s">
        <v>1322</v>
      </c>
      <c r="K313" s="632" t="s">
        <v>1323</v>
      </c>
      <c r="L313" s="634">
        <v>2416</v>
      </c>
      <c r="M313" s="634">
        <v>1</v>
      </c>
      <c r="N313" s="635">
        <v>2416</v>
      </c>
    </row>
    <row r="314" spans="1:14" ht="14.4" customHeight="1" x14ac:dyDescent="0.3">
      <c r="A314" s="630" t="s">
        <v>507</v>
      </c>
      <c r="B314" s="631" t="s">
        <v>509</v>
      </c>
      <c r="C314" s="632" t="s">
        <v>531</v>
      </c>
      <c r="D314" s="633" t="s">
        <v>532</v>
      </c>
      <c r="E314" s="632" t="s">
        <v>512</v>
      </c>
      <c r="F314" s="633" t="s">
        <v>513</v>
      </c>
      <c r="G314" s="632" t="s">
        <v>535</v>
      </c>
      <c r="H314" s="632" t="s">
        <v>1324</v>
      </c>
      <c r="I314" s="632" t="s">
        <v>1325</v>
      </c>
      <c r="J314" s="632" t="s">
        <v>1326</v>
      </c>
      <c r="K314" s="632" t="s">
        <v>1327</v>
      </c>
      <c r="L314" s="634">
        <v>4367.7</v>
      </c>
      <c r="M314" s="634">
        <v>3</v>
      </c>
      <c r="N314" s="635">
        <v>13103.099999999999</v>
      </c>
    </row>
    <row r="315" spans="1:14" ht="14.4" customHeight="1" x14ac:dyDescent="0.3">
      <c r="A315" s="630" t="s">
        <v>507</v>
      </c>
      <c r="B315" s="631" t="s">
        <v>509</v>
      </c>
      <c r="C315" s="632" t="s">
        <v>531</v>
      </c>
      <c r="D315" s="633" t="s">
        <v>532</v>
      </c>
      <c r="E315" s="632" t="s">
        <v>512</v>
      </c>
      <c r="F315" s="633" t="s">
        <v>513</v>
      </c>
      <c r="G315" s="632" t="s">
        <v>535</v>
      </c>
      <c r="H315" s="632" t="s">
        <v>1328</v>
      </c>
      <c r="I315" s="632" t="s">
        <v>246</v>
      </c>
      <c r="J315" s="632" t="s">
        <v>1329</v>
      </c>
      <c r="K315" s="632"/>
      <c r="L315" s="634">
        <v>44.84</v>
      </c>
      <c r="M315" s="634">
        <v>3</v>
      </c>
      <c r="N315" s="635">
        <v>134.52000000000001</v>
      </c>
    </row>
    <row r="316" spans="1:14" ht="14.4" customHeight="1" x14ac:dyDescent="0.3">
      <c r="A316" s="630" t="s">
        <v>507</v>
      </c>
      <c r="B316" s="631" t="s">
        <v>509</v>
      </c>
      <c r="C316" s="632" t="s">
        <v>531</v>
      </c>
      <c r="D316" s="633" t="s">
        <v>532</v>
      </c>
      <c r="E316" s="632" t="s">
        <v>512</v>
      </c>
      <c r="F316" s="633" t="s">
        <v>513</v>
      </c>
      <c r="G316" s="632" t="s">
        <v>751</v>
      </c>
      <c r="H316" s="632" t="s">
        <v>1330</v>
      </c>
      <c r="I316" s="632" t="s">
        <v>1331</v>
      </c>
      <c r="J316" s="632" t="s">
        <v>1332</v>
      </c>
      <c r="K316" s="632" t="s">
        <v>1333</v>
      </c>
      <c r="L316" s="634">
        <v>54.11999999999999</v>
      </c>
      <c r="M316" s="634">
        <v>4</v>
      </c>
      <c r="N316" s="635">
        <v>216.47999999999996</v>
      </c>
    </row>
    <row r="317" spans="1:14" ht="14.4" customHeight="1" x14ac:dyDescent="0.3">
      <c r="A317" s="630" t="s">
        <v>507</v>
      </c>
      <c r="B317" s="631" t="s">
        <v>509</v>
      </c>
      <c r="C317" s="632" t="s">
        <v>531</v>
      </c>
      <c r="D317" s="633" t="s">
        <v>532</v>
      </c>
      <c r="E317" s="632" t="s">
        <v>512</v>
      </c>
      <c r="F317" s="633" t="s">
        <v>513</v>
      </c>
      <c r="G317" s="632" t="s">
        <v>751</v>
      </c>
      <c r="H317" s="632" t="s">
        <v>1334</v>
      </c>
      <c r="I317" s="632" t="s">
        <v>1335</v>
      </c>
      <c r="J317" s="632" t="s">
        <v>1336</v>
      </c>
      <c r="K317" s="632" t="s">
        <v>1337</v>
      </c>
      <c r="L317" s="634">
        <v>207</v>
      </c>
      <c r="M317" s="634">
        <v>40</v>
      </c>
      <c r="N317" s="635">
        <v>8280</v>
      </c>
    </row>
    <row r="318" spans="1:14" ht="14.4" customHeight="1" x14ac:dyDescent="0.3">
      <c r="A318" s="630" t="s">
        <v>507</v>
      </c>
      <c r="B318" s="631" t="s">
        <v>509</v>
      </c>
      <c r="C318" s="632" t="s">
        <v>531</v>
      </c>
      <c r="D318" s="633" t="s">
        <v>532</v>
      </c>
      <c r="E318" s="632" t="s">
        <v>512</v>
      </c>
      <c r="F318" s="633" t="s">
        <v>513</v>
      </c>
      <c r="G318" s="632" t="s">
        <v>751</v>
      </c>
      <c r="H318" s="632" t="s">
        <v>1338</v>
      </c>
      <c r="I318" s="632" t="s">
        <v>1339</v>
      </c>
      <c r="J318" s="632" t="s">
        <v>1340</v>
      </c>
      <c r="K318" s="632" t="s">
        <v>1341</v>
      </c>
      <c r="L318" s="634">
        <v>217.49993920175422</v>
      </c>
      <c r="M318" s="634">
        <v>16</v>
      </c>
      <c r="N318" s="635">
        <v>3479.9990272280675</v>
      </c>
    </row>
    <row r="319" spans="1:14" ht="14.4" customHeight="1" x14ac:dyDescent="0.3">
      <c r="A319" s="630" t="s">
        <v>507</v>
      </c>
      <c r="B319" s="631" t="s">
        <v>509</v>
      </c>
      <c r="C319" s="632" t="s">
        <v>531</v>
      </c>
      <c r="D319" s="633" t="s">
        <v>532</v>
      </c>
      <c r="E319" s="632" t="s">
        <v>512</v>
      </c>
      <c r="F319" s="633" t="s">
        <v>513</v>
      </c>
      <c r="G319" s="632" t="s">
        <v>751</v>
      </c>
      <c r="H319" s="632" t="s">
        <v>1342</v>
      </c>
      <c r="I319" s="632" t="s">
        <v>1342</v>
      </c>
      <c r="J319" s="632" t="s">
        <v>1343</v>
      </c>
      <c r="K319" s="632" t="s">
        <v>1344</v>
      </c>
      <c r="L319" s="634">
        <v>148.07</v>
      </c>
      <c r="M319" s="634">
        <v>2</v>
      </c>
      <c r="N319" s="635">
        <v>296.14</v>
      </c>
    </row>
    <row r="320" spans="1:14" ht="14.4" customHeight="1" x14ac:dyDescent="0.3">
      <c r="A320" s="630" t="s">
        <v>507</v>
      </c>
      <c r="B320" s="631" t="s">
        <v>509</v>
      </c>
      <c r="C320" s="632" t="s">
        <v>531</v>
      </c>
      <c r="D320" s="633" t="s">
        <v>532</v>
      </c>
      <c r="E320" s="632" t="s">
        <v>512</v>
      </c>
      <c r="F320" s="633" t="s">
        <v>513</v>
      </c>
      <c r="G320" s="632" t="s">
        <v>751</v>
      </c>
      <c r="H320" s="632" t="s">
        <v>1345</v>
      </c>
      <c r="I320" s="632" t="s">
        <v>1346</v>
      </c>
      <c r="J320" s="632" t="s">
        <v>1347</v>
      </c>
      <c r="K320" s="632" t="s">
        <v>1348</v>
      </c>
      <c r="L320" s="634">
        <v>148.06999999999994</v>
      </c>
      <c r="M320" s="634">
        <v>1</v>
      </c>
      <c r="N320" s="635">
        <v>148.06999999999994</v>
      </c>
    </row>
    <row r="321" spans="1:14" ht="14.4" customHeight="1" x14ac:dyDescent="0.3">
      <c r="A321" s="630" t="s">
        <v>507</v>
      </c>
      <c r="B321" s="631" t="s">
        <v>509</v>
      </c>
      <c r="C321" s="632" t="s">
        <v>531</v>
      </c>
      <c r="D321" s="633" t="s">
        <v>532</v>
      </c>
      <c r="E321" s="632" t="s">
        <v>512</v>
      </c>
      <c r="F321" s="633" t="s">
        <v>513</v>
      </c>
      <c r="G321" s="632" t="s">
        <v>751</v>
      </c>
      <c r="H321" s="632" t="s">
        <v>1349</v>
      </c>
      <c r="I321" s="632" t="s">
        <v>1350</v>
      </c>
      <c r="J321" s="632" t="s">
        <v>1351</v>
      </c>
      <c r="K321" s="632" t="s">
        <v>1333</v>
      </c>
      <c r="L321" s="634">
        <v>49.249999999999993</v>
      </c>
      <c r="M321" s="634">
        <v>3</v>
      </c>
      <c r="N321" s="635">
        <v>147.74999999999997</v>
      </c>
    </row>
    <row r="322" spans="1:14" ht="14.4" customHeight="1" x14ac:dyDescent="0.3">
      <c r="A322" s="630" t="s">
        <v>507</v>
      </c>
      <c r="B322" s="631" t="s">
        <v>509</v>
      </c>
      <c r="C322" s="632" t="s">
        <v>531</v>
      </c>
      <c r="D322" s="633" t="s">
        <v>532</v>
      </c>
      <c r="E322" s="632" t="s">
        <v>512</v>
      </c>
      <c r="F322" s="633" t="s">
        <v>513</v>
      </c>
      <c r="G322" s="632" t="s">
        <v>751</v>
      </c>
      <c r="H322" s="632" t="s">
        <v>1352</v>
      </c>
      <c r="I322" s="632" t="s">
        <v>1353</v>
      </c>
      <c r="J322" s="632" t="s">
        <v>1354</v>
      </c>
      <c r="K322" s="632" t="s">
        <v>1344</v>
      </c>
      <c r="L322" s="634">
        <v>148.06999999999994</v>
      </c>
      <c r="M322" s="634">
        <v>1</v>
      </c>
      <c r="N322" s="635">
        <v>148.06999999999994</v>
      </c>
    </row>
    <row r="323" spans="1:14" ht="14.4" customHeight="1" x14ac:dyDescent="0.3">
      <c r="A323" s="630" t="s">
        <v>507</v>
      </c>
      <c r="B323" s="631" t="s">
        <v>509</v>
      </c>
      <c r="C323" s="632" t="s">
        <v>531</v>
      </c>
      <c r="D323" s="633" t="s">
        <v>532</v>
      </c>
      <c r="E323" s="632" t="s">
        <v>518</v>
      </c>
      <c r="F323" s="633" t="s">
        <v>519</v>
      </c>
      <c r="G323" s="632" t="s">
        <v>535</v>
      </c>
      <c r="H323" s="632" t="s">
        <v>1355</v>
      </c>
      <c r="I323" s="632" t="s">
        <v>1356</v>
      </c>
      <c r="J323" s="632" t="s">
        <v>1357</v>
      </c>
      <c r="K323" s="632" t="s">
        <v>1258</v>
      </c>
      <c r="L323" s="634">
        <v>35.26</v>
      </c>
      <c r="M323" s="634">
        <v>6</v>
      </c>
      <c r="N323" s="635">
        <v>211.56</v>
      </c>
    </row>
    <row r="324" spans="1:14" ht="14.4" customHeight="1" x14ac:dyDescent="0.3">
      <c r="A324" s="630" t="s">
        <v>507</v>
      </c>
      <c r="B324" s="631" t="s">
        <v>509</v>
      </c>
      <c r="C324" s="632" t="s">
        <v>531</v>
      </c>
      <c r="D324" s="633" t="s">
        <v>532</v>
      </c>
      <c r="E324" s="632" t="s">
        <v>518</v>
      </c>
      <c r="F324" s="633" t="s">
        <v>519</v>
      </c>
      <c r="G324" s="632" t="s">
        <v>535</v>
      </c>
      <c r="H324" s="632" t="s">
        <v>794</v>
      </c>
      <c r="I324" s="632" t="s">
        <v>795</v>
      </c>
      <c r="J324" s="632" t="s">
        <v>796</v>
      </c>
      <c r="K324" s="632" t="s">
        <v>797</v>
      </c>
      <c r="L324" s="634">
        <v>39.390023212889801</v>
      </c>
      <c r="M324" s="634">
        <v>4</v>
      </c>
      <c r="N324" s="635">
        <v>157.5600928515592</v>
      </c>
    </row>
    <row r="325" spans="1:14" ht="14.4" customHeight="1" x14ac:dyDescent="0.3">
      <c r="A325" s="630" t="s">
        <v>507</v>
      </c>
      <c r="B325" s="631" t="s">
        <v>509</v>
      </c>
      <c r="C325" s="632" t="s">
        <v>531</v>
      </c>
      <c r="D325" s="633" t="s">
        <v>532</v>
      </c>
      <c r="E325" s="632" t="s">
        <v>518</v>
      </c>
      <c r="F325" s="633" t="s">
        <v>519</v>
      </c>
      <c r="G325" s="632" t="s">
        <v>535</v>
      </c>
      <c r="H325" s="632" t="s">
        <v>798</v>
      </c>
      <c r="I325" s="632" t="s">
        <v>799</v>
      </c>
      <c r="J325" s="632" t="s">
        <v>800</v>
      </c>
      <c r="K325" s="632" t="s">
        <v>801</v>
      </c>
      <c r="L325" s="634">
        <v>33.339999999999996</v>
      </c>
      <c r="M325" s="634">
        <v>1</v>
      </c>
      <c r="N325" s="635">
        <v>33.339999999999996</v>
      </c>
    </row>
    <row r="326" spans="1:14" ht="14.4" customHeight="1" x14ac:dyDescent="0.3">
      <c r="A326" s="630" t="s">
        <v>507</v>
      </c>
      <c r="B326" s="631" t="s">
        <v>509</v>
      </c>
      <c r="C326" s="632" t="s">
        <v>531</v>
      </c>
      <c r="D326" s="633" t="s">
        <v>532</v>
      </c>
      <c r="E326" s="632" t="s">
        <v>518</v>
      </c>
      <c r="F326" s="633" t="s">
        <v>519</v>
      </c>
      <c r="G326" s="632" t="s">
        <v>535</v>
      </c>
      <c r="H326" s="632" t="s">
        <v>802</v>
      </c>
      <c r="I326" s="632" t="s">
        <v>803</v>
      </c>
      <c r="J326" s="632" t="s">
        <v>804</v>
      </c>
      <c r="K326" s="632" t="s">
        <v>805</v>
      </c>
      <c r="L326" s="634">
        <v>428.73100566939934</v>
      </c>
      <c r="M326" s="634">
        <v>3</v>
      </c>
      <c r="N326" s="635">
        <v>1286.193017008198</v>
      </c>
    </row>
    <row r="327" spans="1:14" ht="14.4" customHeight="1" x14ac:dyDescent="0.3">
      <c r="A327" s="630" t="s">
        <v>507</v>
      </c>
      <c r="B327" s="631" t="s">
        <v>509</v>
      </c>
      <c r="C327" s="632" t="s">
        <v>531</v>
      </c>
      <c r="D327" s="633" t="s">
        <v>532</v>
      </c>
      <c r="E327" s="632" t="s">
        <v>518</v>
      </c>
      <c r="F327" s="633" t="s">
        <v>519</v>
      </c>
      <c r="G327" s="632" t="s">
        <v>535</v>
      </c>
      <c r="H327" s="632" t="s">
        <v>1358</v>
      </c>
      <c r="I327" s="632" t="s">
        <v>1359</v>
      </c>
      <c r="J327" s="632" t="s">
        <v>1360</v>
      </c>
      <c r="K327" s="632" t="s">
        <v>1361</v>
      </c>
      <c r="L327" s="634">
        <v>2899.2100000000009</v>
      </c>
      <c r="M327" s="634">
        <v>2</v>
      </c>
      <c r="N327" s="635">
        <v>5798.4200000000019</v>
      </c>
    </row>
    <row r="328" spans="1:14" ht="14.4" customHeight="1" x14ac:dyDescent="0.3">
      <c r="A328" s="630" t="s">
        <v>507</v>
      </c>
      <c r="B328" s="631" t="s">
        <v>509</v>
      </c>
      <c r="C328" s="632" t="s">
        <v>531</v>
      </c>
      <c r="D328" s="633" t="s">
        <v>532</v>
      </c>
      <c r="E328" s="632" t="s">
        <v>518</v>
      </c>
      <c r="F328" s="633" t="s">
        <v>519</v>
      </c>
      <c r="G328" s="632" t="s">
        <v>535</v>
      </c>
      <c r="H328" s="632" t="s">
        <v>806</v>
      </c>
      <c r="I328" s="632" t="s">
        <v>807</v>
      </c>
      <c r="J328" s="632" t="s">
        <v>808</v>
      </c>
      <c r="K328" s="632" t="s">
        <v>809</v>
      </c>
      <c r="L328" s="634">
        <v>605.26800769953888</v>
      </c>
      <c r="M328" s="634">
        <v>0.8</v>
      </c>
      <c r="N328" s="635">
        <v>484.21440615963115</v>
      </c>
    </row>
    <row r="329" spans="1:14" ht="14.4" customHeight="1" x14ac:dyDescent="0.3">
      <c r="A329" s="630" t="s">
        <v>507</v>
      </c>
      <c r="B329" s="631" t="s">
        <v>509</v>
      </c>
      <c r="C329" s="632" t="s">
        <v>531</v>
      </c>
      <c r="D329" s="633" t="s">
        <v>532</v>
      </c>
      <c r="E329" s="632" t="s">
        <v>518</v>
      </c>
      <c r="F329" s="633" t="s">
        <v>519</v>
      </c>
      <c r="G329" s="632" t="s">
        <v>535</v>
      </c>
      <c r="H329" s="632" t="s">
        <v>1362</v>
      </c>
      <c r="I329" s="632" t="s">
        <v>1362</v>
      </c>
      <c r="J329" s="632" t="s">
        <v>1363</v>
      </c>
      <c r="K329" s="632" t="s">
        <v>1364</v>
      </c>
      <c r="L329" s="634">
        <v>814.62691195167531</v>
      </c>
      <c r="M329" s="634">
        <v>4</v>
      </c>
      <c r="N329" s="635">
        <v>3258.5076478067012</v>
      </c>
    </row>
    <row r="330" spans="1:14" ht="14.4" customHeight="1" x14ac:dyDescent="0.3">
      <c r="A330" s="630" t="s">
        <v>507</v>
      </c>
      <c r="B330" s="631" t="s">
        <v>509</v>
      </c>
      <c r="C330" s="632" t="s">
        <v>531</v>
      </c>
      <c r="D330" s="633" t="s">
        <v>532</v>
      </c>
      <c r="E330" s="632" t="s">
        <v>518</v>
      </c>
      <c r="F330" s="633" t="s">
        <v>519</v>
      </c>
      <c r="G330" s="632" t="s">
        <v>535</v>
      </c>
      <c r="H330" s="632" t="s">
        <v>1365</v>
      </c>
      <c r="I330" s="632" t="s">
        <v>1366</v>
      </c>
      <c r="J330" s="632" t="s">
        <v>1367</v>
      </c>
      <c r="K330" s="632" t="s">
        <v>1368</v>
      </c>
      <c r="L330" s="634">
        <v>246.00999999999988</v>
      </c>
      <c r="M330" s="634">
        <v>2</v>
      </c>
      <c r="N330" s="635">
        <v>492.01999999999975</v>
      </c>
    </row>
    <row r="331" spans="1:14" ht="14.4" customHeight="1" x14ac:dyDescent="0.3">
      <c r="A331" s="630" t="s">
        <v>507</v>
      </c>
      <c r="B331" s="631" t="s">
        <v>509</v>
      </c>
      <c r="C331" s="632" t="s">
        <v>531</v>
      </c>
      <c r="D331" s="633" t="s">
        <v>532</v>
      </c>
      <c r="E331" s="632" t="s">
        <v>518</v>
      </c>
      <c r="F331" s="633" t="s">
        <v>519</v>
      </c>
      <c r="G331" s="632" t="s">
        <v>535</v>
      </c>
      <c r="H331" s="632" t="s">
        <v>1022</v>
      </c>
      <c r="I331" s="632" t="s">
        <v>1022</v>
      </c>
      <c r="J331" s="632" t="s">
        <v>1023</v>
      </c>
      <c r="K331" s="632" t="s">
        <v>1024</v>
      </c>
      <c r="L331" s="634">
        <v>1851.4999999999998</v>
      </c>
      <c r="M331" s="634">
        <v>0.3</v>
      </c>
      <c r="N331" s="635">
        <v>555.44999999999993</v>
      </c>
    </row>
    <row r="332" spans="1:14" ht="14.4" customHeight="1" x14ac:dyDescent="0.3">
      <c r="A332" s="630" t="s">
        <v>507</v>
      </c>
      <c r="B332" s="631" t="s">
        <v>509</v>
      </c>
      <c r="C332" s="632" t="s">
        <v>531</v>
      </c>
      <c r="D332" s="633" t="s">
        <v>532</v>
      </c>
      <c r="E332" s="632" t="s">
        <v>518</v>
      </c>
      <c r="F332" s="633" t="s">
        <v>519</v>
      </c>
      <c r="G332" s="632" t="s">
        <v>751</v>
      </c>
      <c r="H332" s="632" t="s">
        <v>814</v>
      </c>
      <c r="I332" s="632" t="s">
        <v>815</v>
      </c>
      <c r="J332" s="632" t="s">
        <v>816</v>
      </c>
      <c r="K332" s="632" t="s">
        <v>817</v>
      </c>
      <c r="L332" s="634">
        <v>88.600248077655152</v>
      </c>
      <c r="M332" s="634">
        <v>26</v>
      </c>
      <c r="N332" s="635">
        <v>2303.6064500190341</v>
      </c>
    </row>
    <row r="333" spans="1:14" ht="14.4" customHeight="1" x14ac:dyDescent="0.3">
      <c r="A333" s="630" t="s">
        <v>507</v>
      </c>
      <c r="B333" s="631" t="s">
        <v>509</v>
      </c>
      <c r="C333" s="632" t="s">
        <v>531</v>
      </c>
      <c r="D333" s="633" t="s">
        <v>532</v>
      </c>
      <c r="E333" s="632" t="s">
        <v>518</v>
      </c>
      <c r="F333" s="633" t="s">
        <v>519</v>
      </c>
      <c r="G333" s="632" t="s">
        <v>751</v>
      </c>
      <c r="H333" s="632" t="s">
        <v>818</v>
      </c>
      <c r="I333" s="632" t="s">
        <v>819</v>
      </c>
      <c r="J333" s="632" t="s">
        <v>820</v>
      </c>
      <c r="K333" s="632" t="s">
        <v>821</v>
      </c>
      <c r="L333" s="634">
        <v>45.850060401094659</v>
      </c>
      <c r="M333" s="634">
        <v>92</v>
      </c>
      <c r="N333" s="635">
        <v>4218.2055569007089</v>
      </c>
    </row>
    <row r="334" spans="1:14" ht="14.4" customHeight="1" x14ac:dyDescent="0.3">
      <c r="A334" s="630" t="s">
        <v>507</v>
      </c>
      <c r="B334" s="631" t="s">
        <v>509</v>
      </c>
      <c r="C334" s="632" t="s">
        <v>531</v>
      </c>
      <c r="D334" s="633" t="s">
        <v>532</v>
      </c>
      <c r="E334" s="632" t="s">
        <v>518</v>
      </c>
      <c r="F334" s="633" t="s">
        <v>519</v>
      </c>
      <c r="G334" s="632" t="s">
        <v>751</v>
      </c>
      <c r="H334" s="632" t="s">
        <v>1369</v>
      </c>
      <c r="I334" s="632" t="s">
        <v>1370</v>
      </c>
      <c r="J334" s="632" t="s">
        <v>1371</v>
      </c>
      <c r="K334" s="632" t="s">
        <v>825</v>
      </c>
      <c r="L334" s="634">
        <v>138.22463833455382</v>
      </c>
      <c r="M334" s="634">
        <v>2</v>
      </c>
      <c r="N334" s="635">
        <v>276.44927666910763</v>
      </c>
    </row>
    <row r="335" spans="1:14" ht="14.4" customHeight="1" x14ac:dyDescent="0.3">
      <c r="A335" s="630" t="s">
        <v>507</v>
      </c>
      <c r="B335" s="631" t="s">
        <v>509</v>
      </c>
      <c r="C335" s="632" t="s">
        <v>531</v>
      </c>
      <c r="D335" s="633" t="s">
        <v>532</v>
      </c>
      <c r="E335" s="632" t="s">
        <v>518</v>
      </c>
      <c r="F335" s="633" t="s">
        <v>519</v>
      </c>
      <c r="G335" s="632" t="s">
        <v>751</v>
      </c>
      <c r="H335" s="632" t="s">
        <v>1029</v>
      </c>
      <c r="I335" s="632" t="s">
        <v>1030</v>
      </c>
      <c r="J335" s="632" t="s">
        <v>1031</v>
      </c>
      <c r="K335" s="632" t="s">
        <v>1032</v>
      </c>
      <c r="L335" s="634">
        <v>118.02234341721153</v>
      </c>
      <c r="M335" s="634">
        <v>39.600000000000009</v>
      </c>
      <c r="N335" s="635">
        <v>4673.6847993215779</v>
      </c>
    </row>
    <row r="336" spans="1:14" ht="14.4" customHeight="1" x14ac:dyDescent="0.3">
      <c r="A336" s="630" t="s">
        <v>507</v>
      </c>
      <c r="B336" s="631" t="s">
        <v>509</v>
      </c>
      <c r="C336" s="632" t="s">
        <v>531</v>
      </c>
      <c r="D336" s="633" t="s">
        <v>532</v>
      </c>
      <c r="E336" s="632" t="s">
        <v>518</v>
      </c>
      <c r="F336" s="633" t="s">
        <v>519</v>
      </c>
      <c r="G336" s="632" t="s">
        <v>751</v>
      </c>
      <c r="H336" s="632" t="s">
        <v>826</v>
      </c>
      <c r="I336" s="632" t="s">
        <v>827</v>
      </c>
      <c r="J336" s="632" t="s">
        <v>828</v>
      </c>
      <c r="K336" s="632" t="s">
        <v>829</v>
      </c>
      <c r="L336" s="634">
        <v>75.225803918202942</v>
      </c>
      <c r="M336" s="634">
        <v>171</v>
      </c>
      <c r="N336" s="635">
        <v>12863.612470012704</v>
      </c>
    </row>
    <row r="337" spans="1:14" ht="14.4" customHeight="1" x14ac:dyDescent="0.3">
      <c r="A337" s="630" t="s">
        <v>507</v>
      </c>
      <c r="B337" s="631" t="s">
        <v>509</v>
      </c>
      <c r="C337" s="632" t="s">
        <v>531</v>
      </c>
      <c r="D337" s="633" t="s">
        <v>532</v>
      </c>
      <c r="E337" s="632" t="s">
        <v>518</v>
      </c>
      <c r="F337" s="633" t="s">
        <v>519</v>
      </c>
      <c r="G337" s="632" t="s">
        <v>751</v>
      </c>
      <c r="H337" s="632" t="s">
        <v>1033</v>
      </c>
      <c r="I337" s="632" t="s">
        <v>1034</v>
      </c>
      <c r="J337" s="632" t="s">
        <v>1035</v>
      </c>
      <c r="K337" s="632" t="s">
        <v>1036</v>
      </c>
      <c r="L337" s="634">
        <v>54.429999999999986</v>
      </c>
      <c r="M337" s="634">
        <v>33</v>
      </c>
      <c r="N337" s="635">
        <v>1796.1899999999996</v>
      </c>
    </row>
    <row r="338" spans="1:14" ht="14.4" customHeight="1" x14ac:dyDescent="0.3">
      <c r="A338" s="630" t="s">
        <v>507</v>
      </c>
      <c r="B338" s="631" t="s">
        <v>509</v>
      </c>
      <c r="C338" s="632" t="s">
        <v>531</v>
      </c>
      <c r="D338" s="633" t="s">
        <v>532</v>
      </c>
      <c r="E338" s="632" t="s">
        <v>518</v>
      </c>
      <c r="F338" s="633" t="s">
        <v>519</v>
      </c>
      <c r="G338" s="632" t="s">
        <v>751</v>
      </c>
      <c r="H338" s="632" t="s">
        <v>1372</v>
      </c>
      <c r="I338" s="632" t="s">
        <v>1373</v>
      </c>
      <c r="J338" s="632" t="s">
        <v>1374</v>
      </c>
      <c r="K338" s="632" t="s">
        <v>1375</v>
      </c>
      <c r="L338" s="634">
        <v>887.27119357307822</v>
      </c>
      <c r="M338" s="634">
        <v>3</v>
      </c>
      <c r="N338" s="635">
        <v>2661.8135807192348</v>
      </c>
    </row>
    <row r="339" spans="1:14" ht="14.4" customHeight="1" x14ac:dyDescent="0.3">
      <c r="A339" s="630" t="s">
        <v>507</v>
      </c>
      <c r="B339" s="631" t="s">
        <v>509</v>
      </c>
      <c r="C339" s="632" t="s">
        <v>531</v>
      </c>
      <c r="D339" s="633" t="s">
        <v>532</v>
      </c>
      <c r="E339" s="632" t="s">
        <v>520</v>
      </c>
      <c r="F339" s="633" t="s">
        <v>521</v>
      </c>
      <c r="G339" s="632" t="s">
        <v>751</v>
      </c>
      <c r="H339" s="632" t="s">
        <v>1376</v>
      </c>
      <c r="I339" s="632" t="s">
        <v>1377</v>
      </c>
      <c r="J339" s="632" t="s">
        <v>1378</v>
      </c>
      <c r="K339" s="632"/>
      <c r="L339" s="634">
        <v>74.719543531301696</v>
      </c>
      <c r="M339" s="634">
        <v>46</v>
      </c>
      <c r="N339" s="635">
        <v>3437.0990024398779</v>
      </c>
    </row>
    <row r="340" spans="1:14" ht="14.4" customHeight="1" x14ac:dyDescent="0.3">
      <c r="A340" s="630" t="s">
        <v>507</v>
      </c>
      <c r="B340" s="631" t="s">
        <v>509</v>
      </c>
      <c r="C340" s="632" t="s">
        <v>531</v>
      </c>
      <c r="D340" s="633" t="s">
        <v>532</v>
      </c>
      <c r="E340" s="632" t="s">
        <v>514</v>
      </c>
      <c r="F340" s="633" t="s">
        <v>515</v>
      </c>
      <c r="G340" s="632"/>
      <c r="H340" s="632"/>
      <c r="I340" s="632" t="s">
        <v>1379</v>
      </c>
      <c r="J340" s="632" t="s">
        <v>1380</v>
      </c>
      <c r="K340" s="632"/>
      <c r="L340" s="634">
        <v>3842.0399999999995</v>
      </c>
      <c r="M340" s="634">
        <v>10</v>
      </c>
      <c r="N340" s="635">
        <v>38420.399999999994</v>
      </c>
    </row>
    <row r="341" spans="1:14" ht="14.4" customHeight="1" x14ac:dyDescent="0.3">
      <c r="A341" s="630" t="s">
        <v>507</v>
      </c>
      <c r="B341" s="631" t="s">
        <v>509</v>
      </c>
      <c r="C341" s="632" t="s">
        <v>531</v>
      </c>
      <c r="D341" s="633" t="s">
        <v>532</v>
      </c>
      <c r="E341" s="632" t="s">
        <v>514</v>
      </c>
      <c r="F341" s="633" t="s">
        <v>515</v>
      </c>
      <c r="G341" s="632"/>
      <c r="H341" s="632"/>
      <c r="I341" s="632" t="s">
        <v>1381</v>
      </c>
      <c r="J341" s="632" t="s">
        <v>1382</v>
      </c>
      <c r="K341" s="632"/>
      <c r="L341" s="634">
        <v>2187.3000000000002</v>
      </c>
      <c r="M341" s="634">
        <v>1</v>
      </c>
      <c r="N341" s="635">
        <v>2187.3000000000002</v>
      </c>
    </row>
    <row r="342" spans="1:14" ht="14.4" customHeight="1" x14ac:dyDescent="0.3">
      <c r="A342" s="630" t="s">
        <v>507</v>
      </c>
      <c r="B342" s="631" t="s">
        <v>509</v>
      </c>
      <c r="C342" s="632" t="s">
        <v>533</v>
      </c>
      <c r="D342" s="633" t="s">
        <v>534</v>
      </c>
      <c r="E342" s="632" t="s">
        <v>510</v>
      </c>
      <c r="F342" s="633" t="s">
        <v>511</v>
      </c>
      <c r="G342" s="632" t="s">
        <v>535</v>
      </c>
      <c r="H342" s="632" t="s">
        <v>1045</v>
      </c>
      <c r="I342" s="632" t="s">
        <v>1046</v>
      </c>
      <c r="J342" s="632" t="s">
        <v>698</v>
      </c>
      <c r="K342" s="632" t="s">
        <v>1047</v>
      </c>
      <c r="L342" s="634">
        <v>170.11999999999998</v>
      </c>
      <c r="M342" s="634">
        <v>6</v>
      </c>
      <c r="N342" s="635">
        <v>1020.7199999999998</v>
      </c>
    </row>
    <row r="343" spans="1:14" ht="14.4" customHeight="1" x14ac:dyDescent="0.3">
      <c r="A343" s="630" t="s">
        <v>507</v>
      </c>
      <c r="B343" s="631" t="s">
        <v>509</v>
      </c>
      <c r="C343" s="632" t="s">
        <v>533</v>
      </c>
      <c r="D343" s="633" t="s">
        <v>534</v>
      </c>
      <c r="E343" s="632" t="s">
        <v>510</v>
      </c>
      <c r="F343" s="633" t="s">
        <v>511</v>
      </c>
      <c r="G343" s="632" t="s">
        <v>535</v>
      </c>
      <c r="H343" s="632" t="s">
        <v>550</v>
      </c>
      <c r="I343" s="632" t="s">
        <v>551</v>
      </c>
      <c r="J343" s="632" t="s">
        <v>552</v>
      </c>
      <c r="K343" s="632" t="s">
        <v>553</v>
      </c>
      <c r="L343" s="634">
        <v>58.969999999999985</v>
      </c>
      <c r="M343" s="634">
        <v>2</v>
      </c>
      <c r="N343" s="635">
        <v>117.93999999999997</v>
      </c>
    </row>
    <row r="344" spans="1:14" ht="14.4" customHeight="1" x14ac:dyDescent="0.3">
      <c r="A344" s="630" t="s">
        <v>507</v>
      </c>
      <c r="B344" s="631" t="s">
        <v>509</v>
      </c>
      <c r="C344" s="632" t="s">
        <v>533</v>
      </c>
      <c r="D344" s="633" t="s">
        <v>534</v>
      </c>
      <c r="E344" s="632" t="s">
        <v>510</v>
      </c>
      <c r="F344" s="633" t="s">
        <v>511</v>
      </c>
      <c r="G344" s="632" t="s">
        <v>535</v>
      </c>
      <c r="H344" s="632" t="s">
        <v>1383</v>
      </c>
      <c r="I344" s="632" t="s">
        <v>246</v>
      </c>
      <c r="J344" s="632" t="s">
        <v>1384</v>
      </c>
      <c r="K344" s="632" t="s">
        <v>1385</v>
      </c>
      <c r="L344" s="634">
        <v>171.00015352231495</v>
      </c>
      <c r="M344" s="634">
        <v>17</v>
      </c>
      <c r="N344" s="635">
        <v>2907.0026098793542</v>
      </c>
    </row>
    <row r="345" spans="1:14" ht="14.4" customHeight="1" x14ac:dyDescent="0.3">
      <c r="A345" s="630" t="s">
        <v>507</v>
      </c>
      <c r="B345" s="631" t="s">
        <v>509</v>
      </c>
      <c r="C345" s="632" t="s">
        <v>533</v>
      </c>
      <c r="D345" s="633" t="s">
        <v>534</v>
      </c>
      <c r="E345" s="632" t="s">
        <v>510</v>
      </c>
      <c r="F345" s="633" t="s">
        <v>511</v>
      </c>
      <c r="G345" s="632" t="s">
        <v>535</v>
      </c>
      <c r="H345" s="632" t="s">
        <v>1386</v>
      </c>
      <c r="I345" s="632" t="s">
        <v>246</v>
      </c>
      <c r="J345" s="632" t="s">
        <v>1387</v>
      </c>
      <c r="K345" s="632"/>
      <c r="L345" s="634">
        <v>35.651894640206002</v>
      </c>
      <c r="M345" s="634">
        <v>10</v>
      </c>
      <c r="N345" s="635">
        <v>356.51894640206001</v>
      </c>
    </row>
    <row r="346" spans="1:14" ht="14.4" customHeight="1" x14ac:dyDescent="0.3">
      <c r="A346" s="630" t="s">
        <v>507</v>
      </c>
      <c r="B346" s="631" t="s">
        <v>509</v>
      </c>
      <c r="C346" s="632" t="s">
        <v>533</v>
      </c>
      <c r="D346" s="633" t="s">
        <v>534</v>
      </c>
      <c r="E346" s="632" t="s">
        <v>510</v>
      </c>
      <c r="F346" s="633" t="s">
        <v>511</v>
      </c>
      <c r="G346" s="632" t="s">
        <v>535</v>
      </c>
      <c r="H346" s="632" t="s">
        <v>1167</v>
      </c>
      <c r="I346" s="632" t="s">
        <v>1168</v>
      </c>
      <c r="J346" s="632" t="s">
        <v>1169</v>
      </c>
      <c r="K346" s="632" t="s">
        <v>556</v>
      </c>
      <c r="L346" s="634">
        <v>41.6100490921649</v>
      </c>
      <c r="M346" s="634">
        <v>2</v>
      </c>
      <c r="N346" s="635">
        <v>83.2200981843298</v>
      </c>
    </row>
    <row r="347" spans="1:14" ht="14.4" customHeight="1" x14ac:dyDescent="0.3">
      <c r="A347" s="630" t="s">
        <v>507</v>
      </c>
      <c r="B347" s="631" t="s">
        <v>509</v>
      </c>
      <c r="C347" s="632" t="s">
        <v>533</v>
      </c>
      <c r="D347" s="633" t="s">
        <v>534</v>
      </c>
      <c r="E347" s="632" t="s">
        <v>510</v>
      </c>
      <c r="F347" s="633" t="s">
        <v>511</v>
      </c>
      <c r="G347" s="632" t="s">
        <v>535</v>
      </c>
      <c r="H347" s="632" t="s">
        <v>1388</v>
      </c>
      <c r="I347" s="632" t="s">
        <v>1389</v>
      </c>
      <c r="J347" s="632" t="s">
        <v>1390</v>
      </c>
      <c r="K347" s="632" t="s">
        <v>720</v>
      </c>
      <c r="L347" s="634">
        <v>38.940000000000005</v>
      </c>
      <c r="M347" s="634">
        <v>36</v>
      </c>
      <c r="N347" s="635">
        <v>1401.8400000000001</v>
      </c>
    </row>
    <row r="348" spans="1:14" ht="14.4" customHeight="1" x14ac:dyDescent="0.3">
      <c r="A348" s="630" t="s">
        <v>507</v>
      </c>
      <c r="B348" s="631" t="s">
        <v>509</v>
      </c>
      <c r="C348" s="632" t="s">
        <v>533</v>
      </c>
      <c r="D348" s="633" t="s">
        <v>534</v>
      </c>
      <c r="E348" s="632" t="s">
        <v>510</v>
      </c>
      <c r="F348" s="633" t="s">
        <v>511</v>
      </c>
      <c r="G348" s="632" t="s">
        <v>535</v>
      </c>
      <c r="H348" s="632" t="s">
        <v>1391</v>
      </c>
      <c r="I348" s="632" t="s">
        <v>1392</v>
      </c>
      <c r="J348" s="632" t="s">
        <v>1393</v>
      </c>
      <c r="K348" s="632" t="s">
        <v>576</v>
      </c>
      <c r="L348" s="634">
        <v>210.45</v>
      </c>
      <c r="M348" s="634">
        <v>25</v>
      </c>
      <c r="N348" s="635">
        <v>5261.25</v>
      </c>
    </row>
    <row r="349" spans="1:14" ht="14.4" customHeight="1" x14ac:dyDescent="0.3">
      <c r="A349" s="630" t="s">
        <v>507</v>
      </c>
      <c r="B349" s="631" t="s">
        <v>509</v>
      </c>
      <c r="C349" s="632" t="s">
        <v>533</v>
      </c>
      <c r="D349" s="633" t="s">
        <v>534</v>
      </c>
      <c r="E349" s="632" t="s">
        <v>510</v>
      </c>
      <c r="F349" s="633" t="s">
        <v>511</v>
      </c>
      <c r="G349" s="632" t="s">
        <v>535</v>
      </c>
      <c r="H349" s="632" t="s">
        <v>1394</v>
      </c>
      <c r="I349" s="632" t="s">
        <v>1395</v>
      </c>
      <c r="J349" s="632" t="s">
        <v>1396</v>
      </c>
      <c r="K349" s="632" t="s">
        <v>1397</v>
      </c>
      <c r="L349" s="634">
        <v>291.50058676339683</v>
      </c>
      <c r="M349" s="634">
        <v>2</v>
      </c>
      <c r="N349" s="635">
        <v>583.00117352679365</v>
      </c>
    </row>
    <row r="350" spans="1:14" ht="14.4" customHeight="1" x14ac:dyDescent="0.3">
      <c r="A350" s="630" t="s">
        <v>507</v>
      </c>
      <c r="B350" s="631" t="s">
        <v>509</v>
      </c>
      <c r="C350" s="632" t="s">
        <v>533</v>
      </c>
      <c r="D350" s="633" t="s">
        <v>534</v>
      </c>
      <c r="E350" s="632" t="s">
        <v>510</v>
      </c>
      <c r="F350" s="633" t="s">
        <v>511</v>
      </c>
      <c r="G350" s="632" t="s">
        <v>535</v>
      </c>
      <c r="H350" s="632" t="s">
        <v>1398</v>
      </c>
      <c r="I350" s="632" t="s">
        <v>246</v>
      </c>
      <c r="J350" s="632" t="s">
        <v>1399</v>
      </c>
      <c r="K350" s="632"/>
      <c r="L350" s="634">
        <v>167.28075535556468</v>
      </c>
      <c r="M350" s="634">
        <v>8</v>
      </c>
      <c r="N350" s="635">
        <v>1338.2460428445174</v>
      </c>
    </row>
    <row r="351" spans="1:14" ht="14.4" customHeight="1" x14ac:dyDescent="0.3">
      <c r="A351" s="630" t="s">
        <v>507</v>
      </c>
      <c r="B351" s="631" t="s">
        <v>509</v>
      </c>
      <c r="C351" s="632" t="s">
        <v>533</v>
      </c>
      <c r="D351" s="633" t="s">
        <v>534</v>
      </c>
      <c r="E351" s="632" t="s">
        <v>510</v>
      </c>
      <c r="F351" s="633" t="s">
        <v>511</v>
      </c>
      <c r="G351" s="632" t="s">
        <v>535</v>
      </c>
      <c r="H351" s="632" t="s">
        <v>1400</v>
      </c>
      <c r="I351" s="632" t="s">
        <v>246</v>
      </c>
      <c r="J351" s="632" t="s">
        <v>1401</v>
      </c>
      <c r="K351" s="632"/>
      <c r="L351" s="634">
        <v>101.46449116323073</v>
      </c>
      <c r="M351" s="634">
        <v>1</v>
      </c>
      <c r="N351" s="635">
        <v>101.46449116323073</v>
      </c>
    </row>
    <row r="352" spans="1:14" ht="14.4" customHeight="1" x14ac:dyDescent="0.3">
      <c r="A352" s="630" t="s">
        <v>507</v>
      </c>
      <c r="B352" s="631" t="s">
        <v>509</v>
      </c>
      <c r="C352" s="632" t="s">
        <v>533</v>
      </c>
      <c r="D352" s="633" t="s">
        <v>534</v>
      </c>
      <c r="E352" s="632" t="s">
        <v>510</v>
      </c>
      <c r="F352" s="633" t="s">
        <v>511</v>
      </c>
      <c r="G352" s="632" t="s">
        <v>535</v>
      </c>
      <c r="H352" s="632" t="s">
        <v>1402</v>
      </c>
      <c r="I352" s="632" t="s">
        <v>1403</v>
      </c>
      <c r="J352" s="632" t="s">
        <v>1404</v>
      </c>
      <c r="K352" s="632" t="s">
        <v>1405</v>
      </c>
      <c r="L352" s="634">
        <v>8516.9666432886534</v>
      </c>
      <c r="M352" s="634">
        <v>3</v>
      </c>
      <c r="N352" s="635">
        <v>25550.899929865962</v>
      </c>
    </row>
    <row r="353" spans="1:14" ht="14.4" customHeight="1" x14ac:dyDescent="0.3">
      <c r="A353" s="630" t="s">
        <v>507</v>
      </c>
      <c r="B353" s="631" t="s">
        <v>509</v>
      </c>
      <c r="C353" s="632" t="s">
        <v>533</v>
      </c>
      <c r="D353" s="633" t="s">
        <v>534</v>
      </c>
      <c r="E353" s="632" t="s">
        <v>510</v>
      </c>
      <c r="F353" s="633" t="s">
        <v>511</v>
      </c>
      <c r="G353" s="632" t="s">
        <v>535</v>
      </c>
      <c r="H353" s="632" t="s">
        <v>1406</v>
      </c>
      <c r="I353" s="632" t="s">
        <v>1407</v>
      </c>
      <c r="J353" s="632" t="s">
        <v>1404</v>
      </c>
      <c r="K353" s="632" t="s">
        <v>1408</v>
      </c>
      <c r="L353" s="634">
        <v>1505.1534189470513</v>
      </c>
      <c r="M353" s="634">
        <v>7</v>
      </c>
      <c r="N353" s="635">
        <v>10536.073932629359</v>
      </c>
    </row>
    <row r="354" spans="1:14" ht="14.4" customHeight="1" x14ac:dyDescent="0.3">
      <c r="A354" s="630" t="s">
        <v>507</v>
      </c>
      <c r="B354" s="631" t="s">
        <v>509</v>
      </c>
      <c r="C354" s="632" t="s">
        <v>533</v>
      </c>
      <c r="D354" s="633" t="s">
        <v>534</v>
      </c>
      <c r="E354" s="632" t="s">
        <v>510</v>
      </c>
      <c r="F354" s="633" t="s">
        <v>511</v>
      </c>
      <c r="G354" s="632" t="s">
        <v>535</v>
      </c>
      <c r="H354" s="632" t="s">
        <v>1409</v>
      </c>
      <c r="I354" s="632" t="s">
        <v>1410</v>
      </c>
      <c r="J354" s="632" t="s">
        <v>1411</v>
      </c>
      <c r="K354" s="632" t="s">
        <v>576</v>
      </c>
      <c r="L354" s="634">
        <v>257.69999999999993</v>
      </c>
      <c r="M354" s="634">
        <v>23</v>
      </c>
      <c r="N354" s="635">
        <v>5927.0999999999985</v>
      </c>
    </row>
    <row r="355" spans="1:14" ht="14.4" customHeight="1" x14ac:dyDescent="0.3">
      <c r="A355" s="630" t="s">
        <v>507</v>
      </c>
      <c r="B355" s="631" t="s">
        <v>509</v>
      </c>
      <c r="C355" s="632" t="s">
        <v>533</v>
      </c>
      <c r="D355" s="633" t="s">
        <v>534</v>
      </c>
      <c r="E355" s="632" t="s">
        <v>510</v>
      </c>
      <c r="F355" s="633" t="s">
        <v>511</v>
      </c>
      <c r="G355" s="632" t="s">
        <v>535</v>
      </c>
      <c r="H355" s="632" t="s">
        <v>1041</v>
      </c>
      <c r="I355" s="632" t="s">
        <v>246</v>
      </c>
      <c r="J355" s="632" t="s">
        <v>1042</v>
      </c>
      <c r="K355" s="632"/>
      <c r="L355" s="634">
        <v>68.955162557685298</v>
      </c>
      <c r="M355" s="634">
        <v>95</v>
      </c>
      <c r="N355" s="635">
        <v>6550.7404429801036</v>
      </c>
    </row>
    <row r="356" spans="1:14" ht="14.4" customHeight="1" x14ac:dyDescent="0.3">
      <c r="A356" s="630" t="s">
        <v>507</v>
      </c>
      <c r="B356" s="631" t="s">
        <v>509</v>
      </c>
      <c r="C356" s="632" t="s">
        <v>533</v>
      </c>
      <c r="D356" s="633" t="s">
        <v>534</v>
      </c>
      <c r="E356" s="632" t="s">
        <v>510</v>
      </c>
      <c r="F356" s="633" t="s">
        <v>511</v>
      </c>
      <c r="G356" s="632" t="s">
        <v>535</v>
      </c>
      <c r="H356" s="632" t="s">
        <v>1412</v>
      </c>
      <c r="I356" s="632" t="s">
        <v>1413</v>
      </c>
      <c r="J356" s="632" t="s">
        <v>1414</v>
      </c>
      <c r="K356" s="632" t="s">
        <v>1415</v>
      </c>
      <c r="L356" s="634">
        <v>52.869783602289466</v>
      </c>
      <c r="M356" s="634">
        <v>9</v>
      </c>
      <c r="N356" s="635">
        <v>475.82805242060522</v>
      </c>
    </row>
    <row r="357" spans="1:14" ht="14.4" customHeight="1" x14ac:dyDescent="0.3">
      <c r="A357" s="630" t="s">
        <v>507</v>
      </c>
      <c r="B357" s="631" t="s">
        <v>509</v>
      </c>
      <c r="C357" s="632" t="s">
        <v>533</v>
      </c>
      <c r="D357" s="633" t="s">
        <v>534</v>
      </c>
      <c r="E357" s="632" t="s">
        <v>510</v>
      </c>
      <c r="F357" s="633" t="s">
        <v>511</v>
      </c>
      <c r="G357" s="632" t="s">
        <v>535</v>
      </c>
      <c r="H357" s="632" t="s">
        <v>1416</v>
      </c>
      <c r="I357" s="632" t="s">
        <v>246</v>
      </c>
      <c r="J357" s="632" t="s">
        <v>1417</v>
      </c>
      <c r="K357" s="632"/>
      <c r="L357" s="634">
        <v>2360.7088129504082</v>
      </c>
      <c r="M357" s="634">
        <v>34</v>
      </c>
      <c r="N357" s="635">
        <v>80264.099640313871</v>
      </c>
    </row>
    <row r="358" spans="1:14" ht="14.4" customHeight="1" x14ac:dyDescent="0.3">
      <c r="A358" s="630" t="s">
        <v>507</v>
      </c>
      <c r="B358" s="631" t="s">
        <v>509</v>
      </c>
      <c r="C358" s="632" t="s">
        <v>533</v>
      </c>
      <c r="D358" s="633" t="s">
        <v>534</v>
      </c>
      <c r="E358" s="632" t="s">
        <v>510</v>
      </c>
      <c r="F358" s="633" t="s">
        <v>511</v>
      </c>
      <c r="G358" s="632" t="s">
        <v>535</v>
      </c>
      <c r="H358" s="632" t="s">
        <v>1418</v>
      </c>
      <c r="I358" s="632" t="s">
        <v>246</v>
      </c>
      <c r="J358" s="632" t="s">
        <v>1419</v>
      </c>
      <c r="K358" s="632"/>
      <c r="L358" s="634">
        <v>121.05287097132376</v>
      </c>
      <c r="M358" s="634">
        <v>8</v>
      </c>
      <c r="N358" s="635">
        <v>968.42296777059005</v>
      </c>
    </row>
    <row r="359" spans="1:14" ht="14.4" customHeight="1" x14ac:dyDescent="0.3">
      <c r="A359" s="630" t="s">
        <v>507</v>
      </c>
      <c r="B359" s="631" t="s">
        <v>509</v>
      </c>
      <c r="C359" s="632" t="s">
        <v>533</v>
      </c>
      <c r="D359" s="633" t="s">
        <v>534</v>
      </c>
      <c r="E359" s="632" t="s">
        <v>510</v>
      </c>
      <c r="F359" s="633" t="s">
        <v>511</v>
      </c>
      <c r="G359" s="632" t="s">
        <v>535</v>
      </c>
      <c r="H359" s="632" t="s">
        <v>1420</v>
      </c>
      <c r="I359" s="632" t="s">
        <v>1421</v>
      </c>
      <c r="J359" s="632" t="s">
        <v>1422</v>
      </c>
      <c r="K359" s="632"/>
      <c r="L359" s="634">
        <v>2261.8099953467249</v>
      </c>
      <c r="M359" s="634">
        <v>2</v>
      </c>
      <c r="N359" s="635">
        <v>4523.6199906934498</v>
      </c>
    </row>
    <row r="360" spans="1:14" ht="14.4" customHeight="1" x14ac:dyDescent="0.3">
      <c r="A360" s="630" t="s">
        <v>507</v>
      </c>
      <c r="B360" s="631" t="s">
        <v>509</v>
      </c>
      <c r="C360" s="632" t="s">
        <v>533</v>
      </c>
      <c r="D360" s="633" t="s">
        <v>534</v>
      </c>
      <c r="E360" s="632" t="s">
        <v>510</v>
      </c>
      <c r="F360" s="633" t="s">
        <v>511</v>
      </c>
      <c r="G360" s="632" t="s">
        <v>535</v>
      </c>
      <c r="H360" s="632" t="s">
        <v>1423</v>
      </c>
      <c r="I360" s="632" t="s">
        <v>1424</v>
      </c>
      <c r="J360" s="632" t="s">
        <v>1425</v>
      </c>
      <c r="K360" s="632"/>
      <c r="L360" s="634">
        <v>4524.8399917252846</v>
      </c>
      <c r="M360" s="634">
        <v>9</v>
      </c>
      <c r="N360" s="635">
        <v>40723.559925527559</v>
      </c>
    </row>
    <row r="361" spans="1:14" ht="14.4" customHeight="1" x14ac:dyDescent="0.3">
      <c r="A361" s="630" t="s">
        <v>507</v>
      </c>
      <c r="B361" s="631" t="s">
        <v>509</v>
      </c>
      <c r="C361" s="632" t="s">
        <v>533</v>
      </c>
      <c r="D361" s="633" t="s">
        <v>534</v>
      </c>
      <c r="E361" s="632" t="s">
        <v>510</v>
      </c>
      <c r="F361" s="633" t="s">
        <v>511</v>
      </c>
      <c r="G361" s="632" t="s">
        <v>535</v>
      </c>
      <c r="H361" s="632" t="s">
        <v>1426</v>
      </c>
      <c r="I361" s="632" t="s">
        <v>246</v>
      </c>
      <c r="J361" s="632" t="s">
        <v>1427</v>
      </c>
      <c r="K361" s="632"/>
      <c r="L361" s="634">
        <v>639.47470500762176</v>
      </c>
      <c r="M361" s="634">
        <v>7</v>
      </c>
      <c r="N361" s="635">
        <v>4476.322935053352</v>
      </c>
    </row>
    <row r="362" spans="1:14" ht="14.4" customHeight="1" x14ac:dyDescent="0.3">
      <c r="A362" s="630" t="s">
        <v>507</v>
      </c>
      <c r="B362" s="631" t="s">
        <v>509</v>
      </c>
      <c r="C362" s="632" t="s">
        <v>533</v>
      </c>
      <c r="D362" s="633" t="s">
        <v>534</v>
      </c>
      <c r="E362" s="632" t="s">
        <v>510</v>
      </c>
      <c r="F362" s="633" t="s">
        <v>511</v>
      </c>
      <c r="G362" s="632" t="s">
        <v>535</v>
      </c>
      <c r="H362" s="632" t="s">
        <v>1428</v>
      </c>
      <c r="I362" s="632" t="s">
        <v>246</v>
      </c>
      <c r="J362" s="632" t="s">
        <v>1429</v>
      </c>
      <c r="K362" s="632"/>
      <c r="L362" s="634">
        <v>4408.5719031827812</v>
      </c>
      <c r="M362" s="634">
        <v>17</v>
      </c>
      <c r="N362" s="635">
        <v>74945.722354107274</v>
      </c>
    </row>
    <row r="363" spans="1:14" ht="14.4" customHeight="1" x14ac:dyDescent="0.3">
      <c r="A363" s="630" t="s">
        <v>507</v>
      </c>
      <c r="B363" s="631" t="s">
        <v>509</v>
      </c>
      <c r="C363" s="632" t="s">
        <v>533</v>
      </c>
      <c r="D363" s="633" t="s">
        <v>534</v>
      </c>
      <c r="E363" s="632" t="s">
        <v>516</v>
      </c>
      <c r="F363" s="633" t="s">
        <v>517</v>
      </c>
      <c r="G363" s="632" t="s">
        <v>535</v>
      </c>
      <c r="H363" s="632" t="s">
        <v>1430</v>
      </c>
      <c r="I363" s="632" t="s">
        <v>246</v>
      </c>
      <c r="J363" s="632" t="s">
        <v>1431</v>
      </c>
      <c r="K363" s="632"/>
      <c r="L363" s="634">
        <v>8458.3799999999992</v>
      </c>
      <c r="M363" s="634">
        <v>1</v>
      </c>
      <c r="N363" s="635">
        <v>8458.3799999999992</v>
      </c>
    </row>
    <row r="364" spans="1:14" ht="14.4" customHeight="1" thickBot="1" x14ac:dyDescent="0.35">
      <c r="A364" s="636" t="s">
        <v>507</v>
      </c>
      <c r="B364" s="637" t="s">
        <v>509</v>
      </c>
      <c r="C364" s="638" t="s">
        <v>533</v>
      </c>
      <c r="D364" s="639" t="s">
        <v>534</v>
      </c>
      <c r="E364" s="638" t="s">
        <v>518</v>
      </c>
      <c r="F364" s="639" t="s">
        <v>519</v>
      </c>
      <c r="G364" s="638" t="s">
        <v>535</v>
      </c>
      <c r="H364" s="638" t="s">
        <v>794</v>
      </c>
      <c r="I364" s="638" t="s">
        <v>795</v>
      </c>
      <c r="J364" s="638" t="s">
        <v>796</v>
      </c>
      <c r="K364" s="638" t="s">
        <v>797</v>
      </c>
      <c r="L364" s="640">
        <v>39.109968542561276</v>
      </c>
      <c r="M364" s="640">
        <v>5</v>
      </c>
      <c r="N364" s="641">
        <v>195.54984271280637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16384" width="8.88671875" style="260"/>
  </cols>
  <sheetData>
    <row r="1" spans="1:6" ht="37.200000000000003" customHeight="1" thickBot="1" x14ac:dyDescent="0.4">
      <c r="A1" s="493" t="s">
        <v>214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642" t="s">
        <v>190</v>
      </c>
      <c r="B4" s="643" t="s">
        <v>17</v>
      </c>
      <c r="C4" s="644" t="s">
        <v>5</v>
      </c>
      <c r="D4" s="643" t="s">
        <v>17</v>
      </c>
      <c r="E4" s="644" t="s">
        <v>5</v>
      </c>
      <c r="F4" s="645" t="s">
        <v>17</v>
      </c>
    </row>
    <row r="5" spans="1:6" ht="14.4" customHeight="1" x14ac:dyDescent="0.3">
      <c r="A5" s="656" t="s">
        <v>1432</v>
      </c>
      <c r="B5" s="628">
        <v>211.56</v>
      </c>
      <c r="C5" s="646">
        <v>1.4478316166071539E-3</v>
      </c>
      <c r="D5" s="628">
        <v>145910.40444208708</v>
      </c>
      <c r="E5" s="646">
        <v>0.99855216838339289</v>
      </c>
      <c r="F5" s="629">
        <v>146121.96444208708</v>
      </c>
    </row>
    <row r="6" spans="1:6" ht="14.4" customHeight="1" x14ac:dyDescent="0.3">
      <c r="A6" s="657" t="s">
        <v>1433</v>
      </c>
      <c r="B6" s="634"/>
      <c r="C6" s="647">
        <v>0</v>
      </c>
      <c r="D6" s="634">
        <v>29642.902339735585</v>
      </c>
      <c r="E6" s="647">
        <v>1</v>
      </c>
      <c r="F6" s="635">
        <v>29642.902339735585</v>
      </c>
    </row>
    <row r="7" spans="1:6" ht="14.4" customHeight="1" thickBot="1" x14ac:dyDescent="0.35">
      <c r="A7" s="658" t="s">
        <v>1434</v>
      </c>
      <c r="B7" s="649"/>
      <c r="C7" s="650">
        <v>0</v>
      </c>
      <c r="D7" s="649">
        <v>27548.251133683752</v>
      </c>
      <c r="E7" s="650">
        <v>1</v>
      </c>
      <c r="F7" s="651">
        <v>27548.251133683752</v>
      </c>
    </row>
    <row r="8" spans="1:6" ht="14.4" customHeight="1" thickBot="1" x14ac:dyDescent="0.35">
      <c r="A8" s="652" t="s">
        <v>6</v>
      </c>
      <c r="B8" s="653">
        <v>211.56</v>
      </c>
      <c r="C8" s="654">
        <v>1.0405624692053606E-3</v>
      </c>
      <c r="D8" s="653">
        <v>203101.55791550642</v>
      </c>
      <c r="E8" s="654">
        <v>0.99895943753079464</v>
      </c>
      <c r="F8" s="655">
        <v>203313.11791550642</v>
      </c>
    </row>
    <row r="9" spans="1:6" ht="14.4" customHeight="1" thickBot="1" x14ac:dyDescent="0.35"/>
    <row r="10" spans="1:6" ht="14.4" customHeight="1" x14ac:dyDescent="0.3">
      <c r="A10" s="656" t="s">
        <v>1435</v>
      </c>
      <c r="B10" s="628">
        <v>211.56</v>
      </c>
      <c r="C10" s="646">
        <v>1</v>
      </c>
      <c r="D10" s="628"/>
      <c r="E10" s="646">
        <v>0</v>
      </c>
      <c r="F10" s="629">
        <v>211.56</v>
      </c>
    </row>
    <row r="11" spans="1:6" ht="14.4" customHeight="1" x14ac:dyDescent="0.3">
      <c r="A11" s="657" t="s">
        <v>1436</v>
      </c>
      <c r="B11" s="634"/>
      <c r="C11" s="647">
        <v>0</v>
      </c>
      <c r="D11" s="634">
        <v>12716.509027228065</v>
      </c>
      <c r="E11" s="647">
        <v>1</v>
      </c>
      <c r="F11" s="635">
        <v>12716.509027228065</v>
      </c>
    </row>
    <row r="12" spans="1:6" ht="14.4" customHeight="1" x14ac:dyDescent="0.3">
      <c r="A12" s="657" t="s">
        <v>1437</v>
      </c>
      <c r="B12" s="634"/>
      <c r="C12" s="647">
        <v>0</v>
      </c>
      <c r="D12" s="634">
        <v>5158.4989540661591</v>
      </c>
      <c r="E12" s="647">
        <v>1</v>
      </c>
      <c r="F12" s="635">
        <v>5158.4989540661591</v>
      </c>
    </row>
    <row r="13" spans="1:6" ht="14.4" customHeight="1" x14ac:dyDescent="0.3">
      <c r="A13" s="657" t="s">
        <v>1438</v>
      </c>
      <c r="B13" s="634"/>
      <c r="C13" s="647">
        <v>0</v>
      </c>
      <c r="D13" s="634">
        <v>3437.0990024398779</v>
      </c>
      <c r="E13" s="647">
        <v>1</v>
      </c>
      <c r="F13" s="635">
        <v>3437.0990024398779</v>
      </c>
    </row>
    <row r="14" spans="1:6" ht="14.4" customHeight="1" x14ac:dyDescent="0.3">
      <c r="A14" s="657" t="s">
        <v>1439</v>
      </c>
      <c r="B14" s="634"/>
      <c r="C14" s="647">
        <v>0</v>
      </c>
      <c r="D14" s="634">
        <v>19726.124269500422</v>
      </c>
      <c r="E14" s="647">
        <v>1</v>
      </c>
      <c r="F14" s="635">
        <v>19726.124269500422</v>
      </c>
    </row>
    <row r="15" spans="1:6" ht="14.4" customHeight="1" x14ac:dyDescent="0.3">
      <c r="A15" s="657" t="s">
        <v>1440</v>
      </c>
      <c r="B15" s="634"/>
      <c r="C15" s="647">
        <v>0</v>
      </c>
      <c r="D15" s="634">
        <v>8108.6350988421937</v>
      </c>
      <c r="E15" s="647">
        <v>1</v>
      </c>
      <c r="F15" s="635">
        <v>8108.6350988421937</v>
      </c>
    </row>
    <row r="16" spans="1:6" ht="14.4" customHeight="1" x14ac:dyDescent="0.3">
      <c r="A16" s="657" t="s">
        <v>1441</v>
      </c>
      <c r="B16" s="634"/>
      <c r="C16" s="647">
        <v>0</v>
      </c>
      <c r="D16" s="634">
        <v>761.03999999999985</v>
      </c>
      <c r="E16" s="647">
        <v>1</v>
      </c>
      <c r="F16" s="635">
        <v>761.03999999999985</v>
      </c>
    </row>
    <row r="17" spans="1:6" ht="14.4" customHeight="1" x14ac:dyDescent="0.3">
      <c r="A17" s="657" t="s">
        <v>1442</v>
      </c>
      <c r="B17" s="634"/>
      <c r="C17" s="647">
        <v>0</v>
      </c>
      <c r="D17" s="634">
        <v>114.74</v>
      </c>
      <c r="E17" s="647">
        <v>1</v>
      </c>
      <c r="F17" s="635">
        <v>114.74</v>
      </c>
    </row>
    <row r="18" spans="1:6" ht="14.4" customHeight="1" x14ac:dyDescent="0.3">
      <c r="A18" s="657" t="s">
        <v>1443</v>
      </c>
      <c r="B18" s="634"/>
      <c r="C18" s="647">
        <v>0</v>
      </c>
      <c r="D18" s="634">
        <v>33508.49281177485</v>
      </c>
      <c r="E18" s="647">
        <v>1</v>
      </c>
      <c r="F18" s="635">
        <v>33508.49281177485</v>
      </c>
    </row>
    <row r="19" spans="1:6" ht="14.4" customHeight="1" x14ac:dyDescent="0.3">
      <c r="A19" s="657" t="s">
        <v>1444</v>
      </c>
      <c r="B19" s="634"/>
      <c r="C19" s="647">
        <v>0</v>
      </c>
      <c r="D19" s="634">
        <v>71.67</v>
      </c>
      <c r="E19" s="647">
        <v>1</v>
      </c>
      <c r="F19" s="635">
        <v>71.67</v>
      </c>
    </row>
    <row r="20" spans="1:6" ht="14.4" customHeight="1" x14ac:dyDescent="0.3">
      <c r="A20" s="657" t="s">
        <v>1445</v>
      </c>
      <c r="B20" s="634"/>
      <c r="C20" s="647">
        <v>0</v>
      </c>
      <c r="D20" s="634">
        <v>101.06999999999998</v>
      </c>
      <c r="E20" s="647">
        <v>1</v>
      </c>
      <c r="F20" s="635">
        <v>101.06999999999998</v>
      </c>
    </row>
    <row r="21" spans="1:6" ht="14.4" customHeight="1" x14ac:dyDescent="0.3">
      <c r="A21" s="657" t="s">
        <v>1446</v>
      </c>
      <c r="B21" s="634"/>
      <c r="C21" s="647">
        <v>0</v>
      </c>
      <c r="D21" s="634">
        <v>32144.031314965243</v>
      </c>
      <c r="E21" s="647">
        <v>1</v>
      </c>
      <c r="F21" s="635">
        <v>32144.031314965243</v>
      </c>
    </row>
    <row r="22" spans="1:6" ht="14.4" customHeight="1" x14ac:dyDescent="0.3">
      <c r="A22" s="657" t="s">
        <v>1447</v>
      </c>
      <c r="B22" s="634"/>
      <c r="C22" s="647">
        <v>0</v>
      </c>
      <c r="D22" s="634">
        <v>50.63</v>
      </c>
      <c r="E22" s="647">
        <v>1</v>
      </c>
      <c r="F22" s="635">
        <v>50.63</v>
      </c>
    </row>
    <row r="23" spans="1:6" ht="14.4" customHeight="1" x14ac:dyDescent="0.3">
      <c r="A23" s="657" t="s">
        <v>1448</v>
      </c>
      <c r="B23" s="634"/>
      <c r="C23" s="647">
        <v>0</v>
      </c>
      <c r="D23" s="634">
        <v>3188.6736852214817</v>
      </c>
      <c r="E23" s="647">
        <v>1</v>
      </c>
      <c r="F23" s="635">
        <v>3188.6736852214817</v>
      </c>
    </row>
    <row r="24" spans="1:6" ht="14.4" customHeight="1" x14ac:dyDescent="0.3">
      <c r="A24" s="657" t="s">
        <v>1449</v>
      </c>
      <c r="B24" s="634"/>
      <c r="C24" s="647">
        <v>0</v>
      </c>
      <c r="D24" s="634">
        <v>512.74854184750802</v>
      </c>
      <c r="E24" s="647">
        <v>1</v>
      </c>
      <c r="F24" s="635">
        <v>512.74854184750802</v>
      </c>
    </row>
    <row r="25" spans="1:6" ht="14.4" customHeight="1" x14ac:dyDescent="0.3">
      <c r="A25" s="657" t="s">
        <v>1450</v>
      </c>
      <c r="B25" s="634"/>
      <c r="C25" s="647">
        <v>0</v>
      </c>
      <c r="D25" s="634">
        <v>2068.3409977071592</v>
      </c>
      <c r="E25" s="647">
        <v>1</v>
      </c>
      <c r="F25" s="635">
        <v>2068.3409977071592</v>
      </c>
    </row>
    <row r="26" spans="1:6" ht="14.4" customHeight="1" x14ac:dyDescent="0.3">
      <c r="A26" s="657" t="s">
        <v>1451</v>
      </c>
      <c r="B26" s="634"/>
      <c r="C26" s="647">
        <v>0</v>
      </c>
      <c r="D26" s="634">
        <v>84.510403085584997</v>
      </c>
      <c r="E26" s="647">
        <v>1</v>
      </c>
      <c r="F26" s="635">
        <v>84.510403085584997</v>
      </c>
    </row>
    <row r="27" spans="1:6" ht="14.4" customHeight="1" x14ac:dyDescent="0.3">
      <c r="A27" s="657" t="s">
        <v>1452</v>
      </c>
      <c r="B27" s="634"/>
      <c r="C27" s="647">
        <v>0</v>
      </c>
      <c r="D27" s="634">
        <v>2661.8135807192348</v>
      </c>
      <c r="E27" s="647">
        <v>1</v>
      </c>
      <c r="F27" s="635">
        <v>2661.8135807192348</v>
      </c>
    </row>
    <row r="28" spans="1:6" ht="14.4" customHeight="1" x14ac:dyDescent="0.3">
      <c r="A28" s="657" t="s">
        <v>1453</v>
      </c>
      <c r="B28" s="634"/>
      <c r="C28" s="647">
        <v>0</v>
      </c>
      <c r="D28" s="634">
        <v>63.87</v>
      </c>
      <c r="E28" s="647">
        <v>1</v>
      </c>
      <c r="F28" s="635">
        <v>63.87</v>
      </c>
    </row>
    <row r="29" spans="1:6" ht="14.4" customHeight="1" x14ac:dyDescent="0.3">
      <c r="A29" s="657" t="s">
        <v>1454</v>
      </c>
      <c r="B29" s="634"/>
      <c r="C29" s="647">
        <v>0</v>
      </c>
      <c r="D29" s="634">
        <v>638.49879387320243</v>
      </c>
      <c r="E29" s="647">
        <v>1</v>
      </c>
      <c r="F29" s="635">
        <v>638.49879387320243</v>
      </c>
    </row>
    <row r="30" spans="1:6" ht="14.4" customHeight="1" x14ac:dyDescent="0.3">
      <c r="A30" s="657" t="s">
        <v>1455</v>
      </c>
      <c r="B30" s="634"/>
      <c r="C30" s="647">
        <v>0</v>
      </c>
      <c r="D30" s="634">
        <v>3715.1000000000004</v>
      </c>
      <c r="E30" s="647">
        <v>1</v>
      </c>
      <c r="F30" s="635">
        <v>3715.1000000000004</v>
      </c>
    </row>
    <row r="31" spans="1:6" ht="14.4" customHeight="1" x14ac:dyDescent="0.3">
      <c r="A31" s="657" t="s">
        <v>1456</v>
      </c>
      <c r="B31" s="634"/>
      <c r="C31" s="647">
        <v>0</v>
      </c>
      <c r="D31" s="634">
        <v>18794.85251781714</v>
      </c>
      <c r="E31" s="647">
        <v>1</v>
      </c>
      <c r="F31" s="635">
        <v>18794.85251781714</v>
      </c>
    </row>
    <row r="32" spans="1:6" ht="14.4" customHeight="1" x14ac:dyDescent="0.3">
      <c r="A32" s="657" t="s">
        <v>1457</v>
      </c>
      <c r="B32" s="634"/>
      <c r="C32" s="647">
        <v>0</v>
      </c>
      <c r="D32" s="634">
        <v>6510.7055569007098</v>
      </c>
      <c r="E32" s="647">
        <v>1</v>
      </c>
      <c r="F32" s="635">
        <v>6510.7055569007098</v>
      </c>
    </row>
    <row r="33" spans="1:6" ht="14.4" customHeight="1" x14ac:dyDescent="0.3">
      <c r="A33" s="657" t="s">
        <v>1458</v>
      </c>
      <c r="B33" s="634"/>
      <c r="C33" s="647">
        <v>0</v>
      </c>
      <c r="D33" s="634">
        <v>697.56999999999994</v>
      </c>
      <c r="E33" s="647">
        <v>1</v>
      </c>
      <c r="F33" s="635">
        <v>697.56999999999994</v>
      </c>
    </row>
    <row r="34" spans="1:6" ht="14.4" customHeight="1" x14ac:dyDescent="0.3">
      <c r="A34" s="657" t="s">
        <v>1459</v>
      </c>
      <c r="B34" s="634"/>
      <c r="C34" s="647">
        <v>0</v>
      </c>
      <c r="D34" s="634">
        <v>5310.7441567853075</v>
      </c>
      <c r="E34" s="647">
        <v>1</v>
      </c>
      <c r="F34" s="635">
        <v>5310.7441567853075</v>
      </c>
    </row>
    <row r="35" spans="1:6" ht="14.4" customHeight="1" x14ac:dyDescent="0.3">
      <c r="A35" s="657" t="s">
        <v>1460</v>
      </c>
      <c r="B35" s="634"/>
      <c r="C35" s="647">
        <v>0</v>
      </c>
      <c r="D35" s="634">
        <v>337.80435476769901</v>
      </c>
      <c r="E35" s="647">
        <v>1</v>
      </c>
      <c r="F35" s="635">
        <v>337.80435476769901</v>
      </c>
    </row>
    <row r="36" spans="1:6" ht="14.4" customHeight="1" x14ac:dyDescent="0.3">
      <c r="A36" s="657" t="s">
        <v>1461</v>
      </c>
      <c r="B36" s="634"/>
      <c r="C36" s="647">
        <v>0</v>
      </c>
      <c r="D36" s="634">
        <v>35256.28804521804</v>
      </c>
      <c r="E36" s="647">
        <v>1</v>
      </c>
      <c r="F36" s="635">
        <v>35256.28804521804</v>
      </c>
    </row>
    <row r="37" spans="1:6" ht="14.4" customHeight="1" x14ac:dyDescent="0.3">
      <c r="A37" s="657" t="s">
        <v>1462</v>
      </c>
      <c r="B37" s="634"/>
      <c r="C37" s="647">
        <v>0</v>
      </c>
      <c r="D37" s="634">
        <v>283.58</v>
      </c>
      <c r="E37" s="647">
        <v>1</v>
      </c>
      <c r="F37" s="635">
        <v>283.58</v>
      </c>
    </row>
    <row r="38" spans="1:6" ht="14.4" customHeight="1" x14ac:dyDescent="0.3">
      <c r="A38" s="657" t="s">
        <v>1463</v>
      </c>
      <c r="B38" s="634"/>
      <c r="C38" s="647">
        <v>0</v>
      </c>
      <c r="D38" s="634">
        <v>202.78</v>
      </c>
      <c r="E38" s="647">
        <v>1</v>
      </c>
      <c r="F38" s="635">
        <v>202.78</v>
      </c>
    </row>
    <row r="39" spans="1:6" ht="14.4" customHeight="1" x14ac:dyDescent="0.3">
      <c r="A39" s="657" t="s">
        <v>1464</v>
      </c>
      <c r="B39" s="634"/>
      <c r="C39" s="647">
        <v>0</v>
      </c>
      <c r="D39" s="634">
        <v>105.62</v>
      </c>
      <c r="E39" s="647">
        <v>1</v>
      </c>
      <c r="F39" s="635">
        <v>105.62</v>
      </c>
    </row>
    <row r="40" spans="1:6" ht="14.4" customHeight="1" x14ac:dyDescent="0.3">
      <c r="A40" s="657" t="s">
        <v>1465</v>
      </c>
      <c r="B40" s="634"/>
      <c r="C40" s="647">
        <v>0</v>
      </c>
      <c r="D40" s="634">
        <v>230.24000000000012</v>
      </c>
      <c r="E40" s="647">
        <v>1</v>
      </c>
      <c r="F40" s="635">
        <v>230.24000000000012</v>
      </c>
    </row>
    <row r="41" spans="1:6" ht="14.4" customHeight="1" x14ac:dyDescent="0.3">
      <c r="A41" s="657" t="s">
        <v>1466</v>
      </c>
      <c r="B41" s="634"/>
      <c r="C41" s="647">
        <v>0</v>
      </c>
      <c r="D41" s="634">
        <v>153.59036289145985</v>
      </c>
      <c r="E41" s="647">
        <v>1</v>
      </c>
      <c r="F41" s="635">
        <v>153.59036289145985</v>
      </c>
    </row>
    <row r="42" spans="1:6" ht="14.4" customHeight="1" x14ac:dyDescent="0.3">
      <c r="A42" s="657" t="s">
        <v>1467</v>
      </c>
      <c r="B42" s="634"/>
      <c r="C42" s="647">
        <v>0</v>
      </c>
      <c r="D42" s="634">
        <v>354.36998983603917</v>
      </c>
      <c r="E42" s="647">
        <v>1</v>
      </c>
      <c r="F42" s="635">
        <v>354.36998983603917</v>
      </c>
    </row>
    <row r="43" spans="1:6" ht="14.4" customHeight="1" thickBot="1" x14ac:dyDescent="0.35">
      <c r="A43" s="658" t="s">
        <v>1468</v>
      </c>
      <c r="B43" s="649"/>
      <c r="C43" s="650">
        <v>0</v>
      </c>
      <c r="D43" s="649">
        <v>6031.3164500190342</v>
      </c>
      <c r="E43" s="650">
        <v>1</v>
      </c>
      <c r="F43" s="651">
        <v>6031.3164500190342</v>
      </c>
    </row>
    <row r="44" spans="1:6" ht="14.4" customHeight="1" thickBot="1" x14ac:dyDescent="0.35">
      <c r="A44" s="652" t="s">
        <v>6</v>
      </c>
      <c r="B44" s="653">
        <v>211.56</v>
      </c>
      <c r="C44" s="654">
        <v>1.0405624692053606E-3</v>
      </c>
      <c r="D44" s="653">
        <v>203101.55791550642</v>
      </c>
      <c r="E44" s="654">
        <v>0.99895943753079464</v>
      </c>
      <c r="F44" s="655">
        <v>203313.11791550642</v>
      </c>
    </row>
  </sheetData>
  <mergeCells count="3">
    <mergeCell ref="A1:F1"/>
    <mergeCell ref="B3:C3"/>
    <mergeCell ref="D3:E3"/>
  </mergeCells>
  <conditionalFormatting sqref="C5:C1048576">
    <cfRule type="cellIs" dxfId="5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2014-03-27T10:17:48Z</dcterms:modified>
</cp:coreProperties>
</file>