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>'ON Data'!$B$3:$B$16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56" i="371" l="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E26" i="419" l="1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T5" i="371" l="1"/>
  <c r="S5" i="371"/>
  <c r="AE3" i="418" l="1"/>
  <c r="I3" i="418"/>
  <c r="F28" i="419" l="1"/>
  <c r="F27" i="419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N20" i="419" l="1"/>
  <c r="M20" i="419"/>
  <c r="N19" i="419"/>
  <c r="M19" i="419"/>
  <c r="N17" i="419"/>
  <c r="M17" i="419"/>
  <c r="N16" i="419"/>
  <c r="M16" i="419"/>
  <c r="N14" i="419"/>
  <c r="M14" i="419"/>
  <c r="N13" i="419"/>
  <c r="M13" i="419"/>
  <c r="N12" i="419"/>
  <c r="M12" i="419"/>
  <c r="N11" i="419"/>
  <c r="M11" i="419"/>
  <c r="AW3" i="418"/>
  <c r="AV3" i="418"/>
  <c r="AU3" i="418"/>
  <c r="AT3" i="418"/>
  <c r="AS3" i="418"/>
  <c r="AR3" i="418"/>
  <c r="N18" i="419" l="1"/>
  <c r="M18" i="419"/>
  <c r="B25" i="419"/>
  <c r="B27" i="419" l="1"/>
  <c r="A12" i="414"/>
  <c r="A11" i="414"/>
  <c r="A9" i="414"/>
  <c r="A8" i="414"/>
  <c r="A7" i="414"/>
  <c r="M21" i="419" l="1"/>
  <c r="L21" i="419"/>
  <c r="K21" i="419"/>
  <c r="K22" i="419" s="1"/>
  <c r="J21" i="419"/>
  <c r="J22" i="419" s="1"/>
  <c r="I21" i="419"/>
  <c r="H21" i="419"/>
  <c r="G21" i="419"/>
  <c r="L20" i="419"/>
  <c r="K20" i="419"/>
  <c r="J20" i="419"/>
  <c r="I20" i="419"/>
  <c r="H20" i="419"/>
  <c r="G20" i="419"/>
  <c r="L19" i="419"/>
  <c r="K19" i="419"/>
  <c r="J19" i="419"/>
  <c r="I19" i="419"/>
  <c r="H19" i="419"/>
  <c r="G19" i="419"/>
  <c r="L17" i="419"/>
  <c r="K17" i="419"/>
  <c r="J17" i="419"/>
  <c r="I17" i="419"/>
  <c r="H17" i="419"/>
  <c r="G17" i="419"/>
  <c r="L16" i="419"/>
  <c r="K16" i="419"/>
  <c r="J16" i="419"/>
  <c r="I16" i="419"/>
  <c r="H16" i="419"/>
  <c r="G16" i="419"/>
  <c r="L14" i="419"/>
  <c r="K14" i="419"/>
  <c r="J14" i="419"/>
  <c r="I14" i="419"/>
  <c r="H14" i="419"/>
  <c r="G14" i="419"/>
  <c r="L13" i="419"/>
  <c r="K13" i="419"/>
  <c r="J13" i="419"/>
  <c r="I13" i="419"/>
  <c r="H13" i="419"/>
  <c r="G13" i="419"/>
  <c r="L12" i="419"/>
  <c r="K12" i="419"/>
  <c r="J12" i="419"/>
  <c r="I12" i="419"/>
  <c r="H12" i="419"/>
  <c r="G12" i="419"/>
  <c r="L11" i="419"/>
  <c r="K11" i="419"/>
  <c r="J11" i="419"/>
  <c r="I11" i="419"/>
  <c r="H11" i="419"/>
  <c r="G11" i="419"/>
  <c r="G18" i="419" l="1"/>
  <c r="L18" i="419"/>
  <c r="G23" i="419"/>
  <c r="L23" i="419"/>
  <c r="I18" i="419"/>
  <c r="J23" i="419"/>
  <c r="K23" i="419"/>
  <c r="J18" i="419"/>
  <c r="K18" i="419"/>
  <c r="H23" i="419"/>
  <c r="L22" i="419"/>
  <c r="I23" i="419"/>
  <c r="M23" i="419"/>
  <c r="H18" i="419"/>
  <c r="G22" i="419"/>
  <c r="H22" i="419"/>
  <c r="I22" i="419"/>
  <c r="M22" i="419"/>
  <c r="N3" i="418"/>
  <c r="F21" i="419" l="1"/>
  <c r="F22" i="419" s="1"/>
  <c r="E21" i="419"/>
  <c r="E22" i="419" s="1"/>
  <c r="D21" i="419"/>
  <c r="F20" i="419"/>
  <c r="E20" i="419"/>
  <c r="D20" i="419"/>
  <c r="F19" i="419"/>
  <c r="E19" i="419"/>
  <c r="D19" i="419"/>
  <c r="F17" i="419"/>
  <c r="E17" i="419"/>
  <c r="D17" i="419"/>
  <c r="F16" i="419"/>
  <c r="E16" i="419"/>
  <c r="D16" i="419"/>
  <c r="F14" i="419"/>
  <c r="E14" i="419"/>
  <c r="D14" i="419"/>
  <c r="F13" i="419"/>
  <c r="E13" i="419"/>
  <c r="D13" i="419"/>
  <c r="F12" i="419"/>
  <c r="E12" i="419"/>
  <c r="D12" i="419"/>
  <c r="F11" i="419"/>
  <c r="E11" i="419"/>
  <c r="D11" i="419"/>
  <c r="D18" i="419" l="1"/>
  <c r="D23" i="419"/>
  <c r="E18" i="419"/>
  <c r="F18" i="419"/>
  <c r="F23" i="419"/>
  <c r="D22" i="419"/>
  <c r="E23" i="419"/>
  <c r="B21" i="419"/>
  <c r="B22" i="419" l="1"/>
  <c r="A27" i="383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L6" i="419" l="1"/>
  <c r="G6" i="419"/>
  <c r="F6" i="419"/>
  <c r="M6" i="419"/>
  <c r="K6" i="419"/>
  <c r="J6" i="419"/>
  <c r="E6" i="419"/>
  <c r="N6" i="419"/>
  <c r="I6" i="419"/>
  <c r="D6" i="419"/>
  <c r="H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3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C16" i="414"/>
  <c r="D16" i="414"/>
  <c r="D19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4" i="414"/>
  <c r="D24" i="414"/>
  <c r="N3" i="372" l="1"/>
  <c r="F3" i="372"/>
  <c r="J12" i="339"/>
  <c r="Q3" i="347"/>
  <c r="S3" i="347"/>
  <c r="U3" i="34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H13" i="339" l="1"/>
  <c r="F15" i="339"/>
  <c r="J13" i="339"/>
  <c r="B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<sst xmlns="http://schemas.openxmlformats.org/spreadsheetml/2006/main" count="17223" uniqueCount="4248">
  <si>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</si>
  <si>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</si>
  <si>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</si>
  <si>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</si>
  <si>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</si>
  <si>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</si>
  <si>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</si>
  <si>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</si>
  <si>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</si>
  <si>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</si>
  <si>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</si>
  <si>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</si>
  <si>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</si>
  <si>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</si>
  <si>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</si>
  <si>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</si>
  <si>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</si>
  <si>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</si>
  <si>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</si>
  <si>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</si>
  <si>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</si>
  <si>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</si>
  <si>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</si>
  <si>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</si>
  <si>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</si>
  <si>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</si>
  <si>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</si>
  <si>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</si>
  <si>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</si>
  <si>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</si>
  <si>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</si>
  <si>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</si>
  <si>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</si>
  <si>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</si>
  <si>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</si>
  <si>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</si>
  <si>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</si>
  <si>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</si>
  <si>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</si>
  <si>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</si>
  <si>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</si>
  <si>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</si>
  <si>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</si>
  <si>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</si>
  <si>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</si>
  <si>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</si>
  <si>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</si>
  <si>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</si>
  <si>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</si>
  <si>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</si>
  <si>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</si>
  <si>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</si>
  <si>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</si>
  <si>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</si>
  <si>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</si>
  <si>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</si>
  <si>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</si>
  <si>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</si>
  <si>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</si>
  <si>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</si>
  <si>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</si>
  <si>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</si>
  <si>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</si>
  <si>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</si>
  <si>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</si>
  <si>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</si>
  <si>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</si>
  <si>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</si>
  <si>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</si>
  <si>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</si>
  <si>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</si>
  <si>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</si>
  <si>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</si>
  <si>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</si>
  <si>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</si>
  <si>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</si>
  <si>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</si>
  <si>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</si>
  <si>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</si>
  <si>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</si>
  <si>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</si>
  <si>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</si>
  <si>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</si>
  <si>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</si>
  <si>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</si>
  <si>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</si>
  <si>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</si>
  <si>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</si>
  <si>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</si>
  <si>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</si>
  <si>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</si>
  <si>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</si>
  <si>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</si>
  <si>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</si>
  <si>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</si>
  <si>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</si>
  <si>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</si>
  <si>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</si>
  <si>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</si>
  <si>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</si>
  <si>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</si>
  <si>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</si>
  <si>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</si>
  <si>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</si>
  <si>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</si>
  <si>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</si>
  <si>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</si>
  <si>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</si>
  <si>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</si>
  <si>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</si>
  <si>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</si>
  <si>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</si>
  <si>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</si>
  <si>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</si>
  <si>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</si>
  <si>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</si>
  <si>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</si>
  <si>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</si>
  <si>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</si>
  <si>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</si>
  <si>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</si>
  <si>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</si>
  <si>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</si>
  <si>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</si>
  <si>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</si>
  <si>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</si>
  <si>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</si>
  <si>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</si>
  <si>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</si>
  <si>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</si>
  <si>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</si>
  <si>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</si>
  <si>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</si>
  <si>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</si>
  <si>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</si>
  <si>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</si>
  <si>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</si>
  <si>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</si>
  <si>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</si>
  <si>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</si>
  <si>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</si>
  <si>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</si>
  <si>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</si>
  <si>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</si>
  <si>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</si>
  <si>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</si>
  <si>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</si>
  <si>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</si>
  <si>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</si>
  <si>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</si>
  <si>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</si>
  <si>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</si>
  <si>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</si>
  <si>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</si>
  <si>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</si>
  <si>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</si>
  <si>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</si>
  <si>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</si>
  <si>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</si>
  <si>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</si>
  <si>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</si>
  <si>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</si>
  <si>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</si>
  <si>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</si>
  <si>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</si>
  <si>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</si>
  <si>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</si>
  <si>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</si>
  <si>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</si>
  <si>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</si>
  <si>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</si>
  <si>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</si>
  <si>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</si>
  <si>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</si>
  <si>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</si>
  <si>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</si>
  <si>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</si>
  <si>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</si>
  <si>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</si>
  <si>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</si>
  <si>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</si>
  <si>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</si>
  <si>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</si>
  <si>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</si>
  <si>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</si>
  <si>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</si>
  <si>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</si>
  <si>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</si>
  <si>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</si>
  <si>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</si>
  <si>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</si>
  <si>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</si>
  <si>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</si>
  <si>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</si>
  <si>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</si>
  <si>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</si>
  <si>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</si>
  <si>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</si>
  <si>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</si>
  <si>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</si>
  <si>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</si>
  <si>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</si>
  <si>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</si>
  <si>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</si>
  <si>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</si>
  <si>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</si>
  <si>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</si>
  <si>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</si>
  <si>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</si>
  <si>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</si>
  <si>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</si>
  <si>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</si>
  <si>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</si>
  <si>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</si>
  <si>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</si>
  <si>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</si>
  <si>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</si>
  <si>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</si>
  <si>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</si>
  <si>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</si>
  <si>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</si>
  <si>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</si>
  <si>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</si>
  <si>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</si>
  <si>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</si>
  <si>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</si>
  <si>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</si>
  <si>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</si>
  <si>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</si>
  <si>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</si>
  <si>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</si>
  <si>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</si>
  <si>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</si>
  <si>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</si>
  <si>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</si>
  <si>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</si>
  <si>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</si>
  <si>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</si>
  <si>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</si>
  <si>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</si>
  <si>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</si>
  <si>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</si>
  <si>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</si>
  <si>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</si>
  <si>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</si>
  <si>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</si>
  <si>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</si>
  <si>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</si>
  <si>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</si>
  <si>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zdravotničtí záchranáři</t>
  </si>
  <si>
    <t>zdravotničtí asistenti</t>
  </si>
  <si>
    <t>ošetřovatelé</t>
  </si>
  <si>
    <t>sanitáři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</si>
  <si>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</si>
  <si>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</si>
  <si>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</si>
  <si>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</si>
  <si>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</si>
  <si>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</si>
  <si>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</si>
  <si>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</si>
  <si>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</si>
  <si>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</si>
  <si>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</si>
  <si>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</si>
  <si>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</si>
  <si>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</si>
  <si>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</si>
  <si>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</si>
  <si>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</si>
  <si>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</si>
  <si>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</si>
  <si>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</si>
  <si>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</si>
  <si>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</si>
  <si>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</si>
  <si>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</si>
  <si>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</si>
  <si>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</si>
  <si>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</si>
  <si>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</si>
  <si>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</si>
  <si>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</si>
  <si>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</si>
  <si>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</si>
  <si>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</si>
  <si>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</si>
  <si>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</si>
  <si>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</si>
  <si>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</si>
  <si>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</si>
  <si>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</si>
  <si>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</si>
  <si>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</si>
  <si>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</si>
  <si>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</si>
  <si>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Případy hospitalizací se při výpočtu casemixu v letech 2015, 2016, 2017 rozumí případy hospitalizací přepočtené pomocí pravidel pro Klasifikaci a sestavování případů</t>
  </si>
  <si>
    <t>hospitalizací platných pro rok 2017</t>
  </si>
  <si>
    <t>Casemix v letech 2015, 2016, 2017 je počet případů hospitalizací ukončených ve sledovaném období, poskytovatelem vykázaných a zdravotní pojišťovnou uznaných,</t>
  </si>
  <si>
    <t>ROZDÍL (Sk.do data - Rozp.do data 2017)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</si>
  <si>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</si>
  <si>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</si>
  <si>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</si>
  <si>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</si>
  <si>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</si>
  <si>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</si>
  <si>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</si>
  <si>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které jsou podle Klasifikace zařazeny do skupin vztažených k diagnóze, vynásobený indexy 2016 (viz příohy č. 9 - individuálně smluvně sjednaná složka úhrady,</t>
  </si>
  <si>
    <t>10 - úhrada formou případového paušálu, 13 - úhrada vyčleněná z úhrady formou případového paušálu)</t>
  </si>
  <si>
    <t>Rozpočet výnosů pro rok 2017 je stanoven jako 100% skutečnosti referenčního období (2016)</t>
  </si>
  <si>
    <t>Rozdíl 2015</t>
  </si>
  <si>
    <t>Plnění 2015</t>
  </si>
  <si>
    <t>CM 2015</t>
  </si>
  <si>
    <t>Hosp.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</si>
  <si>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</si>
  <si>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</si>
  <si>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</si>
  <si>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</si>
  <si>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</si>
  <si>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</si>
  <si>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Kč (tisíce)</t>
  </si>
  <si>
    <t>Rozdíly 2015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</si>
  <si>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</si>
  <si>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Neurochirurgická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</si>
  <si>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</si>
  <si>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</si>
  <si>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</si>
  <si>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</si>
  <si>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</si>
  <si>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</si>
  <si>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</si>
  <si>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</si>
  <si>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</si>
  <si>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</si>
  <si>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</si>
  <si>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</si>
  <si>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50113009     léky - RTG diagnostika ZUL (LEK)</t>
  </si>
  <si>
    <t>50113011     léky - hemofilici ZUL (TO)</t>
  </si>
  <si>
    <t>--</t>
  </si>
  <si>
    <t>50113013     léky - antibiotika (LEK)</t>
  </si>
  <si>
    <t>50113014     léky - antimykotika (LEK)</t>
  </si>
  <si>
    <t>50113017     léky - dle §16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</si>
  <si>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</si>
  <si>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</si>
  <si>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</si>
  <si>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</si>
  <si>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</si>
  <si>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</si>
  <si>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50115005     IUTN - neurostimulace (Z511)</t>
  </si>
  <si>
    <t>50115006     IUTN - neuromodulace-DBS (Z508)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</si>
  <si>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</si>
  <si>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</si>
  <si>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</si>
  <si>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</si>
  <si>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</si>
  <si>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</si>
  <si>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</si>
  <si>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</si>
  <si>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</si>
  <si>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50115068     ZPr - čidla ICP (Z522)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</si>
  <si>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</si>
  <si>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</si>
  <si>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</si>
  <si>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</si>
  <si>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</si>
  <si>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</si>
  <si>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</si>
  <si>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</si>
  <si>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</si>
  <si>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</si>
  <si>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</si>
  <si>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</si>
  <si>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</si>
  <si>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</si>
  <si>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</si>
  <si>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</si>
  <si>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</si>
  <si>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</si>
  <si>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</si>
  <si>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</si>
  <si>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</si>
  <si>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50117201     obaly ostatní - LEK (sk.Z519)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</si>
  <si>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</si>
  <si>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</si>
  <si>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</si>
  <si>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</si>
  <si>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</si>
  <si>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</si>
  <si>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</si>
  <si>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</si>
  <si>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</si>
  <si>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</si>
  <si>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</si>
  <si>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</si>
  <si>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</si>
  <si>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</si>
  <si>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</si>
  <si>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</si>
  <si>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</si>
  <si>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</si>
  <si>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</si>
  <si>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</si>
  <si>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</si>
  <si>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</si>
  <si>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</si>
  <si>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</si>
  <si>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</si>
  <si>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</si>
  <si>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</si>
  <si>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</si>
  <si>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</si>
  <si>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</si>
  <si>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</si>
  <si>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</si>
  <si>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</si>
  <si>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</si>
  <si>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</si>
  <si>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</si>
  <si>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</si>
  <si>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</si>
  <si>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</si>
  <si>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</si>
  <si>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</si>
  <si>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</si>
  <si>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</si>
  <si>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</si>
  <si>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</si>
  <si>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</si>
  <si>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</si>
  <si>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</si>
  <si>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</si>
  <si>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</si>
  <si>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</si>
  <si>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</si>
  <si>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51874018     propagace, reklama, tisk (TM)</t>
  </si>
  <si>
    <t>521     Mzdové náklady</t>
  </si>
  <si>
    <t>52111     Hrubé mzdy</t>
  </si>
  <si>
    <t>52111000     hrubé mzdy</t>
  </si>
  <si>
    <t>52113     Refundace</t>
  </si>
  <si>
    <t>52113000     refundace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</si>
  <si>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</si>
  <si>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</si>
  <si>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</si>
  <si>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</si>
  <si>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</si>
  <si>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</si>
  <si>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</si>
  <si>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</si>
  <si>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</si>
  <si>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</si>
  <si>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</si>
  <si>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</si>
  <si>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</si>
  <si>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</si>
  <si>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</si>
  <si>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</si>
  <si>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</si>
  <si>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</si>
  <si>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</si>
  <si>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</si>
  <si>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</si>
  <si>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54920     Náklady účtované od UP</t>
  </si>
  <si>
    <t>54920000     náklady účtované od UP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</si>
  <si>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</si>
  <si>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</si>
  <si>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</si>
  <si>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</si>
  <si>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</si>
  <si>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</si>
  <si>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</si>
  <si>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</si>
  <si>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</si>
  <si>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</si>
  <si>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</si>
  <si>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</si>
  <si>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</si>
  <si>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</si>
  <si>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</si>
  <si>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</si>
  <si>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</si>
  <si>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</si>
  <si>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</si>
  <si>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</si>
  <si>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55802004     DDHM - přepravní pouzdra pro PDS ( Potrubní poštu (sk.V_48)</t>
  </si>
  <si>
    <t>55804     DDHM - výpočetní technika</t>
  </si>
  <si>
    <t>55804001     DDHM - výpočetní technika (sk.P_35)</t>
  </si>
  <si>
    <t>55804002     DDHM - telefony (sk.P_49)</t>
  </si>
  <si>
    <t>55804080     DDHM - výpočetní technika (vecné dary)</t>
  </si>
  <si>
    <t>55805     DDHM - inventář</t>
  </si>
  <si>
    <t>55805002     DDHM - nábytek (sk.V_31)</t>
  </si>
  <si>
    <t>55805080     DDHM - inventář (věcné dary)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</si>
  <si>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</si>
  <si>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</si>
  <si>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</si>
  <si>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</si>
  <si>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</si>
  <si>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</si>
  <si>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</si>
  <si>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</si>
  <si>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</si>
  <si>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</si>
  <si>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</si>
  <si>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</si>
  <si>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</si>
  <si>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</si>
  <si>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</si>
  <si>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</si>
  <si>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</si>
  <si>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</si>
  <si>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</si>
  <si>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</si>
  <si>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</si>
  <si>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</si>
  <si>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</si>
  <si>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</si>
  <si>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</si>
  <si>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</si>
  <si>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</si>
  <si>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</si>
  <si>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</si>
  <si>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</si>
  <si>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</si>
  <si>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</si>
  <si>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</si>
  <si>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64924450     poštovné, balné za odeslání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</si>
  <si>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</si>
  <si>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</si>
  <si>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</si>
  <si>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</si>
  <si>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</si>
  <si>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</si>
  <si>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</si>
  <si>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</si>
  <si>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</si>
  <si>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</si>
  <si>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</si>
  <si>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</si>
  <si>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</si>
  <si>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</si>
  <si>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</si>
  <si>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</si>
  <si>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</si>
  <si>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</si>
  <si>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</si>
  <si>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</si>
  <si>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</si>
  <si>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</si>
  <si>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</si>
  <si>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</si>
  <si>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</si>
  <si>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</si>
  <si>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</si>
  <si>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06</t>
  </si>
  <si>
    <t>NCHIR: Neurochirurgická klinika</t>
  </si>
  <si>
    <t/>
  </si>
  <si>
    <t>50113007     léky - krev.deriváty ZUL (LEK)</t>
  </si>
  <si>
    <t>NCHIR: Neurochirurgická klinika Celkem</t>
  </si>
  <si>
    <t>SumaKL</t>
  </si>
  <si>
    <t>0611</t>
  </si>
  <si>
    <t>NCHIR: lůžkové oddělení 34</t>
  </si>
  <si>
    <t>NCHIR: lůžkové oddělení 34 Celkem</t>
  </si>
  <si>
    <t>SumaNS</t>
  </si>
  <si>
    <t>mezeraNS</t>
  </si>
  <si>
    <t>0612</t>
  </si>
  <si>
    <t>NCHIR: lůžkové oddělení 36A</t>
  </si>
  <si>
    <t>NCHIR: lůžkové oddělení 36A Celkem</t>
  </si>
  <si>
    <t>0621</t>
  </si>
  <si>
    <t>NCHIR: ambulance</t>
  </si>
  <si>
    <t>NCHIR: ambulance Celkem</t>
  </si>
  <si>
    <t>0631</t>
  </si>
  <si>
    <t xml:space="preserve">NCHIR: JIP </t>
  </si>
  <si>
    <t>NCHIR: JIP  Celkem</t>
  </si>
  <si>
    <t>0662</t>
  </si>
  <si>
    <t>NCHIR: operační sál - lokální</t>
  </si>
  <si>
    <t>NCHIR: operační sál - lokální Celkem</t>
  </si>
  <si>
    <t>50113001</t>
  </si>
  <si>
    <t>187906</t>
  </si>
  <si>
    <t>87906</t>
  </si>
  <si>
    <t>KORYLAN</t>
  </si>
  <si>
    <t>TBL 10</t>
  </si>
  <si>
    <t>132853</t>
  </si>
  <si>
    <t>AULIN</t>
  </si>
  <si>
    <t>POR TBL NOB 30X100MG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</si>
  <si>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</si>
  <si>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</si>
  <si>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</si>
  <si>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</si>
  <si>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</si>
  <si>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</si>
  <si>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</si>
  <si>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</si>
  <si>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</si>
  <si>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</si>
  <si>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</si>
  <si>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</si>
  <si>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</si>
  <si>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</si>
  <si>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</si>
  <si>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</si>
  <si>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</si>
  <si>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</si>
  <si>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</si>
  <si>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100610</t>
  </si>
  <si>
    <t>610</t>
  </si>
  <si>
    <t>SYNTOPHYLLIN</t>
  </si>
  <si>
    <t>INJ 5X10ML/240MG</t>
  </si>
  <si>
    <t>100802</t>
  </si>
  <si>
    <t>1000</t>
  </si>
  <si>
    <t>IR OG. OPHTHALMO-SEPTONEX</t>
  </si>
  <si>
    <t>GTT OPH 1X10ML</t>
  </si>
  <si>
    <t>100876</t>
  </si>
  <si>
    <t>876</t>
  </si>
  <si>
    <t>OPHTHALMO-SEPTONEX</t>
  </si>
  <si>
    <t>UNG OPH 1X5GM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</si>
  <si>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</si>
  <si>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</si>
  <si>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</si>
  <si>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</si>
  <si>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</si>
  <si>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</si>
  <si>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</si>
  <si>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102486</t>
  </si>
  <si>
    <t>2486</t>
  </si>
  <si>
    <t>KALIUM CHLORATUM LECIVA 7.5%</t>
  </si>
  <si>
    <t>INJ 5X10ML 7.5%</t>
  </si>
  <si>
    <t>124067</t>
  </si>
  <si>
    <t>HYDROCORTISON VUAB 100 MG</t>
  </si>
  <si>
    <t>INJ PLV SOL 1X100MG</t>
  </si>
  <si>
    <t>132086</t>
  </si>
  <si>
    <t>32086</t>
  </si>
  <si>
    <t>TRALGIT</t>
  </si>
  <si>
    <t>POR CPS DUR 20X50MG</t>
  </si>
  <si>
    <t>147193</t>
  </si>
  <si>
    <t>47193</t>
  </si>
  <si>
    <t>HUMULIN R 100 M.J./ML</t>
  </si>
  <si>
    <t>INJ 1X10ML/1KU</t>
  </si>
  <si>
    <t>148578</t>
  </si>
  <si>
    <t>48578</t>
  </si>
  <si>
    <t>TIAPRIDAL</t>
  </si>
  <si>
    <t>POR TBLNOB 50X100MG</t>
  </si>
  <si>
    <t>156993</t>
  </si>
  <si>
    <t>56993</t>
  </si>
  <si>
    <t>CODEIN SLOVAKOFARMA 30MG</t>
  </si>
  <si>
    <t>TBL 10X30MG-BLISTR</t>
  </si>
  <si>
    <t>158425</t>
  </si>
  <si>
    <t>58425</t>
  </si>
  <si>
    <t>DOLMINA 50</t>
  </si>
  <si>
    <t>TBL OBD 30X50MG</t>
  </si>
  <si>
    <t>184090</t>
  </si>
  <si>
    <t>84090</t>
  </si>
  <si>
    <t>DEXAMED</t>
  </si>
  <si>
    <t>INJ 10X2ML/8MG</t>
  </si>
  <si>
    <t>193104</t>
  </si>
  <si>
    <t>93104</t>
  </si>
  <si>
    <t>DEGAN</t>
  </si>
  <si>
    <t>TBL 40X10MG</t>
  </si>
  <si>
    <t>844145</t>
  </si>
  <si>
    <t>56350</t>
  </si>
  <si>
    <t>SPECIES UROLOGICAE PLANTA LEROS</t>
  </si>
  <si>
    <t>SPC 20X1.5GM(SÁČKY)</t>
  </si>
  <si>
    <t>845008</t>
  </si>
  <si>
    <t>107806</t>
  </si>
  <si>
    <t>AESCIN-TEVA</t>
  </si>
  <si>
    <t>POR TBL FLM 30X20MG</t>
  </si>
  <si>
    <t>847974</t>
  </si>
  <si>
    <t>125525</t>
  </si>
  <si>
    <t>APO-IBUPROFEN 400 MG</t>
  </si>
  <si>
    <t>POR TBL FLM 30X400MG</t>
  </si>
  <si>
    <t>848950</t>
  </si>
  <si>
    <t>155148</t>
  </si>
  <si>
    <t>PARALEN 500</t>
  </si>
  <si>
    <t>POR TBL NOB 12X500MG</t>
  </si>
  <si>
    <t>849941</t>
  </si>
  <si>
    <t>162142</t>
  </si>
  <si>
    <t>POR TBL NOB 24X500MG</t>
  </si>
  <si>
    <t>100612</t>
  </si>
  <si>
    <t>612</t>
  </si>
  <si>
    <t>SYNTOSTIGMIN</t>
  </si>
  <si>
    <t>INJ 10X1ML/0.5MG</t>
  </si>
  <si>
    <t>102818</t>
  </si>
  <si>
    <t>2818</t>
  </si>
  <si>
    <t>ENDIARON</t>
  </si>
  <si>
    <t>TBL OBD 20X250MG</t>
  </si>
  <si>
    <t>118305</t>
  </si>
  <si>
    <t>18305</t>
  </si>
  <si>
    <t>RINGERFUNDIN B.BRAUN</t>
  </si>
  <si>
    <t>INF SOL10X1000ML PE</t>
  </si>
  <si>
    <t>146991</t>
  </si>
  <si>
    <t>46991</t>
  </si>
  <si>
    <t>IMODIUM</t>
  </si>
  <si>
    <t>CPS 20X2MG</t>
  </si>
  <si>
    <t>162315</t>
  </si>
  <si>
    <t>62315</t>
  </si>
  <si>
    <t>BETADINE - zelená</t>
  </si>
  <si>
    <t>LIQ 1X30ML</t>
  </si>
  <si>
    <t>152334</t>
  </si>
  <si>
    <t>52334</t>
  </si>
  <si>
    <t>FORTECORTIN 4</t>
  </si>
  <si>
    <t>POR TBL NOB 20X4MG</t>
  </si>
  <si>
    <t>167547</t>
  </si>
  <si>
    <t>67547</t>
  </si>
  <si>
    <t>ALMIRAL</t>
  </si>
  <si>
    <t>INJ 10X3ML/75MG</t>
  </si>
  <si>
    <t>176205</t>
  </si>
  <si>
    <t>180825</t>
  </si>
  <si>
    <t>HYDROCORTISON 10MG</t>
  </si>
  <si>
    <t>108499</t>
  </si>
  <si>
    <t>8499</t>
  </si>
  <si>
    <t>DIPIDOLOR</t>
  </si>
  <si>
    <t>INJ 5X2ML 7.5MG/ML</t>
  </si>
  <si>
    <t>169743</t>
  </si>
  <si>
    <t>69743</t>
  </si>
  <si>
    <t>ARDEAOSMOSOL MA 15 (Mannitol)</t>
  </si>
  <si>
    <t>INF 1X80ML</t>
  </si>
  <si>
    <t>930661</t>
  </si>
  <si>
    <t>0</t>
  </si>
  <si>
    <t>KL AQUA PURIF. BAG IN BOX 5 l</t>
  </si>
  <si>
    <t>900493</t>
  </si>
  <si>
    <t>KL SUPP.BISACODYLI 0,01G  30KS</t>
  </si>
  <si>
    <t>155911</t>
  </si>
  <si>
    <t>55911</t>
  </si>
  <si>
    <t>PEROXID VODÍKU 3% COO</t>
  </si>
  <si>
    <t>DRM SOL 1X100ML 3%</t>
  </si>
  <si>
    <t>920358</t>
  </si>
  <si>
    <t>KL SOL.BORGLYCEROLI 3% 200 G</t>
  </si>
  <si>
    <t>128178</t>
  </si>
  <si>
    <t>28178</t>
  </si>
  <si>
    <t>TACHOSIL</t>
  </si>
  <si>
    <t>DRM SPO 3.0X2.5CM</t>
  </si>
  <si>
    <t>132082</t>
  </si>
  <si>
    <t>32082</t>
  </si>
  <si>
    <t>IBALGIN 400 (IBUPROFEN 400)</t>
  </si>
  <si>
    <t>TBL OBD 100X400MG</t>
  </si>
  <si>
    <t>196620</t>
  </si>
  <si>
    <t>96620</t>
  </si>
  <si>
    <t>BISACODYL</t>
  </si>
  <si>
    <t>DRG 105X5MG</t>
  </si>
  <si>
    <t>843067</t>
  </si>
  <si>
    <t>KL SUPP.BISACODYLI 0,01G  40KS</t>
  </si>
  <si>
    <t>849253</t>
  </si>
  <si>
    <t>141763</t>
  </si>
  <si>
    <t>NASIVIN Sensitive 0,025%</t>
  </si>
  <si>
    <t>nas.spr.sol.1x10ml</t>
  </si>
  <si>
    <t>845908</t>
  </si>
  <si>
    <t>122520</t>
  </si>
  <si>
    <t>SEPTONEX</t>
  </si>
  <si>
    <t>DRM. SPR. SOL. 1x100ml</t>
  </si>
  <si>
    <t>171571</t>
  </si>
  <si>
    <t>CARZAP HCT 16 MG/12,5 MG  TABLETY</t>
  </si>
  <si>
    <t>POR TBL NOB 28</t>
  </si>
  <si>
    <t>202701</t>
  </si>
  <si>
    <t>POR TBL ENT 90X20MG</t>
  </si>
  <si>
    <t>202924</t>
  </si>
  <si>
    <t>POR TBL FLM 10X250MG</t>
  </si>
  <si>
    <t>23987</t>
  </si>
  <si>
    <t>DZ OCTENISEPT drm. sol. 250 ml</t>
  </si>
  <si>
    <t>DRM SOL 1X250ML</t>
  </si>
  <si>
    <t>203954</t>
  </si>
  <si>
    <t>BISEPTOL 480</t>
  </si>
  <si>
    <t>POR TBL NOB 28X480MG</t>
  </si>
  <si>
    <t>990178</t>
  </si>
  <si>
    <t>AESCIN VULM tbl.20</t>
  </si>
  <si>
    <t>500845</t>
  </si>
  <si>
    <t>DZ PRONTODERM GEL-STRONG 100ML</t>
  </si>
  <si>
    <t>501621</t>
  </si>
  <si>
    <t>RP UNG.MUPIROCINI 2%</t>
  </si>
  <si>
    <t>215605</t>
  </si>
  <si>
    <t>HELICID 20 ZENTIVA</t>
  </si>
  <si>
    <t>POR CPS ETD 28X20MG</t>
  </si>
  <si>
    <t>67558</t>
  </si>
  <si>
    <t>MABRON</t>
  </si>
  <si>
    <t>INJ SOL 5X2ML</t>
  </si>
  <si>
    <t>119653</t>
  </si>
  <si>
    <t>SORBIFER DURULES</t>
  </si>
  <si>
    <t>TBL FLM 60X320MG/60MG</t>
  </si>
  <si>
    <t>988310</t>
  </si>
  <si>
    <t>Delmar nosní sprej 50ml</t>
  </si>
  <si>
    <t>P</t>
  </si>
  <si>
    <t>107981</t>
  </si>
  <si>
    <t>7981</t>
  </si>
  <si>
    <t>NOVALGIN</t>
  </si>
  <si>
    <t>INJ 10X2ML/1000MG</t>
  </si>
  <si>
    <t>109709</t>
  </si>
  <si>
    <t>9709</t>
  </si>
  <si>
    <t>SOLU-MEDROL</t>
  </si>
  <si>
    <t>INJ SIC 1X40MG+1ML</t>
  </si>
  <si>
    <t>110252</t>
  </si>
  <si>
    <t>10252</t>
  </si>
  <si>
    <t>CAVINTON FORTE</t>
  </si>
  <si>
    <t>POR TBL NOB 30X10MG</t>
  </si>
  <si>
    <t>155823</t>
  </si>
  <si>
    <t>55823</t>
  </si>
  <si>
    <t>TBL OBD 20X500MG</t>
  </si>
  <si>
    <t>844554</t>
  </si>
  <si>
    <t>114065</t>
  </si>
  <si>
    <t>LOZAP 50 ZENTIVA</t>
  </si>
  <si>
    <t>POR TBL FLM 30X50MG</t>
  </si>
  <si>
    <t>112891</t>
  </si>
  <si>
    <t>12891</t>
  </si>
  <si>
    <t>TBL 15X100MG</t>
  </si>
  <si>
    <t>155824</t>
  </si>
  <si>
    <t>55824</t>
  </si>
  <si>
    <t>INJ 5X5ML/2500MG</t>
  </si>
  <si>
    <t>845123</t>
  </si>
  <si>
    <t>109797</t>
  </si>
  <si>
    <t>ULTRACOD</t>
  </si>
  <si>
    <t>POR TBL NOB 10</t>
  </si>
  <si>
    <t>845240</t>
  </si>
  <si>
    <t>109799</t>
  </si>
  <si>
    <t>POR TBL NOB 30</t>
  </si>
  <si>
    <t>24550</t>
  </si>
  <si>
    <t>ONDANSETRON KABI 2 MG/ML</t>
  </si>
  <si>
    <t>INJ SOL 5X4ML</t>
  </si>
  <si>
    <t>213477</t>
  </si>
  <si>
    <t>FRAXIPARIN MULTI</t>
  </si>
  <si>
    <t>INJ 10X5ML/47.5KU</t>
  </si>
  <si>
    <t>214427</t>
  </si>
  <si>
    <t>CONTROLOC I.V.</t>
  </si>
  <si>
    <t>INJ PLV SOL 1X40MG</t>
  </si>
  <si>
    <t>213487</t>
  </si>
  <si>
    <t>FRAXIPARINE</t>
  </si>
  <si>
    <t>INJ SOL 10X0.3ML</t>
  </si>
  <si>
    <t>214435</t>
  </si>
  <si>
    <t>CONTROLOC 20 MG</t>
  </si>
  <si>
    <t>POR TBL ENT 100X20MG</t>
  </si>
  <si>
    <t>50113013</t>
  </si>
  <si>
    <t>203855</t>
  </si>
  <si>
    <t>CEFOTAXIME LEK 1 G PRÁŠEK PRO INJEKČNÍ ROZTOK</t>
  </si>
  <si>
    <t>IMS+IVN INJ PLV SOL 10X1GM</t>
  </si>
  <si>
    <t>147725</t>
  </si>
  <si>
    <t>47725</t>
  </si>
  <si>
    <t>ZINNAT 250 MG</t>
  </si>
  <si>
    <t>TBL OBD 10X250MG</t>
  </si>
  <si>
    <t>113453</t>
  </si>
  <si>
    <t>PIPERACILLIN/TAZOBACTAM KABI 4 G/0,5 G</t>
  </si>
  <si>
    <t>INF PLV SOL 10X4.5GM</t>
  </si>
  <si>
    <t>151458</t>
  </si>
  <si>
    <t>CEFUROXIM KABI 1500 MG</t>
  </si>
  <si>
    <t>INJ+INF PLV SOL 10X1.5GM</t>
  </si>
  <si>
    <t>849655</t>
  </si>
  <si>
    <t>129836</t>
  </si>
  <si>
    <t>Clindamycin Kabi 150mg/ml 10 x 4ml/600mg</t>
  </si>
  <si>
    <t>10 x 4ml /600mg</t>
  </si>
  <si>
    <t>105951</t>
  </si>
  <si>
    <t>5951</t>
  </si>
  <si>
    <t>AMOKSIKLAV 1G</t>
  </si>
  <si>
    <t>TBL OBD 14X1GM</t>
  </si>
  <si>
    <t>50113014</t>
  </si>
  <si>
    <t>64942</t>
  </si>
  <si>
    <t>DIFLUCAN 100 MG</t>
  </si>
  <si>
    <t>POR CPS DUR 28X100MG</t>
  </si>
  <si>
    <t>128222</t>
  </si>
  <si>
    <t>28222</t>
  </si>
  <si>
    <t>LYRICA 150 MG</t>
  </si>
  <si>
    <t>POR CPSDUR14X150MG</t>
  </si>
  <si>
    <t>196977</t>
  </si>
  <si>
    <t>96977</t>
  </si>
  <si>
    <t>XANAX</t>
  </si>
  <si>
    <t>TBL 30X1MG</t>
  </si>
  <si>
    <t>175080</t>
  </si>
  <si>
    <t>DRETACEN 250 MG</t>
  </si>
  <si>
    <t>POR TBL FLM 50X250MG</t>
  </si>
  <si>
    <t>51367</t>
  </si>
  <si>
    <t>INF SOL 10X250MLPELAH</t>
  </si>
  <si>
    <t>100527</t>
  </si>
  <si>
    <t>527</t>
  </si>
  <si>
    <t>NATRIUM SALICYLICUM BIOTIKA</t>
  </si>
  <si>
    <t>INJ 10X10ML 10%</t>
  </si>
  <si>
    <t>100643</t>
  </si>
  <si>
    <t>643</t>
  </si>
  <si>
    <t>VITAMIN B12 LECIVA 1000RG</t>
  </si>
  <si>
    <t>INJ 5X1ML/1000RG</t>
  </si>
  <si>
    <t>103575</t>
  </si>
  <si>
    <t>3575</t>
  </si>
  <si>
    <t>HEPAROID LECIVA</t>
  </si>
  <si>
    <t>UNG 1X30GM</t>
  </si>
  <si>
    <t>109159</t>
  </si>
  <si>
    <t>9159</t>
  </si>
  <si>
    <t>HYLAK FORTE</t>
  </si>
  <si>
    <t>GTT 1X100ML</t>
  </si>
  <si>
    <t>109847</t>
  </si>
  <si>
    <t>9847</t>
  </si>
  <si>
    <t>TORECAN</t>
  </si>
  <si>
    <t>SUP 6X6.5MG</t>
  </si>
  <si>
    <t>117189</t>
  </si>
  <si>
    <t>17189</t>
  </si>
  <si>
    <t>KALIUM CHLORATUM BIOMEDICA</t>
  </si>
  <si>
    <t>POR TBLFLM100X500MG</t>
  </si>
  <si>
    <t>117992</t>
  </si>
  <si>
    <t>17992</t>
  </si>
  <si>
    <t>MAGNESII LACTICI 0,5 TBL. MEDICAMENTA</t>
  </si>
  <si>
    <t>TBL NOB 100X0,5GM</t>
  </si>
  <si>
    <t>142776</t>
  </si>
  <si>
    <t>42776</t>
  </si>
  <si>
    <t>TRALGIT SR 150</t>
  </si>
  <si>
    <t>POR TBL RET30X150MG</t>
  </si>
  <si>
    <t>157586</t>
  </si>
  <si>
    <t>57586</t>
  </si>
  <si>
    <t>ESPUMISAN</t>
  </si>
  <si>
    <t>PORCPSMOL50X40MG-BL</t>
  </si>
  <si>
    <t>158249</t>
  </si>
  <si>
    <t>58249</t>
  </si>
  <si>
    <t>GUAJACURAN « 5 % INJ</t>
  </si>
  <si>
    <t>166555</t>
  </si>
  <si>
    <t>66555</t>
  </si>
  <si>
    <t>MAGNOSOLV</t>
  </si>
  <si>
    <t>GRA 30X6.1GM(SACKY)</t>
  </si>
  <si>
    <t>183106</t>
  </si>
  <si>
    <t>83106</t>
  </si>
  <si>
    <t>LIOTON 100000 GEL</t>
  </si>
  <si>
    <t>GEL 1X50GM</t>
  </si>
  <si>
    <t>188219</t>
  </si>
  <si>
    <t>88219</t>
  </si>
  <si>
    <t>LEXAURIN 3</t>
  </si>
  <si>
    <t>POR TBL NOB 30X3MG</t>
  </si>
  <si>
    <t>189212</t>
  </si>
  <si>
    <t>89212</t>
  </si>
  <si>
    <t>INJECTIO PROCAIN.CHLOR.0.2% ARD</t>
  </si>
  <si>
    <t>INJ 1X200ML 0.2%</t>
  </si>
  <si>
    <t>191836</t>
  </si>
  <si>
    <t>91836</t>
  </si>
  <si>
    <t>INJ 5X1ML/6.5MG</t>
  </si>
  <si>
    <t>193105</t>
  </si>
  <si>
    <t>93105</t>
  </si>
  <si>
    <t>INJ 50X2ML/10MG</t>
  </si>
  <si>
    <t>194804</t>
  </si>
  <si>
    <t>94804</t>
  </si>
  <si>
    <t>MODURETIC</t>
  </si>
  <si>
    <t>840220</t>
  </si>
  <si>
    <t>Lactobacillus acidophil.cps.75 bez laktózy</t>
  </si>
  <si>
    <t>846413</t>
  </si>
  <si>
    <t>57585</t>
  </si>
  <si>
    <t>Espumisan cps.100x40mg-blistr</t>
  </si>
  <si>
    <t>0057585</t>
  </si>
  <si>
    <t>847488</t>
  </si>
  <si>
    <t>107869</t>
  </si>
  <si>
    <t>APO-ALLOPURINOL</t>
  </si>
  <si>
    <t>POR TBL NOB 100X100MG</t>
  </si>
  <si>
    <t>848545</t>
  </si>
  <si>
    <t>127546</t>
  </si>
  <si>
    <t>AMESOS 10 MG/5 MG TABLETY</t>
  </si>
  <si>
    <t>848866</t>
  </si>
  <si>
    <t>119654</t>
  </si>
  <si>
    <t>POR TBL FLM 100X100MG</t>
  </si>
  <si>
    <t>905097</t>
  </si>
  <si>
    <t>158767</t>
  </si>
  <si>
    <t>DZ OCTENISEPT 250 ml</t>
  </si>
  <si>
    <t>sprej</t>
  </si>
  <si>
    <t>109139</t>
  </si>
  <si>
    <t>176129</t>
  </si>
  <si>
    <t>HEMINEVRIN 300 MG</t>
  </si>
  <si>
    <t>POR CPS MOL 100X300MG</t>
  </si>
  <si>
    <t>159357</t>
  </si>
  <si>
    <t>59357</t>
  </si>
  <si>
    <t>RINGERUV ROZTOK BRAUN</t>
  </si>
  <si>
    <t>INF 10X500ML(LDPE)</t>
  </si>
  <si>
    <t>193124</t>
  </si>
  <si>
    <t>93124</t>
  </si>
  <si>
    <t>FAKTU</t>
  </si>
  <si>
    <t>UNG 1X20GM</t>
  </si>
  <si>
    <t>102684</t>
  </si>
  <si>
    <t>2684</t>
  </si>
  <si>
    <t>MESOCAIN</t>
  </si>
  <si>
    <t>GEL 1X20GM</t>
  </si>
  <si>
    <t>100874</t>
  </si>
  <si>
    <t>874</t>
  </si>
  <si>
    <t>OPHTHALMO-AZULEN</t>
  </si>
  <si>
    <t>100810</t>
  </si>
  <si>
    <t>810</t>
  </si>
  <si>
    <t>SANORIN EMULSIO</t>
  </si>
  <si>
    <t>GTT NAS 10ML 0.1%</t>
  </si>
  <si>
    <t>198791</t>
  </si>
  <si>
    <t>98791</t>
  </si>
  <si>
    <t>DEPREX LÉČIVA</t>
  </si>
  <si>
    <t>POR CPS DUR 30X20MG</t>
  </si>
  <si>
    <t>396473</t>
  </si>
  <si>
    <t>99130</t>
  </si>
  <si>
    <t>ARDEAOSMOSOL MA 20 (Mannitol)</t>
  </si>
  <si>
    <t>INF 1X100 ML</t>
  </si>
  <si>
    <t>188860</t>
  </si>
  <si>
    <t>154078</t>
  </si>
  <si>
    <t>NIMOTOP S</t>
  </si>
  <si>
    <t>POR TBL FLM 100X30MG</t>
  </si>
  <si>
    <t>900007</t>
  </si>
  <si>
    <t>KL SOL.HYD.PEROX.3% 100G</t>
  </si>
  <si>
    <t>920362</t>
  </si>
  <si>
    <t>KL SOL.BORGLYCEROLI 3% 1000 G</t>
  </si>
  <si>
    <t>12026</t>
  </si>
  <si>
    <t>GLIMEPIRID SANDOZ 1 MG TABLETY</t>
  </si>
  <si>
    <t>POR TBL NOB 30X1MG</t>
  </si>
  <si>
    <t>215476</t>
  </si>
  <si>
    <t>EBRANTIL 30 RETARD</t>
  </si>
  <si>
    <t>POR CPS PRO 50X30MG</t>
  </si>
  <si>
    <t>214904</t>
  </si>
  <si>
    <t>EUPHYLLIN CR N 200</t>
  </si>
  <si>
    <t>POR CPS PRO 50X200MG</t>
  </si>
  <si>
    <t>215606</t>
  </si>
  <si>
    <t>POR CPS ETD 90X20MG</t>
  </si>
  <si>
    <t>216963</t>
  </si>
  <si>
    <t>NORETHISTERON ZENTIVA</t>
  </si>
  <si>
    <t>TBL NOB 45X5MG</t>
  </si>
  <si>
    <t>397982</t>
  </si>
  <si>
    <t>MO LAHEV NA OXIPER 1 l</t>
  </si>
  <si>
    <t>191787</t>
  </si>
  <si>
    <t>GALANTAMIN MYLAN 8 MG</t>
  </si>
  <si>
    <t>POR CPS PRO 30X8MG I</t>
  </si>
  <si>
    <t>193894</t>
  </si>
  <si>
    <t>TOLUCOMBI 80 MG/25 MG</t>
  </si>
  <si>
    <t>115013</t>
  </si>
  <si>
    <t>15013</t>
  </si>
  <si>
    <t>DORMICUM 7.5 MG</t>
  </si>
  <si>
    <t>TBL OBD 10X7.5MG</t>
  </si>
  <si>
    <t>132063</t>
  </si>
  <si>
    <t>32063</t>
  </si>
  <si>
    <t>INJ SOL 10X0.8ML</t>
  </si>
  <si>
    <t>147741</t>
  </si>
  <si>
    <t>47741</t>
  </si>
  <si>
    <t>RIVOCOR 10</t>
  </si>
  <si>
    <t>POR TBL FLM 30X10MG</t>
  </si>
  <si>
    <t>193013</t>
  </si>
  <si>
    <t>93013</t>
  </si>
  <si>
    <t>SORTIS 10MG</t>
  </si>
  <si>
    <t>TBL OBD 30X10MG</t>
  </si>
  <si>
    <t>848907</t>
  </si>
  <si>
    <t>148072</t>
  </si>
  <si>
    <t>ROSUCARD 20 MG POTAHOVANÉ TABLETY</t>
  </si>
  <si>
    <t>147454</t>
  </si>
  <si>
    <t>EUTHYROX 88 MIKROGRAMŮ</t>
  </si>
  <si>
    <t>POR TBL NOB 100X88RG II</t>
  </si>
  <si>
    <t>144997</t>
  </si>
  <si>
    <t>44997</t>
  </si>
  <si>
    <t>DEPAKINE CHRONO 500MG SECABLE</t>
  </si>
  <si>
    <t>TBL RET 100X500MG</t>
  </si>
  <si>
    <t>130652</t>
  </si>
  <si>
    <t>30652</t>
  </si>
  <si>
    <t>REASEC</t>
  </si>
  <si>
    <t>TBL 20X2.5MG</t>
  </si>
  <si>
    <t>59807</t>
  </si>
  <si>
    <t>FRAXIPARINE FORTE</t>
  </si>
  <si>
    <t>INJ SOL 2X0.8ML</t>
  </si>
  <si>
    <t>181456</t>
  </si>
  <si>
    <t>81456</t>
  </si>
  <si>
    <t>DUPHALAC</t>
  </si>
  <si>
    <t>SIR 1X500ML-HDPE</t>
  </si>
  <si>
    <t>158172</t>
  </si>
  <si>
    <t>58172</t>
  </si>
  <si>
    <t>SOLIAN 200 MG</t>
  </si>
  <si>
    <t>TBL 30X200MG</t>
  </si>
  <si>
    <t>849578</t>
  </si>
  <si>
    <t>149480</t>
  </si>
  <si>
    <t>ZYLLT 75 MG</t>
  </si>
  <si>
    <t>POR TBL FLM 28X75MG</t>
  </si>
  <si>
    <t>149483</t>
  </si>
  <si>
    <t>POR TBL FLM 56X75MG</t>
  </si>
  <si>
    <t>213494</t>
  </si>
  <si>
    <t>INJ SOL 10X0.4ML</t>
  </si>
  <si>
    <t>213489</t>
  </si>
  <si>
    <t>INJ SOL 10X0.6ML</t>
  </si>
  <si>
    <t>201030</t>
  </si>
  <si>
    <t>SEFOTAK 1 G</t>
  </si>
  <si>
    <t>INJ PLV SOL 1X1GM</t>
  </si>
  <si>
    <t>96414</t>
  </si>
  <si>
    <t>GENTAMICIN LEK 80 MG/2 ML</t>
  </si>
  <si>
    <t>INJ SOL 10X2ML/80MG</t>
  </si>
  <si>
    <t>116600</t>
  </si>
  <si>
    <t>16600</t>
  </si>
  <si>
    <t>UNASYN</t>
  </si>
  <si>
    <t>INJ PLV SOL 1X1.5GM</t>
  </si>
  <si>
    <t>147727</t>
  </si>
  <si>
    <t>47727</t>
  </si>
  <si>
    <t>ZINNAT 500 MG</t>
  </si>
  <si>
    <t>TBL OBD 10X500MG</t>
  </si>
  <si>
    <t>172972</t>
  </si>
  <si>
    <t>72972</t>
  </si>
  <si>
    <t>AMOKSIKLAV 1.2GM</t>
  </si>
  <si>
    <t>INJ SIC 5X1.2GM</t>
  </si>
  <si>
    <t>175023</t>
  </si>
  <si>
    <t>75023</t>
  </si>
  <si>
    <t>COTRIMOXAZOL AL FORTE</t>
  </si>
  <si>
    <t>TBL 20X960MG</t>
  </si>
  <si>
    <t>197699</t>
  </si>
  <si>
    <t xml:space="preserve">LINEZOLID SANDOZ 600 MG </t>
  </si>
  <si>
    <t>POR TBL FLM 10X600MG</t>
  </si>
  <si>
    <t>197000</t>
  </si>
  <si>
    <t>97000</t>
  </si>
  <si>
    <t>METRONIDAZOLE 0.5% POLFA</t>
  </si>
  <si>
    <t>INJ 1X100ML 5MG/1ML</t>
  </si>
  <si>
    <t>166269</t>
  </si>
  <si>
    <t>VANCOMYCIN MYLAN 1000 MG</t>
  </si>
  <si>
    <t>INF PLV SOL 1X1GM</t>
  </si>
  <si>
    <t>192143</t>
  </si>
  <si>
    <t>DIPROPHOS</t>
  </si>
  <si>
    <t>INJ SUS 5X1ML/7MG</t>
  </si>
  <si>
    <t>128216</t>
  </si>
  <si>
    <t>28216</t>
  </si>
  <si>
    <t>LYRICA 75 MG</t>
  </si>
  <si>
    <t>POR CPSDUR14X75MG</t>
  </si>
  <si>
    <t>118175</t>
  </si>
  <si>
    <t>18175</t>
  </si>
  <si>
    <t>PROPOFOL 1% MCT/LCT FRESENIUS</t>
  </si>
  <si>
    <t>INJ EML 10X100ML</t>
  </si>
  <si>
    <t>850680</t>
  </si>
  <si>
    <t>120407</t>
  </si>
  <si>
    <t>THIOPENTAL VUAB INJ. PLV. SOL. 1,0 G</t>
  </si>
  <si>
    <t>49941</t>
  </si>
  <si>
    <t>BETALOC ZOK 100 MG</t>
  </si>
  <si>
    <t>POR TBL PRO 100X100MG</t>
  </si>
  <si>
    <t>100502</t>
  </si>
  <si>
    <t>502</t>
  </si>
  <si>
    <t>INJ 10X10ML 1%</t>
  </si>
  <si>
    <t>101710</t>
  </si>
  <si>
    <t>1710</t>
  </si>
  <si>
    <t>MILURIT 300</t>
  </si>
  <si>
    <t>TBL 30X300MG</t>
  </si>
  <si>
    <t>102133</t>
  </si>
  <si>
    <t>2133</t>
  </si>
  <si>
    <t>FUROSEMID BIOTIKA</t>
  </si>
  <si>
    <t>INJ 5X2ML/20MG</t>
  </si>
  <si>
    <t>102592</t>
  </si>
  <si>
    <t>2592</t>
  </si>
  <si>
    <t>MILURIT 100</t>
  </si>
  <si>
    <t>POR TBL NOB 50X100MG</t>
  </si>
  <si>
    <t>102871</t>
  </si>
  <si>
    <t>2871</t>
  </si>
  <si>
    <t>VIREGYT-K</t>
  </si>
  <si>
    <t>CPS 50X100MG</t>
  </si>
  <si>
    <t>103542</t>
  </si>
  <si>
    <t>3542</t>
  </si>
  <si>
    <t>DIGOXIN 0.250 LECIVA</t>
  </si>
  <si>
    <t>TBL 30X0.25MG</t>
  </si>
  <si>
    <t>104307</t>
  </si>
  <si>
    <t>4307</t>
  </si>
  <si>
    <t>NITRO POHL INFUS.</t>
  </si>
  <si>
    <t>INF 10X10ML/10MG</t>
  </si>
  <si>
    <t>118304</t>
  </si>
  <si>
    <t>18304</t>
  </si>
  <si>
    <t>INF SOL 10X500ML PE</t>
  </si>
  <si>
    <t>132992</t>
  </si>
  <si>
    <t>32992</t>
  </si>
  <si>
    <t>ATROVENT N</t>
  </si>
  <si>
    <t>INH SOL PSS200X20RG</t>
  </si>
  <si>
    <t>145499</t>
  </si>
  <si>
    <t>45499</t>
  </si>
  <si>
    <t>TBL RET 30X100MG</t>
  </si>
  <si>
    <t>157525</t>
  </si>
  <si>
    <t>57525</t>
  </si>
  <si>
    <t>MYDOCALM 150MG</t>
  </si>
  <si>
    <t>TBL OBD 30X150MG</t>
  </si>
  <si>
    <t>159672</t>
  </si>
  <si>
    <t>59672</t>
  </si>
  <si>
    <t>TRALGIT SR 100</t>
  </si>
  <si>
    <t>POR TBL RET30X100MG</t>
  </si>
  <si>
    <t>169623</t>
  </si>
  <si>
    <t>KAPIDIN 10 MG</t>
  </si>
  <si>
    <t>176155</t>
  </si>
  <si>
    <t>76155</t>
  </si>
  <si>
    <t>CORVATON FORTE</t>
  </si>
  <si>
    <t>TBL 30X4MG</t>
  </si>
  <si>
    <t>183272</t>
  </si>
  <si>
    <t>215478</t>
  </si>
  <si>
    <t>EBRANTIL 60 RETARD</t>
  </si>
  <si>
    <t>POR CPS PRO 50X60MG</t>
  </si>
  <si>
    <t>184700</t>
  </si>
  <si>
    <t>84700</t>
  </si>
  <si>
    <t>OTOBACID N</t>
  </si>
  <si>
    <t>AUR GTT SOL 1X5ML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</si>
  <si>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</si>
  <si>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</si>
  <si>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</si>
  <si>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</si>
  <si>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</si>
  <si>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</si>
  <si>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</si>
  <si>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</si>
  <si>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193746</t>
  </si>
  <si>
    <t>93746</t>
  </si>
  <si>
    <t>HEPARIN LECIVA</t>
  </si>
  <si>
    <t>INJ 1X10ML/50KU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</si>
  <si>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</si>
  <si>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</si>
  <si>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</si>
  <si>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</si>
  <si>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</si>
  <si>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</si>
  <si>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</si>
  <si>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</si>
  <si>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</si>
  <si>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</si>
  <si>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</si>
  <si>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</si>
  <si>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395294</t>
  </si>
  <si>
    <t>180306</t>
  </si>
  <si>
    <t>TANTUM VERDE</t>
  </si>
  <si>
    <t>LIQ 1X240ML-PET TR</t>
  </si>
  <si>
    <t>500618</t>
  </si>
  <si>
    <t>125753</t>
  </si>
  <si>
    <t xml:space="preserve">Essentiale Forte N </t>
  </si>
  <si>
    <t>por.cps.dur.100</t>
  </si>
  <si>
    <t>845075</t>
  </si>
  <si>
    <t>125641</t>
  </si>
  <si>
    <t>TENAXUM</t>
  </si>
  <si>
    <t>POR TBL NOB 90X1MG</t>
  </si>
  <si>
    <t>845369</t>
  </si>
  <si>
    <t>107987</t>
  </si>
  <si>
    <t>ANALGIN</t>
  </si>
  <si>
    <t>INJ SOL 5X5ML</t>
  </si>
  <si>
    <t>846758</t>
  </si>
  <si>
    <t>103387</t>
  </si>
  <si>
    <t>ACC INJEKT</t>
  </si>
  <si>
    <t>INJ SOL 5X3ML/300MG</t>
  </si>
  <si>
    <t>847713</t>
  </si>
  <si>
    <t>125526</t>
  </si>
  <si>
    <t>POR TBL FLM 100X400MG</t>
  </si>
  <si>
    <t>849559</t>
  </si>
  <si>
    <t>125066</t>
  </si>
  <si>
    <t>APO-AMLO 5</t>
  </si>
  <si>
    <t>POR TBL NOB 100X5MG</t>
  </si>
  <si>
    <t>849712</t>
  </si>
  <si>
    <t>125053</t>
  </si>
  <si>
    <t>APO-AMLO 10</t>
  </si>
  <si>
    <t>POR TBL NOB 100X10MG</t>
  </si>
  <si>
    <t>51384</t>
  </si>
  <si>
    <t>INF SOL 10X1000MLPLAH</t>
  </si>
  <si>
    <t>53761</t>
  </si>
  <si>
    <t>NEBILET</t>
  </si>
  <si>
    <t>POR TBL NOB 28X5MG</t>
  </si>
  <si>
    <t>100489</t>
  </si>
  <si>
    <t>489</t>
  </si>
  <si>
    <t>KANAVIT</t>
  </si>
  <si>
    <t>INJ 5X1ML/10MG</t>
  </si>
  <si>
    <t>100513</t>
  </si>
  <si>
    <t>513</t>
  </si>
  <si>
    <t>NATRIUM CHLORATUM BIOTIKA 10%</t>
  </si>
  <si>
    <t>100536</t>
  </si>
  <si>
    <t>536</t>
  </si>
  <si>
    <t>NORADRENALIN LECIVA</t>
  </si>
  <si>
    <t>102546</t>
  </si>
  <si>
    <t>2546</t>
  </si>
  <si>
    <t>MAXITROL</t>
  </si>
  <si>
    <t>SUS OPH 1X5ML</t>
  </si>
  <si>
    <t>110086</t>
  </si>
  <si>
    <t>10086</t>
  </si>
  <si>
    <t>NEODOLPASSE</t>
  </si>
  <si>
    <t>INF 10X250ML</t>
  </si>
  <si>
    <t>121793</t>
  </si>
  <si>
    <t>21793</t>
  </si>
  <si>
    <t>MONOTAB SR</t>
  </si>
  <si>
    <t>POR TBL PRO20X100MG</t>
  </si>
  <si>
    <t>145981</t>
  </si>
  <si>
    <t>45981</t>
  </si>
  <si>
    <t>CERNEVIT</t>
  </si>
  <si>
    <t>INJ PLV SOL10X750MG</t>
  </si>
  <si>
    <t>189244</t>
  </si>
  <si>
    <t>89244</t>
  </si>
  <si>
    <t>AQUA PRO INJECTIONE ARDEAPHARMA</t>
  </si>
  <si>
    <t>INF 1X250ML</t>
  </si>
  <si>
    <t>196610</t>
  </si>
  <si>
    <t>96610</t>
  </si>
  <si>
    <t>APAURIN</t>
  </si>
  <si>
    <t>INJ 10X2ML/10MG</t>
  </si>
  <si>
    <t>845329</t>
  </si>
  <si>
    <t>Biopron9 tob.60</t>
  </si>
  <si>
    <t>847635</t>
  </si>
  <si>
    <t>Biopron9    PREMIUM tob.120</t>
  </si>
  <si>
    <t>109415</t>
  </si>
  <si>
    <t>119683</t>
  </si>
  <si>
    <t>NASIVIN 0,05%</t>
  </si>
  <si>
    <t>NAS SPR SOL 10ML-SK</t>
  </si>
  <si>
    <t>110555</t>
  </si>
  <si>
    <t>10555</t>
  </si>
  <si>
    <t>AQUA PRO INJECTIONE BRAUN</t>
  </si>
  <si>
    <t>PAR LQF 20X100ML-PE</t>
  </si>
  <si>
    <t>116445</t>
  </si>
  <si>
    <t>16445</t>
  </si>
  <si>
    <t>TEGRETOL CR 400</t>
  </si>
  <si>
    <t>TBL RET 30X400MG</t>
  </si>
  <si>
    <t>142595</t>
  </si>
  <si>
    <t>42595</t>
  </si>
  <si>
    <t>VITALIPID N ADULT</t>
  </si>
  <si>
    <t>INF CNC SOL 10X10ML</t>
  </si>
  <si>
    <t>146980</t>
  </si>
  <si>
    <t>46980</t>
  </si>
  <si>
    <t>BETALOC SR 200MG</t>
  </si>
  <si>
    <t>TBL RET 100X200MG</t>
  </si>
  <si>
    <t>159398</t>
  </si>
  <si>
    <t>59398</t>
  </si>
  <si>
    <t>TRACUTIL</t>
  </si>
  <si>
    <t>INF 5X10ML</t>
  </si>
  <si>
    <t>187822</t>
  </si>
  <si>
    <t>87822</t>
  </si>
  <si>
    <t>ARDUAN</t>
  </si>
  <si>
    <t>INJ SIC 25X4MG+2ML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</si>
  <si>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</si>
  <si>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</si>
  <si>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</si>
  <si>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</si>
  <si>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</si>
  <si>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</si>
  <si>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</si>
  <si>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</si>
  <si>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900321</t>
  </si>
  <si>
    <t>KL PRIPRAVEK</t>
  </si>
  <si>
    <t>100641</t>
  </si>
  <si>
    <t>641</t>
  </si>
  <si>
    <t>VITAMIN B12 LECIVA 300RG</t>
  </si>
  <si>
    <t>INJ 5X1ML/300RG</t>
  </si>
  <si>
    <t>101127</t>
  </si>
  <si>
    <t>1127</t>
  </si>
  <si>
    <t>MORPHIN BIOTIKA 1%</t>
  </si>
  <si>
    <t>INJ 10X2ML/20MG</t>
  </si>
  <si>
    <t>114958</t>
  </si>
  <si>
    <t>14958</t>
  </si>
  <si>
    <t>RIVOTRIL 2 MG</t>
  </si>
  <si>
    <t>TBL 30X2MG</t>
  </si>
  <si>
    <t>117011</t>
  </si>
  <si>
    <t>17011</t>
  </si>
  <si>
    <t>DICYNONE 250</t>
  </si>
  <si>
    <t>INJ SOL 4X2ML/250MG</t>
  </si>
  <si>
    <t>110803</t>
  </si>
  <si>
    <t>10803</t>
  </si>
  <si>
    <t>ZOFRAN</t>
  </si>
  <si>
    <t>INJ SOL 5X2ML/4MG</t>
  </si>
  <si>
    <t>120401</t>
  </si>
  <si>
    <t>20401</t>
  </si>
  <si>
    <t>IBALGIN GEL 50G</t>
  </si>
  <si>
    <t>DRM GEL 1X50GM</t>
  </si>
  <si>
    <t>849045</t>
  </si>
  <si>
    <t>155938</t>
  </si>
  <si>
    <t>HERPESIN 200</t>
  </si>
  <si>
    <t>POR TBL NOB 25X200MG</t>
  </si>
  <si>
    <t>102547</t>
  </si>
  <si>
    <t>2547</t>
  </si>
  <si>
    <t>UNG OPH 1X3.5GM</t>
  </si>
  <si>
    <t>184785</t>
  </si>
  <si>
    <t>84785</t>
  </si>
  <si>
    <t>VIDISIC</t>
  </si>
  <si>
    <t>GEL OPH 3X10GM</t>
  </si>
  <si>
    <t>845813</t>
  </si>
  <si>
    <t>Deca durabolin 50mg amp.1x1ml - MIMOŘÁDNÝ DOVOZ!!</t>
  </si>
  <si>
    <t>152225</t>
  </si>
  <si>
    <t>52225</t>
  </si>
  <si>
    <t>THIOCTACID 600 T</t>
  </si>
  <si>
    <t>INJ SOL 5X24ML/600MG</t>
  </si>
  <si>
    <t>102439</t>
  </si>
  <si>
    <t>2439</t>
  </si>
  <si>
    <t>MARCAINE 0.5%</t>
  </si>
  <si>
    <t>INJ SOL5X20ML/100MG</t>
  </si>
  <si>
    <t>844242</t>
  </si>
  <si>
    <t>105937</t>
  </si>
  <si>
    <t>TETRASPAN 6%</t>
  </si>
  <si>
    <t>INF SOL 20X500ML</t>
  </si>
  <si>
    <t>130229</t>
  </si>
  <si>
    <t>30229</t>
  </si>
  <si>
    <t>PARALEN PLUS</t>
  </si>
  <si>
    <t>TBL OBD 24</t>
  </si>
  <si>
    <t>146475</t>
  </si>
  <si>
    <t>46475</t>
  </si>
  <si>
    <t>DILCEREN PRO INFUSIONE</t>
  </si>
  <si>
    <t>INF 1X50ML/10MG</t>
  </si>
  <si>
    <t>171616</t>
  </si>
  <si>
    <t>TACHYBEN I.V. 50 MG INJEKČNÍ ROZTOK</t>
  </si>
  <si>
    <t>INJ SOL 5X10ML/50MG</t>
  </si>
  <si>
    <t>920056</t>
  </si>
  <si>
    <t>KL ETHANOLUM 70% 800 g</t>
  </si>
  <si>
    <t>850305</t>
  </si>
  <si>
    <t>Biopron9 tob.120</t>
  </si>
  <si>
    <t>129027</t>
  </si>
  <si>
    <t>PROPOFOL-LIPURO 1 % (10MG/ML)</t>
  </si>
  <si>
    <t>INJ+INF EML 10X100ML/1000MG</t>
  </si>
  <si>
    <t>849310</t>
  </si>
  <si>
    <t>126689</t>
  </si>
  <si>
    <t>PROPOFOL-LIPURO 0,5% (5MG/ML) 5X20ML</t>
  </si>
  <si>
    <t>INJ+INF EML 5X20ML/100MG</t>
  </si>
  <si>
    <t>930224</t>
  </si>
  <si>
    <t>KL BENZINUM 900ml/ 600g</t>
  </si>
  <si>
    <t>UN 3295</t>
  </si>
  <si>
    <t>114989</t>
  </si>
  <si>
    <t>14989</t>
  </si>
  <si>
    <t>RIVOTRIL</t>
  </si>
  <si>
    <t>INJ 5X1ML/1MG+SOLV.</t>
  </si>
  <si>
    <t>142780</t>
  </si>
  <si>
    <t>42780</t>
  </si>
  <si>
    <t>TRALGIT SR 200</t>
  </si>
  <si>
    <t>POR TBL RET30X200MG</t>
  </si>
  <si>
    <t>84570</t>
  </si>
  <si>
    <t>VISINE CLASSIC</t>
  </si>
  <si>
    <t>OPH GTT SOL 1X15ML</t>
  </si>
  <si>
    <t>175603</t>
  </si>
  <si>
    <t>75603</t>
  </si>
  <si>
    <t>DICLOFENAC AL 25</t>
  </si>
  <si>
    <t>TBL OBD 20X25MG</t>
  </si>
  <si>
    <t>196187</t>
  </si>
  <si>
    <t>96187</t>
  </si>
  <si>
    <t>MONOSAN 20MG</t>
  </si>
  <si>
    <t>TBL 50X20MG</t>
  </si>
  <si>
    <t>176954</t>
  </si>
  <si>
    <t>ALGIFEN NEO</t>
  </si>
  <si>
    <t>POR GTT SOL 1X50ML</t>
  </si>
  <si>
    <t>201992</t>
  </si>
  <si>
    <t>DETRALEX</t>
  </si>
  <si>
    <t>POR TBL FLM 120X500MG</t>
  </si>
  <si>
    <t>171031</t>
  </si>
  <si>
    <t>NASIVIN SENSITIVE 0,05%</t>
  </si>
  <si>
    <t>NAS SPR SOL 1X10ML/5MG</t>
  </si>
  <si>
    <t>150660</t>
  </si>
  <si>
    <t>CEREBROLYSIN</t>
  </si>
  <si>
    <t>INJ SOL 5X10ML</t>
  </si>
  <si>
    <t>161371</t>
  </si>
  <si>
    <t>SUXAMETHONIUM CHLORID VUAB 100 MG</t>
  </si>
  <si>
    <t>501544</t>
  </si>
  <si>
    <t>Nitroprussiat Fides 1x50mg-MIMOŘÁDNÝ DOVOZ!!</t>
  </si>
  <si>
    <t>INF. PLV. SOL 1x50mg</t>
  </si>
  <si>
    <t>29938</t>
  </si>
  <si>
    <t>KEPPRA 100 MG/ML</t>
  </si>
  <si>
    <t>INF CNC SOL 10X5ML II</t>
  </si>
  <si>
    <t>990830</t>
  </si>
  <si>
    <t>Biopron Forte Box tbl.10x10</t>
  </si>
  <si>
    <t>56976</t>
  </si>
  <si>
    <t>TRITACE 2,5 MG</t>
  </si>
  <si>
    <t>POR TBL NOB 20X2.5MG</t>
  </si>
  <si>
    <t>105496</t>
  </si>
  <si>
    <t>5496</t>
  </si>
  <si>
    <t>ZODAC</t>
  </si>
  <si>
    <t>TBL OBD 60X10MG</t>
  </si>
  <si>
    <t>112892</t>
  </si>
  <si>
    <t>12892</t>
  </si>
  <si>
    <t>149909</t>
  </si>
  <si>
    <t>49909</t>
  </si>
  <si>
    <t>LOKREN 20 MG</t>
  </si>
  <si>
    <t>POR TBL FLM 28X20MG</t>
  </si>
  <si>
    <t>158380</t>
  </si>
  <si>
    <t>58380</t>
  </si>
  <si>
    <t>VENTOLIN ROZTOK K INHALACI</t>
  </si>
  <si>
    <t>INH SOL1X20ML/120MG</t>
  </si>
  <si>
    <t>848765</t>
  </si>
  <si>
    <t>107938</t>
  </si>
  <si>
    <t>CORDARONE</t>
  </si>
  <si>
    <t>INJ SOL 6X3ML/150MG</t>
  </si>
  <si>
    <t>117425</t>
  </si>
  <si>
    <t>17425</t>
  </si>
  <si>
    <t>CITALEC 10 ZENTIVA</t>
  </si>
  <si>
    <t>POR TBL FLM30X10MG</t>
  </si>
  <si>
    <t>169189</t>
  </si>
  <si>
    <t>69189</t>
  </si>
  <si>
    <t>EUTHYROX 50</t>
  </si>
  <si>
    <t>TBL 100X50RG</t>
  </si>
  <si>
    <t>188498</t>
  </si>
  <si>
    <t>88498</t>
  </si>
  <si>
    <t>NAKOM MITE</t>
  </si>
  <si>
    <t>TBL 100X125MG</t>
  </si>
  <si>
    <t>846824</t>
  </si>
  <si>
    <t>124087</t>
  </si>
  <si>
    <t>PRESTANCE 5 MG/5 MG</t>
  </si>
  <si>
    <t>848477</t>
  </si>
  <si>
    <t>124346</t>
  </si>
  <si>
    <t>CEZERA 5 MG</t>
  </si>
  <si>
    <t>POR TBL FLM 90X5MG</t>
  </si>
  <si>
    <t>109712</t>
  </si>
  <si>
    <t>9712</t>
  </si>
  <si>
    <t>INJ SIC 1X1GM+16ML</t>
  </si>
  <si>
    <t>850729</t>
  </si>
  <si>
    <t>157875</t>
  </si>
  <si>
    <t>PARACETAMOL KABI 10MG/ML</t>
  </si>
  <si>
    <t>INF SOL 10X100ML/1000MG</t>
  </si>
  <si>
    <t>121088</t>
  </si>
  <si>
    <t>21088</t>
  </si>
  <si>
    <t>SUFENTANIL TORREX 50 MCG/ML</t>
  </si>
  <si>
    <t>INJ SOL 5X5ML/250RG</t>
  </si>
  <si>
    <t>847134</t>
  </si>
  <si>
    <t>151050</t>
  </si>
  <si>
    <t>DEPAKINE</t>
  </si>
  <si>
    <t>INJ PSO LQF 4X4ML/400MG</t>
  </si>
  <si>
    <t>191922</t>
  </si>
  <si>
    <t>SIOFOR 1000</t>
  </si>
  <si>
    <t>POR TBL FLM 60X1000MG</t>
  </si>
  <si>
    <t>203097</t>
  </si>
  <si>
    <t>AMOKSIKLAV 1 G</t>
  </si>
  <si>
    <t>POR TBL FLM 21X1GM</t>
  </si>
  <si>
    <t>178689</t>
  </si>
  <si>
    <t>PROTEVASC 35 MG TABLETY S PRODLOUŽENÝM UVOLŇOVÁNÍM</t>
  </si>
  <si>
    <t>POR TBL PRO 60X35MG</t>
  </si>
  <si>
    <t>168326</t>
  </si>
  <si>
    <t>ELIQUIS 2,5 MG</t>
  </si>
  <si>
    <t>POR TBL FLM 20X2.5MG</t>
  </si>
  <si>
    <t>127738</t>
  </si>
  <si>
    <t>MIDAZOLAM ACCORD 5 MG/ML</t>
  </si>
  <si>
    <t>INJ+INF SOL 10X3MLX5MG/ML</t>
  </si>
  <si>
    <t>174700</t>
  </si>
  <si>
    <t>TRUND 500 MG POTAHOVANÉ TABLETY</t>
  </si>
  <si>
    <t>POR TBL FLM 100X500MG</t>
  </si>
  <si>
    <t>210541</t>
  </si>
  <si>
    <t>PREGABALIN SANDOZ 75 MG</t>
  </si>
  <si>
    <t>POR CPS DUR 14X75MG</t>
  </si>
  <si>
    <t>210544</t>
  </si>
  <si>
    <t>POR CPS DUR 56X75MG</t>
  </si>
  <si>
    <t>216674</t>
  </si>
  <si>
    <t>THIOPENTAL VALEANT 10x1G</t>
  </si>
  <si>
    <t>INJ PLV SOL 10</t>
  </si>
  <si>
    <t>216673</t>
  </si>
  <si>
    <t>THIOPENTAL VALEANT 10x0,5g</t>
  </si>
  <si>
    <t>50113006</t>
  </si>
  <si>
    <t>846016</t>
  </si>
  <si>
    <t>Nutrison Advanced Protison 500ml</t>
  </si>
  <si>
    <t>1X500ML</t>
  </si>
  <si>
    <t>988740</t>
  </si>
  <si>
    <t>Nutrison Advanced Diason 1000ml</t>
  </si>
  <si>
    <t>992137</t>
  </si>
  <si>
    <t>Resource Instant Protein 1x800g</t>
  </si>
  <si>
    <t>133339</t>
  </si>
  <si>
    <t>33339</t>
  </si>
  <si>
    <t>DIASIP S PŘÍCHUTÍ JAHODOVOU</t>
  </si>
  <si>
    <t>POR SOL 1X200ML</t>
  </si>
  <si>
    <t>133340</t>
  </si>
  <si>
    <t>33340</t>
  </si>
  <si>
    <t>DIASIP S PŘÍCHUTÍ VANILKOVOU</t>
  </si>
  <si>
    <t>33740</t>
  </si>
  <si>
    <t>NUTRIDRINK COMPACT PROTEIN S PŘÍCHUTÍ KÁVY</t>
  </si>
  <si>
    <t>POR SOL 4X125ML</t>
  </si>
  <si>
    <t>133146</t>
  </si>
  <si>
    <t>33530</t>
  </si>
  <si>
    <t>NUTRISON MULTI FIBRE</t>
  </si>
  <si>
    <t>POR SOL 1X1000ML-VA</t>
  </si>
  <si>
    <t>33750</t>
  </si>
  <si>
    <t>NUTRIDRINK CREME S PŘÍCHUTÍ VANILKOVOU</t>
  </si>
  <si>
    <t>POR SOL 4X125GM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</si>
  <si>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</si>
  <si>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</si>
  <si>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</si>
  <si>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</si>
  <si>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</si>
  <si>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</si>
  <si>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987792</t>
  </si>
  <si>
    <t>33749</t>
  </si>
  <si>
    <t>NUTRIDRINK CREME S PŘÍCHUTÍ BANÁNOVOU</t>
  </si>
  <si>
    <t>33677</t>
  </si>
  <si>
    <t>NUTRISON ENERGY MULTI FIBRE</t>
  </si>
  <si>
    <t>POR SOL 1X1500ML</t>
  </si>
  <si>
    <t>33833</t>
  </si>
  <si>
    <t>DIASIP S PŘÍCHUTÍ CAPPUCCINO</t>
  </si>
  <si>
    <t>POR SOL 4X200ML</t>
  </si>
  <si>
    <t>33859</t>
  </si>
  <si>
    <t>NUTRIDRINK JUICE STYLE S PŘÍCHUTÍ JABLEČNOU</t>
  </si>
  <si>
    <t>33850</t>
  </si>
  <si>
    <t>NUTRIDRINK PROTEIN S PŘÍCHUTÍ ČOKOLÁDOVOU</t>
  </si>
  <si>
    <t>33858</t>
  </si>
  <si>
    <t>NUTRIDRINK JUICE STYLE S PŘÍCHUTÍ JAHODOVOU</t>
  </si>
  <si>
    <t>33866</t>
  </si>
  <si>
    <t>NUTRIDRINK COMPACT S PŘÍCHUTÍ MERUŇKOVOU</t>
  </si>
  <si>
    <t>101066</t>
  </si>
  <si>
    <t>1066</t>
  </si>
  <si>
    <t>FRAMYKOIN</t>
  </si>
  <si>
    <t>UNG 1X10GM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</si>
  <si>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</si>
  <si>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</si>
  <si>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</si>
  <si>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</si>
  <si>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</si>
  <si>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</si>
  <si>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</si>
  <si>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847476</t>
  </si>
  <si>
    <t>112782</t>
  </si>
  <si>
    <t xml:space="preserve">GENTAMICIN B.BRAUN 3 MG/ML INFUZNÍ ROZTOK </t>
  </si>
  <si>
    <t>INF SOL 20X80ML</t>
  </si>
  <si>
    <t>131656</t>
  </si>
  <si>
    <t>CEFTAZIDIM KABI 2 GM</t>
  </si>
  <si>
    <t>INJ+INF PLV SOL 10X2GM</t>
  </si>
  <si>
    <t>111706</t>
  </si>
  <si>
    <t>11706</t>
  </si>
  <si>
    <t>INJ 10X5ML</t>
  </si>
  <si>
    <t>148262</t>
  </si>
  <si>
    <t>48262</t>
  </si>
  <si>
    <t>PLV ADS 1X5GM</t>
  </si>
  <si>
    <t>141146</t>
  </si>
  <si>
    <t>41146</t>
  </si>
  <si>
    <t>MACMIROR COMPLEX</t>
  </si>
  <si>
    <t>SUP VAG 12</t>
  </si>
  <si>
    <t>151460</t>
  </si>
  <si>
    <t>CEFUROXIM KABI 750 MG</t>
  </si>
  <si>
    <t>INJ+INF PLV SOL 10X750MG</t>
  </si>
  <si>
    <t>162180</t>
  </si>
  <si>
    <t>CIPROFLOXACIN KABI 200 MG/100 ML INFUZNÍ ROZTOK</t>
  </si>
  <si>
    <t>INF SOL 10X200MG/100ML</t>
  </si>
  <si>
    <t>849887</t>
  </si>
  <si>
    <t>129834</t>
  </si>
  <si>
    <t>Clindamycin Kabi inj.sol.10x2ml/300mg</t>
  </si>
  <si>
    <t>145671</t>
  </si>
  <si>
    <t>LEVOFLOXACIN MYLAN 500 MG/100 ML</t>
  </si>
  <si>
    <t>INF SOL 10X100ML/500MG</t>
  </si>
  <si>
    <t>115658</t>
  </si>
  <si>
    <t>15658</t>
  </si>
  <si>
    <t>CIPLOX 500</t>
  </si>
  <si>
    <t>126127</t>
  </si>
  <si>
    <t>26127</t>
  </si>
  <si>
    <t>TYGACIL 50 MG</t>
  </si>
  <si>
    <t>INF PLV SOL 10X50MG/5ML</t>
  </si>
  <si>
    <t>166265</t>
  </si>
  <si>
    <t>VANCOMYCIN MYLAN 500 MG</t>
  </si>
  <si>
    <t>INF PLV SOL 1X500MG</t>
  </si>
  <si>
    <t>183817</t>
  </si>
  <si>
    <t>ARCHIFAR 1 G</t>
  </si>
  <si>
    <t>INJ+INF PLV SOL 10X1GM</t>
  </si>
  <si>
    <t>116895</t>
  </si>
  <si>
    <t>16895</t>
  </si>
  <si>
    <t>IMAZOL KRÉMPASTA</t>
  </si>
  <si>
    <t>DRM PST 1X30GM</t>
  </si>
  <si>
    <t>164401</t>
  </si>
  <si>
    <t>FLUCONAZOL KABI 2 MG/ML</t>
  </si>
  <si>
    <t>INF SOL 10X100ML/200MG</t>
  </si>
  <si>
    <t>164407</t>
  </si>
  <si>
    <t>INF SOL 10X200ML/400MG</t>
  </si>
  <si>
    <t>50113008</t>
  </si>
  <si>
    <t>0062464</t>
  </si>
  <si>
    <t>Haemocomplettan P 1000mg</t>
  </si>
  <si>
    <t>6480</t>
  </si>
  <si>
    <t>Ocplex 20ml 500 I.U. Phoenix</t>
  </si>
  <si>
    <t>50113002</t>
  </si>
  <si>
    <t>902081</t>
  </si>
  <si>
    <t>151112</t>
  </si>
  <si>
    <t>IR  SMOFKABIVEN 1970ml</t>
  </si>
  <si>
    <t>IR 4x1970 ml</t>
  </si>
  <si>
    <t>103414</t>
  </si>
  <si>
    <t>3414</t>
  </si>
  <si>
    <t>NUTRIFLEX PERI</t>
  </si>
  <si>
    <t>INF SOL 5X2000ML</t>
  </si>
  <si>
    <t>195641</t>
  </si>
  <si>
    <t>95641</t>
  </si>
  <si>
    <t>NUTRIFLEX LIPID PERI</t>
  </si>
  <si>
    <t>INF EML 5X2500ML</t>
  </si>
  <si>
    <t>152196</t>
  </si>
  <si>
    <t>NUTRIFLEX OMEGA SPECIAL</t>
  </si>
  <si>
    <t>397303</t>
  </si>
  <si>
    <t>152193</t>
  </si>
  <si>
    <t>INF EML 5X625ML</t>
  </si>
  <si>
    <t>397302</t>
  </si>
  <si>
    <t>3290</t>
  </si>
  <si>
    <t>INF SOL 5X1000ML</t>
  </si>
  <si>
    <t>501394</t>
  </si>
  <si>
    <t>152199</t>
  </si>
  <si>
    <t>NUTRIFLEX OMEGA plus 2 500 ml</t>
  </si>
  <si>
    <t>900441</t>
  </si>
  <si>
    <t>KL ETHER  LÉKOPISNÝ 1000 ml Fagron, Kulich</t>
  </si>
  <si>
    <t>jednotka 1 ks   UN 1155</t>
  </si>
  <si>
    <t>100811</t>
  </si>
  <si>
    <t>811</t>
  </si>
  <si>
    <t>SANORIN</t>
  </si>
  <si>
    <t>LIQ 10ML 0.05%</t>
  </si>
  <si>
    <t>169755</t>
  </si>
  <si>
    <t>69755</t>
  </si>
  <si>
    <t>ARDEANUTRISOL G 40</t>
  </si>
  <si>
    <t>930589</t>
  </si>
  <si>
    <t>KL ETHANOLUM BENZ.DENAT. 900 ml / 720g/</t>
  </si>
  <si>
    <t>UN 1170</t>
  </si>
  <si>
    <t>198880</t>
  </si>
  <si>
    <t>98880</t>
  </si>
  <si>
    <t>FYZIOLOGICKÝ ROZTOK VIAFLO</t>
  </si>
  <si>
    <t>INF SOL 10X1000ML</t>
  </si>
  <si>
    <t>921564</t>
  </si>
  <si>
    <t>KL VASELINUM ALBUM STERILNI,  10G</t>
  </si>
  <si>
    <t>100812</t>
  </si>
  <si>
    <t>812</t>
  </si>
  <si>
    <t>LIQ 10ML 0.1%</t>
  </si>
  <si>
    <t>113441</t>
  </si>
  <si>
    <t>13441</t>
  </si>
  <si>
    <t>RINGERŮV ROZTOK VIAFLO</t>
  </si>
  <si>
    <t>844940</t>
  </si>
  <si>
    <t>KL ELIXÍR NA OPTIKU</t>
  </si>
  <si>
    <t>930241</t>
  </si>
  <si>
    <t>KL SOL.IODI SPIR.DIL. 800 g</t>
  </si>
  <si>
    <t>153346</t>
  </si>
  <si>
    <t>TISSEEL (FROZ)</t>
  </si>
  <si>
    <t>EPL GKU SOL 1X2ML</t>
  </si>
  <si>
    <t>153347</t>
  </si>
  <si>
    <t>EPL GKU SOL 1X4ML</t>
  </si>
  <si>
    <t>29817</t>
  </si>
  <si>
    <t>GLIOLAN 30 MG/ML</t>
  </si>
  <si>
    <t>POR PLV SOL 1X1,5GMX30MG/ML</t>
  </si>
  <si>
    <t>501710</t>
  </si>
  <si>
    <t xml:space="preserve">DGICG- Verdye indocyanine green </t>
  </si>
  <si>
    <t>inj.plv. 5x25mg</t>
  </si>
  <si>
    <t>Neurochirurgická klinika</t>
  </si>
  <si>
    <t>NCHIR: JIP</t>
  </si>
  <si>
    <t>Lékárna - léčiva</t>
  </si>
  <si>
    <t>Lékárna - antibiotika</t>
  </si>
  <si>
    <t>Lékárna - antimykotika</t>
  </si>
  <si>
    <t>Lékárna - enterární výživa</t>
  </si>
  <si>
    <t>393 TO krevní deriváty IVLP (112 01 003)</t>
  </si>
  <si>
    <t>Lékárna - parenter. výživa</t>
  </si>
  <si>
    <t>0631 - NCHIR: JIP</t>
  </si>
  <si>
    <t>0611 - NCHIR: lůžkové oddělení 34</t>
  </si>
  <si>
    <t>0612 - NCHIR: lůžkové oddělení 36A</t>
  </si>
  <si>
    <t>0662 - NCHIR: operační sál - lokální</t>
  </si>
  <si>
    <t>J01DD01 - CEFOTAXIM</t>
  </si>
  <si>
    <t>N01AX10 - PROPOFOL</t>
  </si>
  <si>
    <t>N01AF03 - THIOPENTAL</t>
  </si>
  <si>
    <t>N02AJ06 - KODEIN A PARACETAMOL</t>
  </si>
  <si>
    <t>M01AX17 - NIMESULID</t>
  </si>
  <si>
    <t>N03AX14 - LEVETIRACETAM</t>
  </si>
  <si>
    <t>N03AX16 - PREGABALIN</t>
  </si>
  <si>
    <t>N05BA12 - ALPRAZOLAM</t>
  </si>
  <si>
    <t>J02AC01 - FLUKONAZOL</t>
  </si>
  <si>
    <t>N06AB04 - CITALOPRAM</t>
  </si>
  <si>
    <t>A07DA - ANTIPROPULZIVA</t>
  </si>
  <si>
    <t>C07AB05 - BETAXOLOL</t>
  </si>
  <si>
    <t>R06AE09 - LEVOCETIRIZIN</t>
  </si>
  <si>
    <t>C07AB07 - BISOPROLOL</t>
  </si>
  <si>
    <t>A06AD11 - LAKTULÓZA</t>
  </si>
  <si>
    <t>C09AA05 - RAMIPRIL</t>
  </si>
  <si>
    <t>C01EB15 - TRIMETAZIDIN</t>
  </si>
  <si>
    <t>N02BE01 - PARACETAMOL</t>
  </si>
  <si>
    <t>C09BB04 - PERINDOPRIL A AMLODIPIN</t>
  </si>
  <si>
    <t>R03AC02 - SALBUTAMOL</t>
  </si>
  <si>
    <t>C09CA01 - LOSARTAN</t>
  </si>
  <si>
    <t>A10BA02 - METFORMIN</t>
  </si>
  <si>
    <t>C10AA05 - ATORVASTATIN</t>
  </si>
  <si>
    <t>B01AB06 - NADROPARIN</t>
  </si>
  <si>
    <t>C10AA07 - ROSUVASTATIN</t>
  </si>
  <si>
    <t>N01AH03 - SUFENTANYL</t>
  </si>
  <si>
    <t>H02AB04 - METHYLPREDNISOLON</t>
  </si>
  <si>
    <t>N02BB02 - SODNÁ SŮL METAMIZOLU</t>
  </si>
  <si>
    <t>N03AG01 - KYSELINA VALPROOVÁ</t>
  </si>
  <si>
    <t>C01BD01 - AMIODARON</t>
  </si>
  <si>
    <t>B01AC04 - KLOPIDOGREL</t>
  </si>
  <si>
    <t>H03AA01 - LEVOTHYROXIN, SODNÁ SŮL</t>
  </si>
  <si>
    <t>N05AL05 - AMISULPRID</t>
  </si>
  <si>
    <t>J01AA12 - TIGECYKLIN</t>
  </si>
  <si>
    <t>N05CD08 - MIDAZOLAM</t>
  </si>
  <si>
    <t>J01CR02 - AMOXICILIN A ENZYMOVÝ INHIBITOR</t>
  </si>
  <si>
    <t>N06BX18 - VINPOCETIN</t>
  </si>
  <si>
    <t>A04AA01 - ONDANSETRON</t>
  </si>
  <si>
    <t>R06AE07 - CETIRIZIN</t>
  </si>
  <si>
    <t>B01AF02 - APIXABAN</t>
  </si>
  <si>
    <t>V06XX - POTRAVINY PRO ZVLÁŠTNÍ LÉKAŘSKÉ ÚČELY (PZLÚ)</t>
  </si>
  <si>
    <t>A02BC02 - PANTOPRAZOL</t>
  </si>
  <si>
    <t>J01XD01 - METRONIDAZOL</t>
  </si>
  <si>
    <t>J01DH02 - MEROPENEM</t>
  </si>
  <si>
    <t>J01XA01 - VANKOMYCIN</t>
  </si>
  <si>
    <t>A02BC02</t>
  </si>
  <si>
    <t>40MG INJ PLV SOL 1</t>
  </si>
  <si>
    <t>CONTROLOC</t>
  </si>
  <si>
    <t>20MG TBL ENT 100</t>
  </si>
  <si>
    <t>A04AA01</t>
  </si>
  <si>
    <t>ONDANSETRON KABI</t>
  </si>
  <si>
    <t>2MG/ML INJ SOL 5X4ML</t>
  </si>
  <si>
    <t>B01AB06</t>
  </si>
  <si>
    <t>9500IU/ML INJ SOL 10X5ML</t>
  </si>
  <si>
    <t>9500IU/ML INJ SOL ISP 10X0,3ML</t>
  </si>
  <si>
    <t>C09CA01</t>
  </si>
  <si>
    <t>50MG TBL FLM 30 II</t>
  </si>
  <si>
    <t>H02AB04</t>
  </si>
  <si>
    <t>40MG/ML INJ PSO LQF 40MG+1ML</t>
  </si>
  <si>
    <t>J01CR02</t>
  </si>
  <si>
    <t>875MG/125MG TBL FLM 14</t>
  </si>
  <si>
    <t>J02AC01</t>
  </si>
  <si>
    <t>DIFLUCAN</t>
  </si>
  <si>
    <t>100MG CPS DUR 28 I</t>
  </si>
  <si>
    <t>M01AX17</t>
  </si>
  <si>
    <t>100MG TBL NOB 15</t>
  </si>
  <si>
    <t>100MG TBL NOB 30</t>
  </si>
  <si>
    <t>N02AJ06</t>
  </si>
  <si>
    <t>500MG/30MG TBL NOB 10</t>
  </si>
  <si>
    <t>500MG/30MG TBL NOB 30</t>
  </si>
  <si>
    <t>325MG/28,73MG TBL NOB 10</t>
  </si>
  <si>
    <t>N02BB02</t>
  </si>
  <si>
    <t>NOVALGIN TABLETY</t>
  </si>
  <si>
    <t>500MG TBL FLM 20</t>
  </si>
  <si>
    <t>NOVALGIN INJEKCE</t>
  </si>
  <si>
    <t>500MG/ML INJ SOL 5X5ML</t>
  </si>
  <si>
    <t>500MG/ML INJ SOL 10X2ML</t>
  </si>
  <si>
    <t>N06BX18</t>
  </si>
  <si>
    <t>10MG TBL NOB 30</t>
  </si>
  <si>
    <t>A06AD11</t>
  </si>
  <si>
    <t>667G/L POR SOL 1X500ML HDP</t>
  </si>
  <si>
    <t>A07DA</t>
  </si>
  <si>
    <t>2,5MG/0,025MG TBL NOB 20</t>
  </si>
  <si>
    <t>9500IU/ML INJ SOL ISP 10X0,6ML</t>
  </si>
  <si>
    <t>9500IU/ML INJ SOL ISP 10X0,4ML</t>
  </si>
  <si>
    <t>9500IU/ML INJ SOL ISP 10X0,8ML</t>
  </si>
  <si>
    <t>19000IU/ML INJ SOL ISP 2X0,8ML</t>
  </si>
  <si>
    <t>B01AC04</t>
  </si>
  <si>
    <t>ZYLLT</t>
  </si>
  <si>
    <t>75MG TBL FLM 28</t>
  </si>
  <si>
    <t>75MG TBL FLM 56</t>
  </si>
  <si>
    <t>C07AB07</t>
  </si>
  <si>
    <t>10MG TBL FLM 30</t>
  </si>
  <si>
    <t>C10AA05</t>
  </si>
  <si>
    <t>SORTIS</t>
  </si>
  <si>
    <t>C10AA07</t>
  </si>
  <si>
    <t>ROSUCARD</t>
  </si>
  <si>
    <t>20MG TBL FLM 30</t>
  </si>
  <si>
    <t>H03AA01</t>
  </si>
  <si>
    <t>EUTHYROX</t>
  </si>
  <si>
    <t>88MCG TBL NOB 100 II</t>
  </si>
  <si>
    <t>J01DD01</t>
  </si>
  <si>
    <t>SEFOTAK</t>
  </si>
  <si>
    <t>1G INJ PLV SOL 1</t>
  </si>
  <si>
    <t>J01XA01</t>
  </si>
  <si>
    <t>VANCOMYCIN MYLAN</t>
  </si>
  <si>
    <t>1000MG INF PLV SOL 1</t>
  </si>
  <si>
    <t>J01XD01</t>
  </si>
  <si>
    <t>METRONIDAZOLE 0,5%-POLPHARMA</t>
  </si>
  <si>
    <t>5MG/ML INF SOL 1X100ML</t>
  </si>
  <si>
    <t>N03AG01</t>
  </si>
  <si>
    <t>DEPAKINE CHRONO 500 MG SÉCABLE</t>
  </si>
  <si>
    <t>500MG TBL RET 100</t>
  </si>
  <si>
    <t>N03AX14</t>
  </si>
  <si>
    <t>DRETACEN</t>
  </si>
  <si>
    <t>250MG TBL FLM 50</t>
  </si>
  <si>
    <t>N05AL05</t>
  </si>
  <si>
    <t>SOLIAN</t>
  </si>
  <si>
    <t>200MG TBL NOB 30</t>
  </si>
  <si>
    <t>N05BA12</t>
  </si>
  <si>
    <t>1MG TBL NOB 30</t>
  </si>
  <si>
    <t>N05CD08</t>
  </si>
  <si>
    <t>DORMICUM</t>
  </si>
  <si>
    <t>7,5MG TBL FLM 10X1</t>
  </si>
  <si>
    <t>A10BA02</t>
  </si>
  <si>
    <t>1000MG TBL FLM 60</t>
  </si>
  <si>
    <t>B01AF02</t>
  </si>
  <si>
    <t>ELIQUIS</t>
  </si>
  <si>
    <t>2,5MG TBL FLM 20</t>
  </si>
  <si>
    <t>C01BD01</t>
  </si>
  <si>
    <t>150MG/3ML INJ SOL 6X3ML</t>
  </si>
  <si>
    <t>C01EB15</t>
  </si>
  <si>
    <t>PROTEVASC</t>
  </si>
  <si>
    <t>35MG TBL PRO 60</t>
  </si>
  <si>
    <t>C07AB05</t>
  </si>
  <si>
    <t>LOKREN</t>
  </si>
  <si>
    <t>20MG TBL FLM 28</t>
  </si>
  <si>
    <t>C09AA05</t>
  </si>
  <si>
    <t>TRITACE</t>
  </si>
  <si>
    <t>2,5MG TBL NOB 20</t>
  </si>
  <si>
    <t>C09BB04</t>
  </si>
  <si>
    <t>PRESTANCE</t>
  </si>
  <si>
    <t>5MG/5MG TBL NOB 30</t>
  </si>
  <si>
    <t>62,5MG/ML INJ PSO LQF 1G+16ML</t>
  </si>
  <si>
    <t>50MCG TBL NOB 100</t>
  </si>
  <si>
    <t>J01AA12</t>
  </si>
  <si>
    <t>TYGACIL</t>
  </si>
  <si>
    <t>50MG INF PLV SOL 10</t>
  </si>
  <si>
    <t>875MG/125MG TBL FLM 21</t>
  </si>
  <si>
    <t>CEFOTAXIME LEK</t>
  </si>
  <si>
    <t>1G INJ PLV SOL 10</t>
  </si>
  <si>
    <t>J01DH02</t>
  </si>
  <si>
    <t>ARCHIFAR</t>
  </si>
  <si>
    <t>1G INJ+INF PLV SOL 10</t>
  </si>
  <si>
    <t>500MG INF PLV SOL 1</t>
  </si>
  <si>
    <t>FLUCONAZOL KABI</t>
  </si>
  <si>
    <t>2MG/ML INF SOL 10X100ML</t>
  </si>
  <si>
    <t>2MG/ML INF SOL 10X200ML</t>
  </si>
  <si>
    <t>N01AF03</t>
  </si>
  <si>
    <t>1G INJ PLV SOL 1 I</t>
  </si>
  <si>
    <t>THIOPENTAL VALEANT</t>
  </si>
  <si>
    <t>0,5G INJ PLV SOL 10</t>
  </si>
  <si>
    <t>N01AH03</t>
  </si>
  <si>
    <t>SUFENTANIL TORREX</t>
  </si>
  <si>
    <t>50MCG/ML INJ SOL 5X5ML</t>
  </si>
  <si>
    <t>N01AX10</t>
  </si>
  <si>
    <t>10MG/ML INJ+INF EML 10X100ML</t>
  </si>
  <si>
    <t>N02BE01</t>
  </si>
  <si>
    <t>PARACETAMOL KABI</t>
  </si>
  <si>
    <t>10MG/ML INF SOL 10X100ML</t>
  </si>
  <si>
    <t>400MG/4ML INJ PSO LQF 4+4X4ML</t>
  </si>
  <si>
    <t>TRUND</t>
  </si>
  <si>
    <t>500MG TBL FLM 100</t>
  </si>
  <si>
    <t>N03AX16</t>
  </si>
  <si>
    <t>PREGABALIN SANDOZ</t>
  </si>
  <si>
    <t>75MG CPS DUR 14</t>
  </si>
  <si>
    <t>75MG CPS DUR 56</t>
  </si>
  <si>
    <t>LYRICA</t>
  </si>
  <si>
    <t>MIDAZOLAM ACCORD</t>
  </si>
  <si>
    <t>5MG/ML INJ+INF SOL 10X3ML</t>
  </si>
  <si>
    <t>N06AB04</t>
  </si>
  <si>
    <t>R03AC02</t>
  </si>
  <si>
    <t>VENTOLIN</t>
  </si>
  <si>
    <t>5MG/ML INH SOL 1X20ML</t>
  </si>
  <si>
    <t>R06AE07</t>
  </si>
  <si>
    <t>10MG TBL FLM 60</t>
  </si>
  <si>
    <t>R06AE09</t>
  </si>
  <si>
    <t>CEZERA</t>
  </si>
  <si>
    <t>5MG TBL FLM 90 I</t>
  </si>
  <si>
    <t>V06XX</t>
  </si>
  <si>
    <t>POR SOL 1X1000ML</t>
  </si>
  <si>
    <t>POR SOL 4X125G</t>
  </si>
  <si>
    <t>NUTRIDRINK CREME S PŘÍCHUTÍ LESNÍHO OVOCE</t>
  </si>
  <si>
    <t>Přehled plnění pozitivního listu - spotřeba léčivých přípravků - orientační přehled</t>
  </si>
  <si>
    <t>06 - Neurochirurgická klinika</t>
  </si>
  <si>
    <t>0611 - lůžkové oddělení 34</t>
  </si>
  <si>
    <t>0612 - lůžkové oddělení 36A</t>
  </si>
  <si>
    <t>0621 - ambulance</t>
  </si>
  <si>
    <t xml:space="preserve">0631 - JIP </t>
  </si>
  <si>
    <t>0662 - operační sál - lokální</t>
  </si>
  <si>
    <t>HVLP</t>
  </si>
  <si>
    <t>PZT</t>
  </si>
  <si>
    <t>6</t>
  </si>
  <si>
    <t>89301061</t>
  </si>
  <si>
    <t>Standardní lůžková péče Celkem</t>
  </si>
  <si>
    <t>89301062</t>
  </si>
  <si>
    <t>Všeobecná ambulance Celkem</t>
  </si>
  <si>
    <t>Neurochirurgická klinika Celkem</t>
  </si>
  <si>
    <t xml:space="preserve"> </t>
  </si>
  <si>
    <t>* Legenda</t>
  </si>
  <si>
    <t>DIAPZT = Pomůcky pro diabetiky, jejichž název začíná slovem "Pumpa"</t>
  </si>
  <si>
    <t>Balik Vladimír</t>
  </si>
  <si>
    <t>Gabryš Martin</t>
  </si>
  <si>
    <t>Halaj Matej</t>
  </si>
  <si>
    <t>Hampl Martin</t>
  </si>
  <si>
    <t>Hrabálek Lumír</t>
  </si>
  <si>
    <t>Jablonský Jakub</t>
  </si>
  <si>
    <t>Kalita Ondřej</t>
  </si>
  <si>
    <t>Krahulík David</t>
  </si>
  <si>
    <t>Novák Vlastimil</t>
  </si>
  <si>
    <t>Stejskal Přemysl</t>
  </si>
  <si>
    <t>Wanek Tomáš</t>
  </si>
  <si>
    <t>AMOXICILIN A ENZYMOVÝ INHIBITOR</t>
  </si>
  <si>
    <t>12494</t>
  </si>
  <si>
    <t>AUGMENTIN 1 G</t>
  </si>
  <si>
    <t>875MG/125MG TBL FLM 14 I</t>
  </si>
  <si>
    <t>Dexamethason</t>
  </si>
  <si>
    <t>4MG TBL NOB 20</t>
  </si>
  <si>
    <t>Ortopedicko protetické pomůcky sériově vyráběné</t>
  </si>
  <si>
    <t>11807</t>
  </si>
  <si>
    <t>ORTÉZA KRČNÍ LÍMEC ORTEL C1</t>
  </si>
  <si>
    <t>ANATOM.TVAROVANÝ,FIXAČNÍ PÁSKA NA SUCHÝ ZIP</t>
  </si>
  <si>
    <t>140647</t>
  </si>
  <si>
    <t>LÍMEC KRČNÍ PHILADELPHIA ORTEL C4 VARIO 49280</t>
  </si>
  <si>
    <t>NASTAVITELNÁ VÝŠKA OPORY BRADY, UNIVERZÁLNÍ VELIKOST</t>
  </si>
  <si>
    <t>93530</t>
  </si>
  <si>
    <t>ORTÉZA ZÁDOVÁ LOMBAX DORSO 0845</t>
  </si>
  <si>
    <t>VYSOKÁ ZÁDOVÁ ORTÉZA (ROZSAH TH-LS),KOVOVÉ DLAHY A DOPÍNACÍ TAHY</t>
  </si>
  <si>
    <t>Ortopedicko protetické pomůcky individuálně zhotovené</t>
  </si>
  <si>
    <t>957</t>
  </si>
  <si>
    <t>ORTÉZA TRUPOVÁ</t>
  </si>
  <si>
    <t>S KONSTRUK.ZÁKLADEM Z PEV.MAT.(PE,LAM.KOV)ZHOTOV.NA ZÁKL.SEJMUTÍ MĚR.PODKLADŮ</t>
  </si>
  <si>
    <t>Sumatriptan</t>
  </si>
  <si>
    <t>107983</t>
  </si>
  <si>
    <t>SUMAMIGREN</t>
  </si>
  <si>
    <t>100MG TBL FLM 6</t>
  </si>
  <si>
    <t>Amlodipin</t>
  </si>
  <si>
    <t>15383</t>
  </si>
  <si>
    <t>HIPRES 5</t>
  </si>
  <si>
    <t>5MG TBL NOB 90</t>
  </si>
  <si>
    <t>HOŘČÍK (RŮZNÉ SOLE V KOMBINACI)</t>
  </si>
  <si>
    <t>365MG POR GRA SOL SCC 30</t>
  </si>
  <si>
    <t>KLOPIDOGREL</t>
  </si>
  <si>
    <t>ORFENADRIN, KOMBINACE</t>
  </si>
  <si>
    <t>10085</t>
  </si>
  <si>
    <t>0,3MG/ML+0,12MG/ML INF SOL 1X2</t>
  </si>
  <si>
    <t>93884</t>
  </si>
  <si>
    <t>PÁS BEDERNÍ LOMBASKIN 0870</t>
  </si>
  <si>
    <t>EXTRA TENKÝ BEDERNÍ PÁS S PEVNÝMI VÝZTUHAMI</t>
  </si>
  <si>
    <t>140996</t>
  </si>
  <si>
    <t>PÁS BEDERNÍ ACCESS 1507</t>
  </si>
  <si>
    <t>S PŘÍDAVNÝMI TAHY, 6 VELIKOSTÍ</t>
  </si>
  <si>
    <t>CIPROFLOXACIN</t>
  </si>
  <si>
    <t>15659</t>
  </si>
  <si>
    <t>500MG TBL FLM 50</t>
  </si>
  <si>
    <t>15654</t>
  </si>
  <si>
    <t>CIPLOX 250</t>
  </si>
  <si>
    <t>DESLORATADIN</t>
  </si>
  <si>
    <t>27899</t>
  </si>
  <si>
    <t>AERIUS</t>
  </si>
  <si>
    <t>5MG TBL FLM 90</t>
  </si>
  <si>
    <t>DIKLOFENAK</t>
  </si>
  <si>
    <t>75632</t>
  </si>
  <si>
    <t>DICLOFENAC AL RETARD</t>
  </si>
  <si>
    <t>100MG TBL PRO 50</t>
  </si>
  <si>
    <t>89026</t>
  </si>
  <si>
    <t>DICLOFENAC AL 50</t>
  </si>
  <si>
    <t>50MG TBL ENT 100</t>
  </si>
  <si>
    <t>DIOSMIN, KOMBINACE</t>
  </si>
  <si>
    <t>500MG TBL FLM 120</t>
  </si>
  <si>
    <t>215978</t>
  </si>
  <si>
    <t>Hydrokortison a antibiotika</t>
  </si>
  <si>
    <t>41515</t>
  </si>
  <si>
    <t>PIMAFUCORT</t>
  </si>
  <si>
    <t>10MG/G+10MG/G+3,5MG/G CRM 15G</t>
  </si>
  <si>
    <t>KLARITHROMYCIN</t>
  </si>
  <si>
    <t>75490</t>
  </si>
  <si>
    <t>KLACID 250</t>
  </si>
  <si>
    <t>250MG TBL FLM 14</t>
  </si>
  <si>
    <t>KYSELINA ACETYLSALICYLOVÁ</t>
  </si>
  <si>
    <t>203564</t>
  </si>
  <si>
    <t>ANOPYRIN</t>
  </si>
  <si>
    <t>100MG TBL NOB 100</t>
  </si>
  <si>
    <t>LEVOTHYROXIN, SODNÁ SŮL</t>
  </si>
  <si>
    <t>97186</t>
  </si>
  <si>
    <t>100MCG TBL NOB 100 I</t>
  </si>
  <si>
    <t>LOSARTAN A DIURETIKA</t>
  </si>
  <si>
    <t>15317</t>
  </si>
  <si>
    <t>LOZAP H</t>
  </si>
  <si>
    <t>50MG/12,5MG TBL FLM 90</t>
  </si>
  <si>
    <t>NIMESULID</t>
  </si>
  <si>
    <t>17187</t>
  </si>
  <si>
    <t>NIMESIL</t>
  </si>
  <si>
    <t>100MG POR GRA SUS 30</t>
  </si>
  <si>
    <t>RABEPRAZOL</t>
  </si>
  <si>
    <t>157141</t>
  </si>
  <si>
    <t>ZULBEX</t>
  </si>
  <si>
    <t>20MG TBL ENT 56</t>
  </si>
  <si>
    <t>ROSUVASTATIN</t>
  </si>
  <si>
    <t>148070</t>
  </si>
  <si>
    <t>10MG TBL FLM 90</t>
  </si>
  <si>
    <t>SODNÁ SŮL METAMIZOLU</t>
  </si>
  <si>
    <t>TOLPERISON</t>
  </si>
  <si>
    <t>MYDOCALM</t>
  </si>
  <si>
    <t>150MG TBL FLM 30</t>
  </si>
  <si>
    <t>JINÁ KAPILÁRY STABILIZUJÍCÍ LÁTKY</t>
  </si>
  <si>
    <t>20MG TBL ENT 30</t>
  </si>
  <si>
    <t>LEVOCETIRIZIN</t>
  </si>
  <si>
    <t>LOPERAMID</t>
  </si>
  <si>
    <t>132604</t>
  </si>
  <si>
    <t>2MG CPS DUR 20</t>
  </si>
  <si>
    <t>Meloxikam</t>
  </si>
  <si>
    <t>132718</t>
  </si>
  <si>
    <t>MOVALIS</t>
  </si>
  <si>
    <t>15MG TBL NOB 20</t>
  </si>
  <si>
    <t>METHYLPREDNISOLON</t>
  </si>
  <si>
    <t>40368</t>
  </si>
  <si>
    <t>MEDROL</t>
  </si>
  <si>
    <t>4MG TBL NOB 30 I</t>
  </si>
  <si>
    <t>NADROPARIN</t>
  </si>
  <si>
    <t>32059</t>
  </si>
  <si>
    <t>Organo-heparinoid</t>
  </si>
  <si>
    <t>HEPAROID LÉČIVA</t>
  </si>
  <si>
    <t>2MG/G CRM 30G</t>
  </si>
  <si>
    <t>11659</t>
  </si>
  <si>
    <t>ORTÉZA ZÁPĚSTÍ KRÁTKÁ PAN 5.01</t>
  </si>
  <si>
    <t>S DLAHOU,VELIKOST S,M,L, PRAVÁ-LEVÁ</t>
  </si>
  <si>
    <t>22901</t>
  </si>
  <si>
    <t>MELOXICAM-TEVA</t>
  </si>
  <si>
    <t>15MG TBL NOB 50 I</t>
  </si>
  <si>
    <t>Bromazepam</t>
  </si>
  <si>
    <t>132764</t>
  </si>
  <si>
    <t>3MG TBL NOB 30</t>
  </si>
  <si>
    <t>Hydrokortison</t>
  </si>
  <si>
    <t>858</t>
  </si>
  <si>
    <t>HYDROCORTISON LÉČIVA</t>
  </si>
  <si>
    <t>10MG/G UNG 10G</t>
  </si>
  <si>
    <t>TRAMADOL A PARACETAMOL</t>
  </si>
  <si>
    <t>179333</t>
  </si>
  <si>
    <t>DORETA</t>
  </si>
  <si>
    <t>75MG/650MG TBL FLM 90 I</t>
  </si>
  <si>
    <t>Azithromycin</t>
  </si>
  <si>
    <t>45010</t>
  </si>
  <si>
    <t>AZITROMYCIN SANDOZ</t>
  </si>
  <si>
    <t>500MG TBL FLM 3</t>
  </si>
  <si>
    <t>HYDROCORTISON 10 MG JENAPHARM</t>
  </si>
  <si>
    <t>10MG TBL NOB 20</t>
  </si>
  <si>
    <t>Jiná antibiotika pro lokální aplikaci</t>
  </si>
  <si>
    <t>250IU/G+5,2MG/G UNG 10G</t>
  </si>
  <si>
    <t>202700</t>
  </si>
  <si>
    <t>20MG TBL ENT 60</t>
  </si>
  <si>
    <t>Kyselina valproová</t>
  </si>
  <si>
    <t>92587</t>
  </si>
  <si>
    <t>500MG TBL RET 30</t>
  </si>
  <si>
    <t>32061</t>
  </si>
  <si>
    <t>OMEPRAZOL</t>
  </si>
  <si>
    <t>115308</t>
  </si>
  <si>
    <t>20MG CPS ETD 14</t>
  </si>
  <si>
    <t>TRAMADOL</t>
  </si>
  <si>
    <t>100MG TBL PRO 30</t>
  </si>
  <si>
    <t>ZOLPIDEM</t>
  </si>
  <si>
    <t>146899</t>
  </si>
  <si>
    <t>ZOLPIDEM MYLAN</t>
  </si>
  <si>
    <t>10MG TBL FLM 50</t>
  </si>
  <si>
    <t>ZOPIKLON</t>
  </si>
  <si>
    <t>102591</t>
  </si>
  <si>
    <t>ZOPITIN</t>
  </si>
  <si>
    <t>7,5MG TBL FLM 30</t>
  </si>
  <si>
    <t>132872</t>
  </si>
  <si>
    <t>ZALDIAR</t>
  </si>
  <si>
    <t>37,5MG/325MG TBL FLM 30</t>
  </si>
  <si>
    <t>23828</t>
  </si>
  <si>
    <t>ORTÉZA RAMENNÍ 107A</t>
  </si>
  <si>
    <t>VEL.S-80-90CM,M-91-100CM,L-101-110CM,XL-111-120CM,XXL-121-130CM,PR/LE</t>
  </si>
  <si>
    <t>500MG TBL FLM 10</t>
  </si>
  <si>
    <t>KLINDAMYCIN</t>
  </si>
  <si>
    <t>100339</t>
  </si>
  <si>
    <t>DALACIN C</t>
  </si>
  <si>
    <t>300MG CPS DUR 16</t>
  </si>
  <si>
    <t>58491</t>
  </si>
  <si>
    <t>FROMILID</t>
  </si>
  <si>
    <t>125MG/5ML POR GRA SUS 1X60ML</t>
  </si>
  <si>
    <t>17925</t>
  </si>
  <si>
    <t>37,5MG/325MG TBL FLM 20</t>
  </si>
  <si>
    <t>Všeobecná ambulance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</si>
  <si>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</si>
  <si>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</si>
  <si>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</si>
  <si>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R06AX27 - DESLORATADIN</t>
  </si>
  <si>
    <t>N02CC01 - SUMATRIPTAN</t>
  </si>
  <si>
    <t>C09DA01 - LOSARTAN A DIURETIKA</t>
  </si>
  <si>
    <t>J01FA10 - AZITHROMYCIN</t>
  </si>
  <si>
    <t>N02CC01</t>
  </si>
  <si>
    <t>C09DA01</t>
  </si>
  <si>
    <t>R06AX27</t>
  </si>
  <si>
    <t>J01FA10</t>
  </si>
  <si>
    <t>Přehled plnění PL - Preskripce léčivých přípravků - orientační přehled</t>
  </si>
  <si>
    <t>ZA007</t>
  </si>
  <si>
    <t>Obvaz elastický síťový pruban č. 9 427309</t>
  </si>
  <si>
    <t>ZA338</t>
  </si>
  <si>
    <t>Obinadlo hydrofilní   6 cm x   5 m 13005</t>
  </si>
  <si>
    <t>ZA340</t>
  </si>
  <si>
    <t>Obinadlo hydrofilní 12 cm x   5 m 13008</t>
  </si>
  <si>
    <t>ZA446</t>
  </si>
  <si>
    <t>Vata buničitá přířezy 20 x 30 cm 1230200129</t>
  </si>
  <si>
    <t>ZA459</t>
  </si>
  <si>
    <t>Kompresa AB 10 x 20 cm/1 ks sterilní NT savá 1230114021</t>
  </si>
  <si>
    <t>ZA562</t>
  </si>
  <si>
    <t>Náplast cosmopor i. v. 6 x 8 cm bal. á 50 ks 9008054</t>
  </si>
  <si>
    <t>ZA593</t>
  </si>
  <si>
    <t>Tampon sterilní stáčený 20 x 20 cm / 5 ks 28003+</t>
  </si>
  <si>
    <t>ZB084</t>
  </si>
  <si>
    <t>Náplast transpore 2,50 cm x 9,14 m 1527-1</t>
  </si>
  <si>
    <t>ZC100</t>
  </si>
  <si>
    <t>Vata buničitá dělená 2 role / 500 ks 40 x 50 mm 1230200310</t>
  </si>
  <si>
    <t>ZC845</t>
  </si>
  <si>
    <t>Kompresa NT 10 x 20 cm/5 ks sterilní 26621</t>
  </si>
  <si>
    <t>ZH012</t>
  </si>
  <si>
    <t>Náplast micropore 2,50 cm x 9,10 m 840W-1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</si>
  <si>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</si>
  <si>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</si>
  <si>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</si>
  <si>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</si>
  <si>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</si>
  <si>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</si>
  <si>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ZF716</t>
  </si>
  <si>
    <t>Obinadlo fixační peha-haft 6cm á 20 m 9324471</t>
  </si>
  <si>
    <t>ZE396</t>
  </si>
  <si>
    <t>Krytí mastný tyl grassolind 7,5 x 10 cm bal. á 10 ks 499313</t>
  </si>
  <si>
    <t>ZN477</t>
  </si>
  <si>
    <t>Obinadlo elastické universal 12 cm x 5 m 1323100314</t>
  </si>
  <si>
    <t>ZD482</t>
  </si>
  <si>
    <t>Krytí filmové transparentní Opsite spray 240 ml bal. á 12 ks 66004980</t>
  </si>
  <si>
    <t>ZD232</t>
  </si>
  <si>
    <t>Podkolenky antitrombotické pro imobilní pacienty mediven thrombexin L normální ANTICO TPS 26935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</si>
  <si>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</si>
  <si>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</si>
  <si>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</si>
  <si>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</si>
  <si>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</si>
  <si>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</si>
  <si>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</si>
  <si>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</si>
  <si>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ZB249</t>
  </si>
  <si>
    <t>Sáček močový s křížovou výpustí 2000 ml ZAR-TNU201601</t>
  </si>
  <si>
    <t>ZB756</t>
  </si>
  <si>
    <t>Zkumavka 3 ml K3 edta fialová 454086</t>
  </si>
  <si>
    <t>ZB757</t>
  </si>
  <si>
    <t>Zkumavka 6 ml K3 edta fialová 456036</t>
  </si>
  <si>
    <t>ZB761</t>
  </si>
  <si>
    <t>Zkumavka červená 4 ml 454092</t>
  </si>
  <si>
    <t>ZB775</t>
  </si>
  <si>
    <t>Zkumavka koagulace 4 ml modrá 454329</t>
  </si>
  <si>
    <t>ZB777</t>
  </si>
  <si>
    <t>Zkumavka červená 4 ml gel 454071</t>
  </si>
  <si>
    <t>ZB893</t>
  </si>
  <si>
    <t>Stříkačka inzulinová omnican 0,5 ml 100j s jehlou 30 G 9151125S</t>
  </si>
  <si>
    <t>ZC906</t>
  </si>
  <si>
    <t>Škrtidlo se sponou pro dospělé 25 x 500 mm KVS25500</t>
  </si>
  <si>
    <t>ZD808</t>
  </si>
  <si>
    <t>Kanyla vasofix 22G modrá safety 4269098S-01</t>
  </si>
  <si>
    <t>ZD809</t>
  </si>
  <si>
    <t>Kanyla vasofix 20G růžová safety 4269110S-01</t>
  </si>
  <si>
    <t>ZF159</t>
  </si>
  <si>
    <t>Nádoba na kontaminovaný odpad 1 l 15-0002</t>
  </si>
  <si>
    <t>ZH816</t>
  </si>
  <si>
    <t>Katetr močový foley CH14 180605-000140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</si>
  <si>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</si>
  <si>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</si>
  <si>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</si>
  <si>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</si>
  <si>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</si>
  <si>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</si>
  <si>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ZK799</t>
  </si>
  <si>
    <t>Zátka combi červená 4495101</t>
  </si>
  <si>
    <t>ZL105</t>
  </si>
  <si>
    <t>Nástavec pro odběr moče ke zkumavce vacuete 450251</t>
  </si>
  <si>
    <t>ZL688</t>
  </si>
  <si>
    <t>Proužky Accu-Check Inform IIStrip 50 EU1 á 50 ks 05942861041</t>
  </si>
  <si>
    <t>ZL689</t>
  </si>
  <si>
    <t>Roztok Accu-Check Performa Int´l Controls 1+2 level 04861736</t>
  </si>
  <si>
    <t>ZB985</t>
  </si>
  <si>
    <t>Zkumavka močová urin-monovette s pístem 10 ml sterilní bal. á 100 ks 10.252.020</t>
  </si>
  <si>
    <t>ZJ673</t>
  </si>
  <si>
    <t>Pohár na moč 100 ml UH GAMA204808</t>
  </si>
  <si>
    <t>ZN297</t>
  </si>
  <si>
    <t>Hadička spojovací Gamaplus 1,8 x 450 LL NO DOP 606301-ND</t>
  </si>
  <si>
    <t>ZO372</t>
  </si>
  <si>
    <t>Konektor bezjehlový OptiSyte JIM:JSM4001</t>
  </si>
  <si>
    <t>ZA715</t>
  </si>
  <si>
    <t>Set infuzní intrafix primeline classic 150 cm 4062957</t>
  </si>
  <si>
    <t>ZA834</t>
  </si>
  <si>
    <t>Jehla injekční 0,7 x 40 mm černá 4660021</t>
  </si>
  <si>
    <t>ZA835</t>
  </si>
  <si>
    <t>Jehla injekční 0,6 x 25 mm modrá 4657667</t>
  </si>
  <si>
    <t>ZB556</t>
  </si>
  <si>
    <t>Jehla injekční 1,2 x 40 mm růžová 4665120</t>
  </si>
  <si>
    <t>ZB768</t>
  </si>
  <si>
    <t>Jehla vakuová 216/38 mm zelená 450076</t>
  </si>
  <si>
    <t>ZM292</t>
  </si>
  <si>
    <t>Rukavice nitril sempercare bez p. M bal. á 200 ks 30803</t>
  </si>
  <si>
    <t>ZM293</t>
  </si>
  <si>
    <t>Rukavice nitril sempercare bez p. L bal. á 200 ks 30804</t>
  </si>
  <si>
    <t>ZN040</t>
  </si>
  <si>
    <t>Rukavice operační gammex latex PF bez pudru 8,5 330048085</t>
  </si>
  <si>
    <t>ZC698</t>
  </si>
  <si>
    <t>Maska kyslíková + hadička pro dosp.1105000</t>
  </si>
  <si>
    <t>ZA425</t>
  </si>
  <si>
    <t>Obinadlo hydrofilní 10 cm x   5 m 13007</t>
  </si>
  <si>
    <t>ZA451</t>
  </si>
  <si>
    <t>Náplast omniplast 5,0 cm x 9,2 m 9004540 (900429)</t>
  </si>
  <si>
    <t>ZA547</t>
  </si>
  <si>
    <t>Krytí inadine nepřilnavé 9,5 x 9,5 cm 1/10 SYS01512EE</t>
  </si>
  <si>
    <t>ZA643</t>
  </si>
  <si>
    <t>Kompresa vliwasoft 10 x 20 nesterilní á 100 ks 12070</t>
  </si>
  <si>
    <t>ZD668</t>
  </si>
  <si>
    <t>Kompresa gáza 10 x 10 cm/5 ks sterilní 1325019275</t>
  </si>
  <si>
    <t>ZE748</t>
  </si>
  <si>
    <t>Krytí melgisorb Ag alginátové absorpční 10 x 10 cm bal. á 10 ks 256100-00</t>
  </si>
  <si>
    <t>ZI558</t>
  </si>
  <si>
    <t>Náplast curapor   7 x   5 cm 32912  (22120,  náhrada za cosmopor )</t>
  </si>
  <si>
    <t>ZN476</t>
  </si>
  <si>
    <t>Obinadlo elastické universal 15 cm x 5 m 1323100315</t>
  </si>
  <si>
    <t>ZA688</t>
  </si>
  <si>
    <t>Sáček močový curity s hod. diurézou 400 ml hadička 150 cm 8150</t>
  </si>
  <si>
    <t>ZA727</t>
  </si>
  <si>
    <t>Kontejner 30 ml sterilní uchovávání pevných i kapalných vzorků (nesterilní obal) bal. á 500 ks FLME25175</t>
  </si>
  <si>
    <t>ZA738</t>
  </si>
  <si>
    <t>Filtr mini spike zelený 4550242</t>
  </si>
  <si>
    <t>ZA883</t>
  </si>
  <si>
    <t>Rourka rektální CH18 délka 40 cm 19-18.100</t>
  </si>
  <si>
    <t>ZA965</t>
  </si>
  <si>
    <t>Stříkačka inzulínová omnican 1 ml 100j bal. á 100 ks 9151141S</t>
  </si>
  <si>
    <t>ZB771</t>
  </si>
  <si>
    <t>Držák jehly základní 450201</t>
  </si>
  <si>
    <t>ZB774</t>
  </si>
  <si>
    <t>Zkumavka červená 5 ml gel 456071</t>
  </si>
  <si>
    <t>ZE159</t>
  </si>
  <si>
    <t>Nádoba na kontaminovaný odpad 2 l 15-0003</t>
  </si>
  <si>
    <t>ZN409</t>
  </si>
  <si>
    <t>Katetr močový nelaton 14CH Silasil balónkový 28 dní bal. á 10 ks 186005-000140</t>
  </si>
  <si>
    <t>ZN410</t>
  </si>
  <si>
    <t>Katetr močový nelaton 16CH Silasil balónkový 28 dní bal. á 10 ks 186005-000160</t>
  </si>
  <si>
    <t>ZO939</t>
  </si>
  <si>
    <t>Zkumavka liquor PP 10 ml 15,3 x 92 ml šroubovací víčko sterilní s popisem bal.á 100 ks 62.610.018</t>
  </si>
  <si>
    <t>ZA360</t>
  </si>
  <si>
    <t>Jehla sterican 0,5 x 25 mm oranžová 9186158</t>
  </si>
  <si>
    <t>ZB767</t>
  </si>
  <si>
    <t>Jehla vakuová 226/38 mm černá 450075</t>
  </si>
  <si>
    <t>ZN108</t>
  </si>
  <si>
    <t>Rukavice operační gammex latex PF bez pudru 8,0 330048080</t>
  </si>
  <si>
    <t>ZK438</t>
  </si>
  <si>
    <t>Rukavice operační latexové s pudrem sempermed classic vel. 7,0 31282</t>
  </si>
  <si>
    <t>ZA463</t>
  </si>
  <si>
    <t>Kompresa NT 10 x 20 cm/2 ks sterilní 26620</t>
  </si>
  <si>
    <t>ZA464</t>
  </si>
  <si>
    <t>Kompresa NT 10 x 10 cm/2 ks sterilní 26520</t>
  </si>
  <si>
    <t>ZB963</t>
  </si>
  <si>
    <t>Pinzeta anatomická úzká 145 mm B397114920019</t>
  </si>
  <si>
    <t>ZA418</t>
  </si>
  <si>
    <t>Náplast metaline pod TS 8 x 9 cm 23094</t>
  </si>
  <si>
    <t>ZA444</t>
  </si>
  <si>
    <t>Tampon nesterilní stáčený 20 x 19 cm bez RTG nití bal. á 100 ks 1320300404</t>
  </si>
  <si>
    <t>ZA467</t>
  </si>
  <si>
    <t>Tyčinka vatová nesterilní 15 cm bal. á 100 ks 9679369</t>
  </si>
  <si>
    <t>ZA476</t>
  </si>
  <si>
    <t>Krytí mepilex border lite 10 x 10 cm bal. á 5 ks 281300-00</t>
  </si>
  <si>
    <t>ZA542</t>
  </si>
  <si>
    <t>Náplast wet pruf voduvzd. 1,25 cm x 9,14 m bal. á 24 ks K00-3063C</t>
  </si>
  <si>
    <t>ZA617</t>
  </si>
  <si>
    <t>Tampon TC-OC k ošetření dutiny ústní á 250 ks 12240</t>
  </si>
  <si>
    <t>ZC506</t>
  </si>
  <si>
    <t>Kompresa NT 10 x 10 cm/5 ks sterilní 1325020275</t>
  </si>
  <si>
    <t>ZD104</t>
  </si>
  <si>
    <t>Náplast omniplast 10,0 cm x 10,0 m 9004472 (900535)</t>
  </si>
  <si>
    <t>ZK646</t>
  </si>
  <si>
    <t>Krytí tegaderm CHG 8,5 cm x 11,5 cm na CŽK-antibakt. bal. á 25 ks 1657R</t>
  </si>
  <si>
    <t>ZL977</t>
  </si>
  <si>
    <t>Kanystr renasys GO 750 ml 66800916</t>
  </si>
  <si>
    <t>ZL973</t>
  </si>
  <si>
    <t>Pěna renasys-F střední set (M) 66800795</t>
  </si>
  <si>
    <t>ZL974</t>
  </si>
  <si>
    <t>Pěna renasys-F velký set (L) 66800796</t>
  </si>
  <si>
    <t>ZA615</t>
  </si>
  <si>
    <t>Tampón cavilon 1 ml bal. á 25 ks 3343E</t>
  </si>
  <si>
    <t>ZL978</t>
  </si>
  <si>
    <t>Kanystr renasys GO 300 ml 66800914</t>
  </si>
  <si>
    <t>ZN321</t>
  </si>
  <si>
    <t>Obvaz elastický síťový CareFix Head velikost L bal. á 10 ks 0170 L</t>
  </si>
  <si>
    <t>ZN322</t>
  </si>
  <si>
    <t>Obvaz elastický síťový CareFix Head velikost XL bal. á 10 ks 0170 XL</t>
  </si>
  <si>
    <t>ZN815</t>
  </si>
  <si>
    <t>Krytí roztok k čištění a hojenní ran ActiMaris Forte 300 ml 3098077</t>
  </si>
  <si>
    <t>ZN814</t>
  </si>
  <si>
    <t>Krytí gelové na rány ActiMaris bal. á 20g 3097749</t>
  </si>
  <si>
    <t>ZA583</t>
  </si>
  <si>
    <t>Čtverečky desinfekční Webcol 3,5 x 3,5 cm 70% á 4000 ks 6818-1</t>
  </si>
  <si>
    <t>ZF053</t>
  </si>
  <si>
    <t>Tampon sterilní stáčený 20 x 19 cm / 10 ks karton á 1200 ks 1230110434</t>
  </si>
  <si>
    <t>ZA170</t>
  </si>
  <si>
    <t>Pásek k TS kanyle pěnový 520000</t>
  </si>
  <si>
    <t>ZA737</t>
  </si>
  <si>
    <t>Filtr mini spike modrý 4550234</t>
  </si>
  <si>
    <t>ZA749</t>
  </si>
  <si>
    <t>Stříkačka injekční 3-dílná 50 ml LL Omnifix Solo 4617509F</t>
  </si>
  <si>
    <t>ZA964</t>
  </si>
  <si>
    <t>Stříkačka janett 3-dílná 60 ml sterilní vyplachovací 050ML3CZ-CEW (MRG564)</t>
  </si>
  <si>
    <t>ZB006</t>
  </si>
  <si>
    <t>Teploměr digitální thermoval basic 9250391</t>
  </si>
  <si>
    <t>ZB103</t>
  </si>
  <si>
    <t>Láhev k odsávačce flovac 2l hadice 1,8 m 000-036-021</t>
  </si>
  <si>
    <t>ZB295</t>
  </si>
  <si>
    <t>Filtr iso-gard hepa čistý bal. á 20 ks 28012</t>
  </si>
  <si>
    <t>ZB424</t>
  </si>
  <si>
    <t>Elektroda EKG H34SG 31.1946.21</t>
  </si>
  <si>
    <t>ZB759</t>
  </si>
  <si>
    <t>Zkumavka červená 8 ml gel 455071</t>
  </si>
  <si>
    <t>ZB762</t>
  </si>
  <si>
    <t>Zkumavka červená 6 ml 456092</t>
  </si>
  <si>
    <t>ZB772</t>
  </si>
  <si>
    <t>Přechodka adaptér luer 450070</t>
  </si>
  <si>
    <t>ZB773</t>
  </si>
  <si>
    <t>Zkumavka šedá-glykemie 454085</t>
  </si>
  <si>
    <t>ZB801</t>
  </si>
  <si>
    <t>Transofix krátký trn á 50 ks 4090500</t>
  </si>
  <si>
    <t>ZB815</t>
  </si>
  <si>
    <t>Stříkačka injekční 3-dílná 50 ml LL spec. Original-Perfusor černá s jehlou 50 ml 8728828F</t>
  </si>
  <si>
    <t>ZB844</t>
  </si>
  <si>
    <t>Esmarch 60 x 1250 KVS 06125</t>
  </si>
  <si>
    <t>ZC177</t>
  </si>
  <si>
    <t>Systém odsávací uzavřený TC CH14 wet pack 54 cm / 72 h 2276-5</t>
  </si>
  <si>
    <t>ZG515</t>
  </si>
  <si>
    <t>Zkumavka močová vacuette 10,5 ml bal. á 50 ks 455007</t>
  </si>
  <si>
    <t>ZJ117</t>
  </si>
  <si>
    <t>Adaptér jednorázový k senzoru CO2 á 20 ks 415036-001</t>
  </si>
  <si>
    <t>ZJ659</t>
  </si>
  <si>
    <t>Kohout trojcestný s bezjehlovým konektorem Discofix C bal. á 100 ks 16494CSF</t>
  </si>
  <si>
    <t>ZK977</t>
  </si>
  <si>
    <t>Cévka odsávací CH14 s přerušovačem sání P01173a</t>
  </si>
  <si>
    <t>ZK978</t>
  </si>
  <si>
    <t>Cévka odsávací CH16 s přerušovačem sání P01175a</t>
  </si>
  <si>
    <t>ZA279</t>
  </si>
  <si>
    <t>Kanyla TS 7,0 s manžetou 100/800/070</t>
  </si>
  <si>
    <t>ZA725</t>
  </si>
  <si>
    <t>Kanyla TS 8,0 s manžetou bal. á 10 ks 100/860/080</t>
  </si>
  <si>
    <t>ZB340</t>
  </si>
  <si>
    <t>Hadička kyslíková bal. á 50 ks 41113</t>
  </si>
  <si>
    <t>ZC748</t>
  </si>
  <si>
    <t>Brýle kyslíkové 210 cm, á 50 ks, 1104</t>
  </si>
  <si>
    <t>ZL717</t>
  </si>
  <si>
    <t>Kanyla introcan safety 3 modrá 22G bal. á 50 ks 4251128-01</t>
  </si>
  <si>
    <t>ZL718</t>
  </si>
  <si>
    <t>Kanyla introcan safety 3 růžová 20G bal. á 50 ks 4251130-01</t>
  </si>
  <si>
    <t>ZB941</t>
  </si>
  <si>
    <t>Systém odsávací uzavřený TC CH14 wet pack 30,5 cm / 72 h T adaptér (22701356-5) 1356-5</t>
  </si>
  <si>
    <t>ZB793</t>
  </si>
  <si>
    <t>Lžíce laryngoskopická 3 bal. á 10 ks DS.2940.150.20</t>
  </si>
  <si>
    <t>ZI239</t>
  </si>
  <si>
    <t>Čidlo saturační na čelo oxi-max bal. á 24 ks MAX-FAST-I</t>
  </si>
  <si>
    <t>ZB334</t>
  </si>
  <si>
    <t>Konektor bezjehlový bionecteur á 50 ks 896.03</t>
  </si>
  <si>
    <t>ZN298</t>
  </si>
  <si>
    <t>Hadička spojovací Gamaplus 1,8 x 1800 LL NO DOP 606304-ND</t>
  </si>
  <si>
    <t>ZN411</t>
  </si>
  <si>
    <t>Katetr močový nelaton 18CH Silasil balónkový 28 dní bal. á 10 ks 186005-000180</t>
  </si>
  <si>
    <t>ZN412</t>
  </si>
  <si>
    <t>Katetr močový nelaton 20CH Silasil balónkový 28 dní bal. á 10 ks 186005-000200</t>
  </si>
  <si>
    <t>ZN854</t>
  </si>
  <si>
    <t>Stříkačka injekční arteriální 3 ml bez jehly s heparinem bal. á 100 ks safePICO Aspirator 956-622</t>
  </si>
  <si>
    <t>ZO050</t>
  </si>
  <si>
    <t>Systém odsávací uzavřený pro endotracheální odsávání 72 hod 14F x 54 cm bal. á 15 ks 3720001-F14</t>
  </si>
  <si>
    <t>ZB041</t>
  </si>
  <si>
    <t>Systém hrudní drenáže atrium 1 cestný 3600-100</t>
  </si>
  <si>
    <t>ZH299</t>
  </si>
  <si>
    <t>Lžíce laryngoskopická 3 bal. á 10 ks 670150-100030</t>
  </si>
  <si>
    <t>ZD499</t>
  </si>
  <si>
    <t>Manžeta TK dvouhadičková k monitoru Dash omyvatelná dospělá 14 x 50 cm KVS M2 5ZOM C13</t>
  </si>
  <si>
    <t>ZO810</t>
  </si>
  <si>
    <t>Stříkačka injekční předplněná 0,9% 5 ml Omniflush bal. á 100 ks EM3513575</t>
  </si>
  <si>
    <t>ZO932</t>
  </si>
  <si>
    <t>Zkumavka 13 ml PP 101/16,5 mm bílý uzávěr sterilní 60.540.012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</si>
  <si>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</si>
  <si>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</si>
  <si>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</si>
  <si>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</si>
  <si>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ZC265</t>
  </si>
  <si>
    <t>Trokar hrudní 14F 30 cm 636,14</t>
  </si>
  <si>
    <t>ZP077</t>
  </si>
  <si>
    <t>Zkumavka 15 ml PP 101/16,5 mm bílý šroubový uzávěr sterilní jednotlivě balená 10362/MO/SG/CS</t>
  </si>
  <si>
    <t>ZM320</t>
  </si>
  <si>
    <t>Membrána BSA k plicnímu ventilátoru Hamilton  bal. á 5 ks 151233</t>
  </si>
  <si>
    <t>ZB495</t>
  </si>
  <si>
    <t>Krytka expir.ventilu 151228</t>
  </si>
  <si>
    <t>KD592</t>
  </si>
  <si>
    <t>katetr nelaton Ch10 MPI:110010</t>
  </si>
  <si>
    <t>KD602</t>
  </si>
  <si>
    <t>katetr tiemann Ch12 MPI:120012</t>
  </si>
  <si>
    <t>ZC625</t>
  </si>
  <si>
    <t>Katetr CVC 3 lumen 7 Fr 18/18/16G set bal. á 5 ks NM-15703</t>
  </si>
  <si>
    <t>ZC637</t>
  </si>
  <si>
    <t>Arteriofix bal. á 20 ks 20G 5206324</t>
  </si>
  <si>
    <t>KD593</t>
  </si>
  <si>
    <t>katetr nelaton Ch12 MPI:110012</t>
  </si>
  <si>
    <t>KD601</t>
  </si>
  <si>
    <t>katetr tiemann CH10 MPI:120010</t>
  </si>
  <si>
    <t>ZB818</t>
  </si>
  <si>
    <t>Katetr CVC 3 lumen 7 Fr x 20 cm certofix protect trio V720 bal. á 10 ks 4163214P</t>
  </si>
  <si>
    <t>ZD834</t>
  </si>
  <si>
    <t>Set infuzní intrafix safeset s trojcest. ventilem 220 cm bal. á 100 ks 4063006</t>
  </si>
  <si>
    <t>ZA833</t>
  </si>
  <si>
    <t>Jehla injekční 0,8 x 40 mm zelená 4657527</t>
  </si>
  <si>
    <t>ZF431</t>
  </si>
  <si>
    <t>Rukavice operační gammex PF sensitive vel. 7,5 latex bal. á 50 párů 330051075</t>
  </si>
  <si>
    <t>ZK683</t>
  </si>
  <si>
    <t>Rukavice operační gammex PF sensitive vel. 7,0 bal. á 50 párů 330051070</t>
  </si>
  <si>
    <t>ZJ718</t>
  </si>
  <si>
    <t>Rukavice operační gammex PF sensitive vel. 6,5 bal. á 50 párů 330051065</t>
  </si>
  <si>
    <t>ZM291</t>
  </si>
  <si>
    <t>Rukavice nitril sempercare bez p. S bal. á 200 ks 30802</t>
  </si>
  <si>
    <t>ZF432</t>
  </si>
  <si>
    <t>Rukavice operační gammex PF sensitive vel. 8,0 bal. á 50 párů 330051080</t>
  </si>
  <si>
    <t>DG395</t>
  </si>
  <si>
    <t>Diagnostická souprava AB0 set monoklonální na 30</t>
  </si>
  <si>
    <t>DH758</t>
  </si>
  <si>
    <t>Bactec Plus Aerobic-plastic</t>
  </si>
  <si>
    <t>DH759</t>
  </si>
  <si>
    <t>Bactec Lytic/ 10 Anaerobic- plastic</t>
  </si>
  <si>
    <t>ZB173</t>
  </si>
  <si>
    <t>Maska kyslíková s hadičkou a nosní svorkou dospělá H-103013</t>
  </si>
  <si>
    <t>ZC366</t>
  </si>
  <si>
    <t>Převodník tlakový PX260 150 cm 1 linka bal. á 10 ks (T100209A) T100209B</t>
  </si>
  <si>
    <t>ZD403</t>
  </si>
  <si>
    <t>Hadice odsávací 2 kohouty 8/10, délka 270 cm Softub TA 8271</t>
  </si>
  <si>
    <t>ZF295</t>
  </si>
  <si>
    <t>Okruh dýchací anesteziologický 1,6 m s nízkou poddajností 038-01-130</t>
  </si>
  <si>
    <t>ZN621</t>
  </si>
  <si>
    <t>Nos umělý s portem pro odsávání bal. á 30 ks B0300(6000)</t>
  </si>
  <si>
    <t>ZO025</t>
  </si>
  <si>
    <t>Set k ventilátorům Hamilton HAM-OLN</t>
  </si>
  <si>
    <t>ZA008</t>
  </si>
  <si>
    <t>Obvaz elastický síťový pruban č. 10 427310</t>
  </si>
  <si>
    <t>ZA325</t>
  </si>
  <si>
    <t>Krytí hypro-sorb R 65 x 55 mm 002 - již se nevyrábí</t>
  </si>
  <si>
    <t>ZA331</t>
  </si>
  <si>
    <t>Obinadlo fixa crep 10 cm x 4 m 1323100104</t>
  </si>
  <si>
    <t>ZA427</t>
  </si>
  <si>
    <t>Obinadlo hydrofilní 14 cm x   5 m 13009</t>
  </si>
  <si>
    <t>ZA502</t>
  </si>
  <si>
    <t>Tampon nesterilní stáčený 30 x 60 cm 1320300406</t>
  </si>
  <si>
    <t>ZA539</t>
  </si>
  <si>
    <t>Kompresa NT 10 x 10 cm nesterilní 06103</t>
  </si>
  <si>
    <t>ZA540</t>
  </si>
  <si>
    <t>Náplast omnifix E 15 cm x 10 m 9006513</t>
  </si>
  <si>
    <t>ZA541</t>
  </si>
  <si>
    <t>Fólie incizní rucodrape ( opraflex ) 40 x 35 cm 25444</t>
  </si>
  <si>
    <t>ZA554</t>
  </si>
  <si>
    <t>Krytí hypro-sorb R 10 x 10 x 10 mm bal. á 10 ks 006 - již se nevyrábí</t>
  </si>
  <si>
    <t>ZA596</t>
  </si>
  <si>
    <t>Gáza skládaná 10 cm x 35 cm karton á 1000 ks 11003+</t>
  </si>
  <si>
    <t>ZB085</t>
  </si>
  <si>
    <t>Krytí hemostatické standard 5 x 7,50 cm bal. á 12 ks 1903GB</t>
  </si>
  <si>
    <t>ZD094</t>
  </si>
  <si>
    <t>Gáza skládaná 8 cm x 17 cm / 5 ks karton á 1000 ks 37017</t>
  </si>
  <si>
    <t>ZD452</t>
  </si>
  <si>
    <t>Fólie incizní oper film 16 x 30 cm bal. á 20 ks 31 067</t>
  </si>
  <si>
    <t>ZA648</t>
  </si>
  <si>
    <t>Tampon sterilní stáčený 30 x 60 cm / 5 ks karton á 350 ks 1230110426</t>
  </si>
  <si>
    <t>ZI108</t>
  </si>
  <si>
    <t>Krytí hemostatické surgicel fibrilar 2,5 cm x 5 cm bal. á 10 ks 411961</t>
  </si>
  <si>
    <t>ZK351</t>
  </si>
  <si>
    <t>Tampon neurochirurgický neuro-tupf 90 x 25 mm bal. 10x10 ks 33278</t>
  </si>
  <si>
    <t>ZA095</t>
  </si>
  <si>
    <t>Cement kostní palacos R + G 2 x 40 g á 2 ks 66017569</t>
  </si>
  <si>
    <t>ZA759</t>
  </si>
  <si>
    <t>Drén redon CH10 50 cm U2111000</t>
  </si>
  <si>
    <t>ZA761</t>
  </si>
  <si>
    <t>Drén redon CH12 50 cm U2111200</t>
  </si>
  <si>
    <t>ZB553</t>
  </si>
  <si>
    <t>Láhev redon hi-vac 400 ml-kompletní 05.000.22.803</t>
  </si>
  <si>
    <t>ZC345</t>
  </si>
  <si>
    <t>Čepelka skalpelová typ 367 BB367R</t>
  </si>
  <si>
    <t>ZC753</t>
  </si>
  <si>
    <t>Čepelka skalpelová 20 BB520</t>
  </si>
  <si>
    <t>ZD208</t>
  </si>
  <si>
    <t>Hadice spojovací k odsávacím soupravám 07.068.25.220</t>
  </si>
  <si>
    <t>ZE877</t>
  </si>
  <si>
    <t>Vrták diamantový 7 cm 6 mm BA 7BA60</t>
  </si>
  <si>
    <t>ZI781</t>
  </si>
  <si>
    <t>Elektroda neutrální monopolární pro dospělé á 100 ks 2125</t>
  </si>
  <si>
    <t>ZK552</t>
  </si>
  <si>
    <t>Vrták codman disposable perforator 14 mm 26-1221</t>
  </si>
  <si>
    <t>ZD146</t>
  </si>
  <si>
    <t>Vak drenážní sběrný lumbální  EDM 27666</t>
  </si>
  <si>
    <t>ZK938</t>
  </si>
  <si>
    <t>Vrták diamantový 10 cm 6 mm BA 10BA60</t>
  </si>
  <si>
    <t>ZH760</t>
  </si>
  <si>
    <t>Popisovač chirurgický na kůži + sterilní pravítko fialová barva RQ-01</t>
  </si>
  <si>
    <t>ZI016</t>
  </si>
  <si>
    <t>Lepidlo tkáňové 5 ml BioGlue BG3515-5-G</t>
  </si>
  <si>
    <t>ZH396</t>
  </si>
  <si>
    <t>Elektroda NIM á 5 ks 8227304</t>
  </si>
  <si>
    <t>ZH809</t>
  </si>
  <si>
    <t>Nádoba na histologický mat. s pufrovaným formalínem HISTOFOR 40 ml bal. á 100 ks BFS-40</t>
  </si>
  <si>
    <t>ZH808</t>
  </si>
  <si>
    <t>Nádoba na histologický mat. s pufrovaným formalínem HISTOFOR 20 ml bal. á 100 ks BFS-20</t>
  </si>
  <si>
    <t>ZA377</t>
  </si>
  <si>
    <t>Vak drenážní sběrný externí dočasný codman 82-1731</t>
  </si>
  <si>
    <t>ZB021</t>
  </si>
  <si>
    <t>Síťka vstřebatelná vicrylová mesh 8,5 x 10,5 cm VM96</t>
  </si>
  <si>
    <t>ZE876</t>
  </si>
  <si>
    <t>Vrták do vrtačky Midas F2/8TA23S</t>
  </si>
  <si>
    <t>ZK939</t>
  </si>
  <si>
    <t>Vrták diamantový 10 cm 40 mm DIAM 10BA40D</t>
  </si>
  <si>
    <t>ZN945</t>
  </si>
  <si>
    <t>Kanyla ET 5PK 8 mm EMG FLEX k přístroji Cascade Elite bal. á 5 ks 8229980</t>
  </si>
  <si>
    <t>ZI529</t>
  </si>
  <si>
    <t>Hrot pracovní do ultrazvukového aspirátoru CUSA zahnutý C4608ELT</t>
  </si>
  <si>
    <t>ZH397</t>
  </si>
  <si>
    <t>Elektroda stimulační NIM 8225101</t>
  </si>
  <si>
    <t>ZK940</t>
  </si>
  <si>
    <t>Vrták diamantový 10 cm 6 mm BA DIAM 10BA60D</t>
  </si>
  <si>
    <t>ZJ330</t>
  </si>
  <si>
    <t>Vrták diamantový 10 cm 50 mm DIAM 10BA50D</t>
  </si>
  <si>
    <t>ZI782</t>
  </si>
  <si>
    <t>Elektroda neutrální monopolární pro děti 2600 (dřív.k.č.2225)</t>
  </si>
  <si>
    <t>ZO988</t>
  </si>
  <si>
    <t>Trubice endotracheální pro dýchání 2 PK operace krku RMA1016</t>
  </si>
  <si>
    <t>ZO986</t>
  </si>
  <si>
    <t>Elektroda pro stimulaci resp. registraci s vývrtkovou jehlou použití hlava 1,2 m 24 PK DME1001</t>
  </si>
  <si>
    <t>ZO989</t>
  </si>
  <si>
    <t>Elektroda speciální registrační U pro monitoraci hlavových nervů set 8226326</t>
  </si>
  <si>
    <t>ZO987</t>
  </si>
  <si>
    <t>Trubice endotracheální pro dýchání 2 PK s elektrodami pro monitorace operací krku RMA1015</t>
  </si>
  <si>
    <t>ZM905</t>
  </si>
  <si>
    <t>Pinzeta bipolární jednorázová Spetzler 203 mm 0,5 mm bal. á 5 ks 801272</t>
  </si>
  <si>
    <t>KA274</t>
  </si>
  <si>
    <t>matka vnitřní 179702000</t>
  </si>
  <si>
    <t>KA343</t>
  </si>
  <si>
    <t>cespace b braun FJ136T</t>
  </si>
  <si>
    <t>KA347</t>
  </si>
  <si>
    <t>cespace b braun FJ146T</t>
  </si>
  <si>
    <t>KE819</t>
  </si>
  <si>
    <t>šroub vectra 04.613.718</t>
  </si>
  <si>
    <t>KE833</t>
  </si>
  <si>
    <t>šroub polyaxální 179712650</t>
  </si>
  <si>
    <t>ZA081</t>
  </si>
  <si>
    <t>Šroub mini 2 L6-ti 520100</t>
  </si>
  <si>
    <t>KA152</t>
  </si>
  <si>
    <t>šroub dens stratec 405.440</t>
  </si>
  <si>
    <t>KE793</t>
  </si>
  <si>
    <t>šroub vectra 04.613.716</t>
  </si>
  <si>
    <t>KG648</t>
  </si>
  <si>
    <t>šroub bikortikalní 3,5 x 18 mm LB458T</t>
  </si>
  <si>
    <t>ZA082</t>
  </si>
  <si>
    <t>Dlaha mini přímá 26 otv. 533300</t>
  </si>
  <si>
    <t>KE857</t>
  </si>
  <si>
    <t>dlaha vectra 04.613.018</t>
  </si>
  <si>
    <t>KE792</t>
  </si>
  <si>
    <t>šroub vectra 04.613.714</t>
  </si>
  <si>
    <t>KI278</t>
  </si>
  <si>
    <t>sada jehel pro vertebroplastiku s bočním otvorem 03.702.216S</t>
  </si>
  <si>
    <t>KG618</t>
  </si>
  <si>
    <t>tyč předohnutá 75 mm 179772075</t>
  </si>
  <si>
    <t>KE832</t>
  </si>
  <si>
    <t>šroub polyaxální 179712640</t>
  </si>
  <si>
    <t>KA153</t>
  </si>
  <si>
    <t>šroub dens stratec 405.438</t>
  </si>
  <si>
    <t>KD957</t>
  </si>
  <si>
    <t>Klip na aneurysma FE722K</t>
  </si>
  <si>
    <t>KA147</t>
  </si>
  <si>
    <t>šroub axon 405.514</t>
  </si>
  <si>
    <t>KG897</t>
  </si>
  <si>
    <t>dlaha RapidSorb 851.002.01S</t>
  </si>
  <si>
    <t>KJ049</t>
  </si>
  <si>
    <t>implantát  spinální náhrada meziobratlová klec krční fusion cage klínová 12,5 x 15 x 4 mm 100101000</t>
  </si>
  <si>
    <t>KJ059</t>
  </si>
  <si>
    <t>implantát  spinální náhrada meziobratlová klec ALIF titanová fusion cage 25 x 30 x 13,5 mm 100301000</t>
  </si>
  <si>
    <t>KG643</t>
  </si>
  <si>
    <t>dlaha krční HWS 28 mm FG428T</t>
  </si>
  <si>
    <t>KI994</t>
  </si>
  <si>
    <t>implantát spinální fixační systém PS šroub mono-polyaxiální 5,5 x 40 mm TM-5540</t>
  </si>
  <si>
    <t>KJ023</t>
  </si>
  <si>
    <t>implantát spinální fixační systém PS zajišťovací TS-0010</t>
  </si>
  <si>
    <t>KJ039</t>
  </si>
  <si>
    <t>implantát spinální fixační systém FJR svorka frakturní 040301000</t>
  </si>
  <si>
    <t>KE864</t>
  </si>
  <si>
    <t>dlaha vectra 04.613.134</t>
  </si>
  <si>
    <t>KJ003</t>
  </si>
  <si>
    <t>implantát spinální fixační systém PS hrud/bed zadní přístup šroub polyaxiální 6,5 x 45 mm TM-6545</t>
  </si>
  <si>
    <t>KJ004</t>
  </si>
  <si>
    <t>implantát spinální fixační systém PS hrud/bed zadní přístup šroub polyaxiální 6,5 x 50 mm TM-6550</t>
  </si>
  <si>
    <t>KJ024</t>
  </si>
  <si>
    <t>implantát spinální fixační systém PS hrud/bed zadní přístup tyč 6,0 x 50 mm TR-0050</t>
  </si>
  <si>
    <t>KJ063</t>
  </si>
  <si>
    <t>implantát  spinální náhrada meziobratlová klec PLIF fusion cage, expandibilní 23 x 11 x 9 mm 100901000</t>
  </si>
  <si>
    <t>KJ002</t>
  </si>
  <si>
    <t>implantát spinální fixační systém PS šroub mono-polyaxiální 6,5 x 40 mm TM-6540</t>
  </si>
  <si>
    <t>KJ027</t>
  </si>
  <si>
    <t>implantát spinální fixační systém PS tyč spojovací 6,0 x 80 mm TR-0080</t>
  </si>
  <si>
    <t>KJ256</t>
  </si>
  <si>
    <t>implantát spinální náhrada těla obratle BIOLIGN VBR expandibilní endplate 20 mm X0°, 20-33 mm VT02033</t>
  </si>
  <si>
    <t>KJ051</t>
  </si>
  <si>
    <t>implantát  spinální náhrada meziobratlová klec krční fusion cage klínová 12,5 x 15 x 6 mm 100105000</t>
  </si>
  <si>
    <t>KJ037</t>
  </si>
  <si>
    <t>implantát spinální fixační systém FJR šroub schanzův frakturní dvojzávitový  6,0 x 40 040208000</t>
  </si>
  <si>
    <t>KJ241</t>
  </si>
  <si>
    <t>implantát spinální náhrada meziobratlová klec PLIF fusion cage, expandibilní 23 x 11 x 7 mm 100901700</t>
  </si>
  <si>
    <t>KJ041</t>
  </si>
  <si>
    <t>implantát spinální fixační systém FJR tyč 6,0 x 50 011901100</t>
  </si>
  <si>
    <t>KJ050</t>
  </si>
  <si>
    <t>implantát  spinální náhrada meziobratlová klec krční fusion cage klínová 12,5 x 15 x 5 mm 100103000</t>
  </si>
  <si>
    <t>KJ374</t>
  </si>
  <si>
    <t>implantát spinální fixační systém FJR tyč spojovací rovná 6,0 x 40 mm 011948100</t>
  </si>
  <si>
    <t>KJ052</t>
  </si>
  <si>
    <t>implantát  spinální náhrada meziobratlová klec krční fusion cage klínová 12,5 x 15 x 7 mm 100117000</t>
  </si>
  <si>
    <t>KJ034</t>
  </si>
  <si>
    <t>implantát spinální fixační systém PS konektor příčný polyaxiální M k systému TRIA PS TT-0034</t>
  </si>
  <si>
    <t>KJ042</t>
  </si>
  <si>
    <t>implantát spinální fixační systém FJR tyč 6,0 x 80 011904100</t>
  </si>
  <si>
    <t>KG665</t>
  </si>
  <si>
    <t>tyč předohnutá 40 mm 179772040</t>
  </si>
  <si>
    <t>KE795</t>
  </si>
  <si>
    <t>šroub polyaxální 179712645</t>
  </si>
  <si>
    <t>KG056</t>
  </si>
  <si>
    <t>tyč kovová 35 mm 179772035</t>
  </si>
  <si>
    <t>KJ389</t>
  </si>
  <si>
    <t>implantát spinální náhrada těla obratle BIOLIGN VBR  tělo expandibilní SMALL 30 - 45 mm VT03045</t>
  </si>
  <si>
    <t>KJ026</t>
  </si>
  <si>
    <t>implantát spinální fixační systém PS hrud/bed zadní přístup tyč 6,0 x 70 mm TR-0070</t>
  </si>
  <si>
    <t>KD177</t>
  </si>
  <si>
    <t>pyramesh 905-133</t>
  </si>
  <si>
    <t>KG896</t>
  </si>
  <si>
    <t>šroub RapidSorb kortikální 805.604.02S</t>
  </si>
  <si>
    <t>KJ056</t>
  </si>
  <si>
    <t>implantát  spinální náhrada meziobratlová klec krční fusion cage oblouková 12,5 x 15 x 6 mm 100205000</t>
  </si>
  <si>
    <t>KJ055</t>
  </si>
  <si>
    <t>implantát  spinální náhrada meziobratlová klec krční fusion cage oblouková 12,5 x 15 x 5 mm 100203000</t>
  </si>
  <si>
    <t>KF141</t>
  </si>
  <si>
    <t>tyč occipital 04.161.032</t>
  </si>
  <si>
    <t>KE684</t>
  </si>
  <si>
    <t>šroub okcipitalní 4,5 x  8 mm 04.601.108</t>
  </si>
  <si>
    <t>KA139</t>
  </si>
  <si>
    <t>šroub axon 406.104</t>
  </si>
  <si>
    <t>KG911</t>
  </si>
  <si>
    <t>šroub matrix midface 3 mm 04.503.223.01C</t>
  </si>
  <si>
    <t>KJ061</t>
  </si>
  <si>
    <t>implantát  spinální náhrada meziobratlová klec ALIF titanová fusion cage 25 x 30 x 17 mm 100303000</t>
  </si>
  <si>
    <t>KA138</t>
  </si>
  <si>
    <t>šroub axon 405.516</t>
  </si>
  <si>
    <t>KJ005</t>
  </si>
  <si>
    <t>implantát spinální fixační systém PS hrud/bed zadní přístup šroub polyaxiální 6,5 x 55 mm TM-6555</t>
  </si>
  <si>
    <t>KC457</t>
  </si>
  <si>
    <t>šroub axon 405.518</t>
  </si>
  <si>
    <t>KJ972</t>
  </si>
  <si>
    <t>implantát spinální fixační systém USMART šroub uzamykací 021801010</t>
  </si>
  <si>
    <t>KJ974</t>
  </si>
  <si>
    <t>implantát spinální USMART šroub polyaxiální 6,5 x 50 mm 023013010</t>
  </si>
  <si>
    <t>KK252</t>
  </si>
  <si>
    <t>implantát spinální fixační systém VIRAGE šroub polyaxiální 4,0 x 18 mm krční zadní přístup-vzorek 07.01702.054-VZ</t>
  </si>
  <si>
    <t>KK254</t>
  </si>
  <si>
    <t>implantát spinální fixační systém VIRAGE tyč zahnutá titan  3,5 x 70 mm krční zadní přístup-vzorek 07.01710.007-VZ</t>
  </si>
  <si>
    <t>KK247</t>
  </si>
  <si>
    <t>implantát spinální fixační systém VIRAGE šroub polyaxiální 3,5 x 12 mm krční zadní přístup-vzorek 07.01702.005-VZ</t>
  </si>
  <si>
    <t>KK248</t>
  </si>
  <si>
    <t>implantát spinální fixační systém VIRAGE šroub polyaxiální 3,5 x 14 mm krční zadní přístup-vzorek 07.01702.007-VZ</t>
  </si>
  <si>
    <t>KK253</t>
  </si>
  <si>
    <t>implantát spinální fixační systém VIRAGE šroub jistící krční zadní přístup-vzorek 07.01728.001-VZ</t>
  </si>
  <si>
    <t>KK250</t>
  </si>
  <si>
    <t>implantát spinální fixační systém VIRAGE šroub polyaxiální 4,0 x 14 mm krční zadní přístup-vzorek 07.01702.050-VZ</t>
  </si>
  <si>
    <t>KK251</t>
  </si>
  <si>
    <t>implantát spinální fixační systém VIRAGE šroub polyaxiální 4,0 x 16 mm krční zadní přístup-vzorek 07.01702.052-VZ</t>
  </si>
  <si>
    <t>KK255</t>
  </si>
  <si>
    <t>implantát spinální fixační systém VIRAGE šroub polyaxiální 3,5 x 16 mm krční zadní přístup 07.01702.009</t>
  </si>
  <si>
    <t>KG912</t>
  </si>
  <si>
    <t>šroub matrix midface 4 mm 04.503.224.01C</t>
  </si>
  <si>
    <t>KK246</t>
  </si>
  <si>
    <t>implantát spinální fixační systém FJS tyč rovná 5,5  x 120 mm 020614100</t>
  </si>
  <si>
    <t>KK214</t>
  </si>
  <si>
    <t>implantát spinální fixační systém FJR tyč 6,0 x 70 011903100</t>
  </si>
  <si>
    <t>KK245</t>
  </si>
  <si>
    <t>implantát spinální fixační systém FJS tyč rovná 5,5  x 150 mm 020615100</t>
  </si>
  <si>
    <t>KK260</t>
  </si>
  <si>
    <t>implantát spinální fixační systém VIRAGE šroub okcipitální 5,25 x 8 mm krční zadní přístup 07.01696.016</t>
  </si>
  <si>
    <t>KK261</t>
  </si>
  <si>
    <t>implantát spinální fixační systém VIRAGE šroub okcipitální 5,25 x 10 mm krční zadní přístup 07.01696.018</t>
  </si>
  <si>
    <t>KK244</t>
  </si>
  <si>
    <t>adapter na aplikaci cementu kostního CPS 1006020600</t>
  </si>
  <si>
    <t>KE278</t>
  </si>
  <si>
    <t>šroub axon 405.524</t>
  </si>
  <si>
    <t>KK256</t>
  </si>
  <si>
    <t>implantát spinální fixační systém VIRAGE šroub polyaxiální 3,5 x 28 mm krční zadní přístup 07.01702.021</t>
  </si>
  <si>
    <t>KH165</t>
  </si>
  <si>
    <t>dlaha Matrix NEURO tvarovatelná  04.503.057</t>
  </si>
  <si>
    <t>KK234</t>
  </si>
  <si>
    <t>implantát spinální fixační systém FJR tyč 5,5 x 60 mm ohnutá 020611100</t>
  </si>
  <si>
    <t>KJ015</t>
  </si>
  <si>
    <t>implantát spinální fixační systém PS hrud/bed zadní přístup šroub polyaxiální cement 5,5 x 40 mm TC-5540</t>
  </si>
  <si>
    <t>KK212</t>
  </si>
  <si>
    <t>implantát spinální fixační FCS šroub Schanzův frakturní perforovaný 5,0 x 35 mm 401650035</t>
  </si>
  <si>
    <t>KK232</t>
  </si>
  <si>
    <t>implantát spinální fixační systém Usmart šroub pedikulární polyaxiální redukční 5,5 x 45 mm 022705010</t>
  </si>
  <si>
    <t>KK258</t>
  </si>
  <si>
    <t>implantát spinální fixační systém VIRAGE šroub jistící krční zadní přístup 07.01728.001</t>
  </si>
  <si>
    <t>KK229</t>
  </si>
  <si>
    <t>implantát spinální fixační systém Venus šroub 2T pedikulární perforovaný 6,5 x 45 mm 4000046545</t>
  </si>
  <si>
    <t>KJ040</t>
  </si>
  <si>
    <t>implantát spinální fixační systém FJR svorka frakturní koncová 040801000</t>
  </si>
  <si>
    <t>KE830</t>
  </si>
  <si>
    <t>šroub polyaxální 179712550</t>
  </si>
  <si>
    <t>KK257</t>
  </si>
  <si>
    <t>implantát spinální fixační systém VIRAGE šroub polyaxiální 3,5 x 34 mm krční zadní přístup 07.01702.027</t>
  </si>
  <si>
    <t>KE683</t>
  </si>
  <si>
    <t>dlaha okcipitální 4,5 x  5 mm 04.161.001</t>
  </si>
  <si>
    <t>KK224</t>
  </si>
  <si>
    <t>implantát spinální fixační systém Venus šroub zajišťovací pro konektor příčný VL-PMS</t>
  </si>
  <si>
    <t>KK262</t>
  </si>
  <si>
    <t>implantát spinální fixační systém VIRAGE tyč okcipitální zahnutá titan 100° krční zadní přístup 07.01712.001</t>
  </si>
  <si>
    <t>KK259</t>
  </si>
  <si>
    <t>implantát spinální fixační systém VIRAGE dlaha okcipitální nastavitelná velikost S krční zadní přístup 07.01693.004</t>
  </si>
  <si>
    <t>KK189</t>
  </si>
  <si>
    <t>implantát spinální fixační FCS šroub Schanzův frakturní perforovaný 6,0 x 40 mm 401660040</t>
  </si>
  <si>
    <t>KK233</t>
  </si>
  <si>
    <t>implantát spinální USMART šroub pedikulární 6,5 x 35 mm 023010010</t>
  </si>
  <si>
    <t>KK231</t>
  </si>
  <si>
    <t>implantát spinální fixační systém Venus šroub 2T pedikulární perforovaný 6,5 x 55 mm 4000046555</t>
  </si>
  <si>
    <t>KE829</t>
  </si>
  <si>
    <t>šroub polyaxální 179712545</t>
  </si>
  <si>
    <t>KK230</t>
  </si>
  <si>
    <t>implantát spinální fixační systém Venus šroub 2T pedikulární perforovaný 6,5 x 50 mm 4000046550</t>
  </si>
  <si>
    <t>KK354</t>
  </si>
  <si>
    <t>implantát spinální fixační systém FJS tyč ohnutá 5,5 x 40 mm 020653100</t>
  </si>
  <si>
    <t>KK348</t>
  </si>
  <si>
    <t>implantát spinální fixační systém FJS tyč ohnutá 5,5 x 100 mm 020613100</t>
  </si>
  <si>
    <t>KK349</t>
  </si>
  <si>
    <t>implantát spinální fixační systém FJS tyč ohnutá 5,5 x 90 mm 020626100</t>
  </si>
  <si>
    <t>KJ975</t>
  </si>
  <si>
    <t>implantát spinální fixační systém FJR tyč 5,5 x 45 mm ohnutá 020652100</t>
  </si>
  <si>
    <t>KJ242</t>
  </si>
  <si>
    <t>implantát spinální šroub bikortikální 3,5 x 21 mm LB461T</t>
  </si>
  <si>
    <t>KH260</t>
  </si>
  <si>
    <t>šroub bikortikální 3,5 x 22 mm LB462T</t>
  </si>
  <si>
    <t>KK263</t>
  </si>
  <si>
    <t>implantát spinální fixační systém FJS tyč rovná 5,5  x 200 mm 020618100</t>
  </si>
  <si>
    <t>KJ147</t>
  </si>
  <si>
    <t>šroub na krční páteř 3,5 x 24 mm LB464T</t>
  </si>
  <si>
    <t>KG651</t>
  </si>
  <si>
    <t>šroub bikortikalní 3,5 x 20 mm LB460T</t>
  </si>
  <si>
    <t>KK265</t>
  </si>
  <si>
    <t>implantát spinální fixační systém Usmart tyč pro konektor příčný 4,00 x 50 mm 022403000</t>
  </si>
  <si>
    <t>KD186</t>
  </si>
  <si>
    <t>šroub na C2 405.446</t>
  </si>
  <si>
    <t>KA182</t>
  </si>
  <si>
    <t>šroub TSLP 489.142</t>
  </si>
  <si>
    <t>KD185</t>
  </si>
  <si>
    <t>šroub TSLP 489.140</t>
  </si>
  <si>
    <t>KG636</t>
  </si>
  <si>
    <t>klip na aneurysma FE680K</t>
  </si>
  <si>
    <t>KF155</t>
  </si>
  <si>
    <t>klip na aneurysma FE720K</t>
  </si>
  <si>
    <t>KF146</t>
  </si>
  <si>
    <t>klip na aneurysma FE750K</t>
  </si>
  <si>
    <t>KD730</t>
  </si>
  <si>
    <t>Klip na aneurysma FE700K</t>
  </si>
  <si>
    <t>KG826</t>
  </si>
  <si>
    <t>dlaha krční HWS 24 mm FG424T</t>
  </si>
  <si>
    <t>KE805</t>
  </si>
  <si>
    <t>dlaha vectra 04.613.014</t>
  </si>
  <si>
    <t>KF841</t>
  </si>
  <si>
    <t>klip na aneurysma FE742K</t>
  </si>
  <si>
    <t>KG821</t>
  </si>
  <si>
    <t>klip na aneurysma FE726K</t>
  </si>
  <si>
    <t>KD353</t>
  </si>
  <si>
    <t>šroub TSLP 489.156</t>
  </si>
  <si>
    <t>KD638</t>
  </si>
  <si>
    <t>pyramesh 905-163</t>
  </si>
  <si>
    <t>KK350</t>
  </si>
  <si>
    <t>drát K 1,7 x 480 mm bal. á 10 ks 33.2517.480</t>
  </si>
  <si>
    <t>KK226</t>
  </si>
  <si>
    <t>implantát spinální fixační systém Venus šroub 2T pedikulární perforovaný 5,5 x 45 mm 4000045545</t>
  </si>
  <si>
    <t>KJ001</t>
  </si>
  <si>
    <t>implantát spinální fixační systém PS šroub mono-polyaxiální 6,5 x 35 mm TM-6535</t>
  </si>
  <si>
    <t>KK331</t>
  </si>
  <si>
    <t>implantát spinální náhrada těla obratle BIOLIGN VBR destička koncová 24 mm O° EP2400</t>
  </si>
  <si>
    <t>KK264</t>
  </si>
  <si>
    <t>implantát spinální fixační systém Usmart konektor příčný 5,5 mm 022301010</t>
  </si>
  <si>
    <t>KA186</t>
  </si>
  <si>
    <t>dlaha TSLP 489.443</t>
  </si>
  <si>
    <t>KJ057</t>
  </si>
  <si>
    <t>implantát  spinální náhrada meziobratlová klec krční fusion cage oblouková 12,5 x 15 x 7 mm 100207000</t>
  </si>
  <si>
    <t>KK347</t>
  </si>
  <si>
    <t>implantát spinální USMART šeoub polyaxiální 6,5 x 40 mm 023011010</t>
  </si>
  <si>
    <t>KK228</t>
  </si>
  <si>
    <t>implantát spinální fixační systém Venus šroub 2T pedikulární perforovaný 6,5 x 40 mm 4000046540</t>
  </si>
  <si>
    <t>KD180</t>
  </si>
  <si>
    <t>dlaha TSLP 489.466</t>
  </si>
  <si>
    <t>KK346</t>
  </si>
  <si>
    <t>implantát spinální USMART šeoub polyaxiální 5,5 x 40 mm 023005010</t>
  </si>
  <si>
    <t>KK274</t>
  </si>
  <si>
    <t>implantát spinální USMART šroub polyaxiální 4,5 x 40 mm 023024010</t>
  </si>
  <si>
    <t>KK273</t>
  </si>
  <si>
    <t>implantát spinální USMART šroub polyaxiální 4,5 x 35 mm 023023010</t>
  </si>
  <si>
    <t>ZD700</t>
  </si>
  <si>
    <t>Elektroda neurostimulační čtyřpólová pro DBS model 3389-40</t>
  </si>
  <si>
    <t>ZE752</t>
  </si>
  <si>
    <t>Systém neurostimulační Activia PC 37601</t>
  </si>
  <si>
    <t>ZE753</t>
  </si>
  <si>
    <t>Kabel spojovací PC, RC 40 cm BN3708640D</t>
  </si>
  <si>
    <t>ZE754</t>
  </si>
  <si>
    <t>Programátor pacientský k PC, RC,SC 37642</t>
  </si>
  <si>
    <t>ZM005</t>
  </si>
  <si>
    <t>Set NEXFRAME - jednorázový materiál k operaci NL NEXFRAME</t>
  </si>
  <si>
    <t>ZH730</t>
  </si>
  <si>
    <t>Systém neurostimulační Activa RC 37612</t>
  </si>
  <si>
    <t>ZE466</t>
  </si>
  <si>
    <t>Stimloc M924256A003</t>
  </si>
  <si>
    <t>ZN134</t>
  </si>
  <si>
    <t>Kabel pro mikroelektrody bal. á 1 ks FC102066</t>
  </si>
  <si>
    <t>ZH731</t>
  </si>
  <si>
    <t>Modul nabíjecí k Activa RC 37651</t>
  </si>
  <si>
    <t>ZF977</t>
  </si>
  <si>
    <t>Kabel spojovací PC, RC 95 cm BN3708695D</t>
  </si>
  <si>
    <t>ZK774</t>
  </si>
  <si>
    <t>Adaptér pocket adaptor DBS 64002</t>
  </si>
  <si>
    <t>ZP106</t>
  </si>
  <si>
    <t>Systém neurostimulační DBS INFINITY prodlužka elektrody 6372</t>
  </si>
  <si>
    <t>ZA490</t>
  </si>
  <si>
    <t>Systém neurostimulační DBS INFINITY průchodka elektrody Guardian 6010</t>
  </si>
  <si>
    <t>ZP108</t>
  </si>
  <si>
    <t>Systém neurostimulační DBS INFINITY elektroda směrová 8CH 1,5 mm kontakt 0,5 mm mezera délka 30 cm 6170</t>
  </si>
  <si>
    <t>ZP105</t>
  </si>
  <si>
    <t>Systém neurostimulační DBS INFINITY generátor 6662</t>
  </si>
  <si>
    <t>ZD618</t>
  </si>
  <si>
    <t>Katetr drenážní komorový se sběrným vakem Exakta 27581</t>
  </si>
  <si>
    <t>KF148</t>
  </si>
  <si>
    <t>shunt VP FX428T ( FV428T)</t>
  </si>
  <si>
    <t>KF843</t>
  </si>
  <si>
    <t>shunt SA 25 FX414T  (FV414T)</t>
  </si>
  <si>
    <t>ZA217</t>
  </si>
  <si>
    <t>Katetr drenážní lumbální EDM 80 cm W/Tip 46419</t>
  </si>
  <si>
    <t>ZD404</t>
  </si>
  <si>
    <t>Katetr drenážní lumbální Codman s mandrenem 82-1707</t>
  </si>
  <si>
    <t>KH224</t>
  </si>
  <si>
    <t>katetr antibakteriální perit. a komorový (kompl. set) IVD30.401.02</t>
  </si>
  <si>
    <t>KF150</t>
  </si>
  <si>
    <t>shunt VP FV072P</t>
  </si>
  <si>
    <t>KJ987</t>
  </si>
  <si>
    <t>systém hydrocefální drenážní komůrka návrtová s ventilem - sprung reservoir FV043T</t>
  </si>
  <si>
    <t>ZB033</t>
  </si>
  <si>
    <t>Šití dafilon modrý 3/0 (2) bal. á 36 ks C0935468</t>
  </si>
  <si>
    <t>ZB175</t>
  </si>
  <si>
    <t>Šití maxon zelený 1 bal. á 12 ks GMM873L</t>
  </si>
  <si>
    <t>ZC076</t>
  </si>
  <si>
    <t>Šití silon pletený bílý 3EP bal. á 20 ks SB2057</t>
  </si>
  <si>
    <t>ZC295</t>
  </si>
  <si>
    <t>Šití silon pletený bílý 4EP bal. á 20 ks SB2059</t>
  </si>
  <si>
    <t>ZD222</t>
  </si>
  <si>
    <t>Šití dafilon modrý 3/0 (2) bal. á 36 ks C0932469</t>
  </si>
  <si>
    <t>ZE802</t>
  </si>
  <si>
    <t>Šití vicryl plus vi 2-0 bal. á 36 ks VCP9360H</t>
  </si>
  <si>
    <t>ZB201</t>
  </si>
  <si>
    <t>Šití ethilon bk 8-0 bal. á 12 ks W2812</t>
  </si>
  <si>
    <t>ZN501</t>
  </si>
  <si>
    <t>Šítí trelon černý 4/0 (1,5) 8 x 45 cm HR17 bal. á 6 ks M0790165</t>
  </si>
  <si>
    <t>ZC679</t>
  </si>
  <si>
    <t>Šití vicryl plus vi 2-0 bal. á 36 ks VCP9900H</t>
  </si>
  <si>
    <t>ZF429</t>
  </si>
  <si>
    <t>Šití prolene bl 5-0 bal. á 12 ks W8710</t>
  </si>
  <si>
    <t>ZB204</t>
  </si>
  <si>
    <t>Jehla chirurgická G11</t>
  </si>
  <si>
    <t>ZB248</t>
  </si>
  <si>
    <t>Jehla chirurgická G7</t>
  </si>
  <si>
    <t>ZB460</t>
  </si>
  <si>
    <t>Jehla chirurgicka 1,0 x 45 G8</t>
  </si>
  <si>
    <t>ZB480</t>
  </si>
  <si>
    <t>Jehla chirurgická 0,7 x 28 G10</t>
  </si>
  <si>
    <t>ZB133</t>
  </si>
  <si>
    <t>Jehla chirurgická 0,9 x 40 G9</t>
  </si>
  <si>
    <t>ZE993</t>
  </si>
  <si>
    <t>Rukavice operační ansell sensi - touch vel. 6,5 bal. á 40 párů 8050152</t>
  </si>
  <si>
    <t>ZK474</t>
  </si>
  <si>
    <t>Rukavice operační latexové s pudrem ansell, vasco surgical powderet vel. 6,5 6035518 (303503)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</si>
  <si>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</si>
  <si>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</si>
  <si>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</si>
  <si>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</si>
  <si>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ZL426</t>
  </si>
  <si>
    <t>Rukavice operační ansell sensi - touch vel. 7,5 bal. á 40 párů 8050194(8050154)</t>
  </si>
  <si>
    <t>ZL427</t>
  </si>
  <si>
    <t>Rukavice operační ansell sensi - touch vel. 8,0 bal. á 40 párů (8050155) 8050195</t>
  </si>
  <si>
    <t>ZN041</t>
  </si>
  <si>
    <t>Rukavice operační gammex latex PF bez pudru 6,5 330048065</t>
  </si>
  <si>
    <t>ZN130</t>
  </si>
  <si>
    <t>Rukavice operační gammex latex PF bez pudru 6,0 330048060</t>
  </si>
  <si>
    <t>ZL069</t>
  </si>
  <si>
    <t>Rukavice operační gammex latex PF bez pudru 5,5 330048055</t>
  </si>
  <si>
    <t>ZK440</t>
  </si>
  <si>
    <t>Rukavice operační latexové s pudrem sempermed classic vel. 8,0 31284</t>
  </si>
  <si>
    <t>ZK439</t>
  </si>
  <si>
    <t>Rukavice operační latexové s pudrem sempermed classic vel. 7,5 31283</t>
  </si>
  <si>
    <t>ZK437</t>
  </si>
  <si>
    <t>Rukavice operační latexové s pudrem sempermed classic vel. 6,5 31281</t>
  </si>
  <si>
    <t>ZL934</t>
  </si>
  <si>
    <t>Kotvička dvoukřídlá Injex 97792</t>
  </si>
  <si>
    <t>ZL936</t>
  </si>
  <si>
    <t>Antena 37092</t>
  </si>
  <si>
    <t>ZF698</t>
  </si>
  <si>
    <t>Kabel testovací Snap-lid conector cable 355531</t>
  </si>
  <si>
    <t>ZL933</t>
  </si>
  <si>
    <t>Elektroda osmipólová Verctris 977A290</t>
  </si>
  <si>
    <t>ZL698</t>
  </si>
  <si>
    <t>Programátor pacientský L633 97740</t>
  </si>
  <si>
    <t>ZL935</t>
  </si>
  <si>
    <t>Tunelizátor podkoží Tunneling tool 3755-40</t>
  </si>
  <si>
    <t>ZM009</t>
  </si>
  <si>
    <t>Kabel spojovací RC, PC 37081-40</t>
  </si>
  <si>
    <t>ZI266</t>
  </si>
  <si>
    <t>Systém neurostimulační Prime Advanced 37702</t>
  </si>
  <si>
    <t>ZO820</t>
  </si>
  <si>
    <t>Nástroj k výměně neurostimulační elektrody Quard plus 3888-45 INTRODUCER KIT 355063</t>
  </si>
  <si>
    <t>ZA275</t>
  </si>
  <si>
    <t>Neuro-patch 6 x 8 cm 1064029</t>
  </si>
  <si>
    <t>ZB153</t>
  </si>
  <si>
    <t>Vosk kostní Knochenwasch 2,5 G 1029754</t>
  </si>
  <si>
    <t>ZM627</t>
  </si>
  <si>
    <t>Implantát kostní - umělá náhrada tkáně Actifuse ABX Putty 2,5 ml s aplikátorem 506005078047</t>
  </si>
  <si>
    <t>ZM626</t>
  </si>
  <si>
    <t>Implantát kostní - umělá náhrada tkáně Actifuse ABX Putty 1,5 ml s aplikátorem 506005078059</t>
  </si>
  <si>
    <t>ZA276</t>
  </si>
  <si>
    <t>Neuro-patch 4 x 5 cm á 2 ks 1064045</t>
  </si>
  <si>
    <t>KI276</t>
  </si>
  <si>
    <t>implantát kostní pro vertebroplastiku perkutánní, sada 07.702.016S</t>
  </si>
  <si>
    <t>KI277</t>
  </si>
  <si>
    <t>Sada viscosafe pro injekční aplikaci 03.702.215S</t>
  </si>
  <si>
    <t>ZE191</t>
  </si>
  <si>
    <t>Náhrada dury 5 x 5 cm 61100</t>
  </si>
  <si>
    <t>KA087</t>
  </si>
  <si>
    <t>granule chron stratec 710.014S</t>
  </si>
  <si>
    <t>ZN505</t>
  </si>
  <si>
    <t>Implantát kostní-umělá náhrada tkáně Actifuse mikrogranulát 2-5 mm bal. á 5 ml ELS80J094LG</t>
  </si>
  <si>
    <t>ZF905</t>
  </si>
  <si>
    <t>Neuro-patch 6 x 14 cm 1064010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</si>
  <si>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</si>
  <si>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</si>
  <si>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</si>
  <si>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</si>
  <si>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</si>
  <si>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</si>
  <si>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</si>
  <si>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</si>
  <si>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</si>
  <si>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</si>
  <si>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50115079</t>
  </si>
  <si>
    <t>542 SZM Intenzivní péče (112 02 100)</t>
  </si>
  <si>
    <t>50115070</t>
  </si>
  <si>
    <t>513 SZM katetry (112 02 101)</t>
  </si>
  <si>
    <t>50115020</t>
  </si>
  <si>
    <t>Lékárna - SZM diagnostika</t>
  </si>
  <si>
    <t>50115004</t>
  </si>
  <si>
    <t>506 SZM umělé tělní náhrady kovové (112 02 030)</t>
  </si>
  <si>
    <t>50115006</t>
  </si>
  <si>
    <t>508 SZM DBS (112 02 006)</t>
  </si>
  <si>
    <t>50115064</t>
  </si>
  <si>
    <t>529 SZM šicí materiál (112 02 106)</t>
  </si>
  <si>
    <t>50115005</t>
  </si>
  <si>
    <t>511 SZM neurostimulace (112 02 005)</t>
  </si>
  <si>
    <t>50115011</t>
  </si>
  <si>
    <t>515 SZM umělé tělní náhrady ostatní (112 02 030)</t>
  </si>
  <si>
    <t>Spotřeba zdravotnického materiálu - orientační přehled</t>
  </si>
  <si>
    <t>ON Data</t>
  </si>
  <si>
    <t>Specializovaná ambulantní péče</t>
  </si>
  <si>
    <t>506 - Pracoviště neurochirurgie</t>
  </si>
  <si>
    <t>708 - Pracoviště anesteziologicko - resuscitační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</si>
  <si>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</si>
  <si>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</si>
  <si>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</si>
  <si>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</si>
  <si>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</si>
  <si>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Svačková Andrea</t>
  </si>
  <si>
    <t>Šoustal Stanislav</t>
  </si>
  <si>
    <t>Vaverka Miroslav</t>
  </si>
  <si>
    <t>Zdravotní výkony vykázané na pracovišti v rámci ambulantní péče dle lékařů *</t>
  </si>
  <si>
    <t>506</t>
  </si>
  <si>
    <t>1</t>
  </si>
  <si>
    <t>0000502</t>
  </si>
  <si>
    <t>MESOCAIN 1%</t>
  </si>
  <si>
    <t>0002439</t>
  </si>
  <si>
    <t>MARCAINE 0,5%</t>
  </si>
  <si>
    <t>0192143</t>
  </si>
  <si>
    <t>V</t>
  </si>
  <si>
    <t>09237</t>
  </si>
  <si>
    <t>OŠETŘENÍ A PŘEVAZ RÁNY VČETNĚ OŠETŘENÍ KOŽNÍCH A P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</si>
  <si>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</si>
  <si>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</si>
  <si>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</si>
  <si>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</si>
  <si>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</si>
  <si>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</si>
  <si>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29510</t>
  </si>
  <si>
    <t>OBSTŘIK PERIFERNÍHO NERVU</t>
  </si>
  <si>
    <t>29520</t>
  </si>
  <si>
    <t>KOŘENOVÝ OBSTŘIK</t>
  </si>
  <si>
    <t>56023</t>
  </si>
  <si>
    <t>KONTROLNÍ VYŠETŘENÍ NEUROCHIRURGEM</t>
  </si>
  <si>
    <t>61113</t>
  </si>
  <si>
    <t xml:space="preserve">REVIZE, EXCIZE A SUTURA PORANĚNÍ KŮŽE A PODKOŽÍ A </t>
  </si>
  <si>
    <t>61247</t>
  </si>
  <si>
    <t>OPERACE KARPÁLNÍHO TUNELU</t>
  </si>
  <si>
    <t>09567</t>
  </si>
  <si>
    <t>(VZP) ZÁKROK NA LEVÉ STRANĚ</t>
  </si>
  <si>
    <t>09543</t>
  </si>
  <si>
    <t>Signalni kod</t>
  </si>
  <si>
    <t>56022</t>
  </si>
  <si>
    <t>CÍLENÉ VYŠETŘENÍ NEUROCHIRURGEM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</si>
  <si>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</si>
  <si>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</si>
  <si>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</si>
  <si>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</si>
  <si>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</si>
  <si>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</si>
  <si>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09115</t>
  </si>
  <si>
    <t>ODBĚR BIOLOGICKÉHO MATERIÁLU JINÉHO NEŽ KREV NA KV</t>
  </si>
  <si>
    <t>51881</t>
  </si>
  <si>
    <t>MULTIDISCIPLINÁRNÍ INDIKAČNÍ SEMINÁŘ K URČENÍ OPTI</t>
  </si>
  <si>
    <t>51811</t>
  </si>
  <si>
    <t>ABSCES NEBO HEMATOM SUBKUTANNÍ, PILONIDÁLNÍ, INTRA</t>
  </si>
  <si>
    <t>51821</t>
  </si>
  <si>
    <t>CHIRURGICKÉ ODSTRANĚNÍ CIZÍHO TĚLESA</t>
  </si>
  <si>
    <t>56021</t>
  </si>
  <si>
    <t>KOMPLEXNÍ VYŠETŘENÍ NEUROCHIRURGEM</t>
  </si>
  <si>
    <t>09569</t>
  </si>
  <si>
    <t>(VZP) ZÁKROK NA PRAVÉ STRANĚ</t>
  </si>
  <si>
    <t>708</t>
  </si>
  <si>
    <t>9999990</t>
  </si>
  <si>
    <t>Nespecifikovany LEK</t>
  </si>
  <si>
    <t>78022</t>
  </si>
  <si>
    <t>CÍLENÉ VYŠETŘENÍ ANESTEZIOLOGEM</t>
  </si>
  <si>
    <t>78023</t>
  </si>
  <si>
    <t>KONTROLNÍ VYŠETŘENÍ ANESTEZIOLOGEM</t>
  </si>
  <si>
    <t>80111</t>
  </si>
  <si>
    <t>APLIKACE ANALGETICKÝCH SMĚSÍ DO KONTINUÁLNÍCH KATÉ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</si>
  <si>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</si>
  <si>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</si>
  <si>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</si>
  <si>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</si>
  <si>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</si>
  <si>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</si>
  <si>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</si>
  <si>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</si>
  <si>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</si>
  <si>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</si>
  <si>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</si>
  <si>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</si>
  <si>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</si>
  <si>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</si>
  <si>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</si>
  <si>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</si>
  <si>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</si>
  <si>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</si>
  <si>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</si>
  <si>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</si>
  <si>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</si>
  <si>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</si>
  <si>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</si>
  <si>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</si>
  <si>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</si>
  <si>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</si>
  <si>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</si>
  <si>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</si>
  <si>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5F1</t>
  </si>
  <si>
    <t>54320</t>
  </si>
  <si>
    <t xml:space="preserve">ENDARTEREKTOMIE KAROTICKÁ A OSTATNÍCH PERIFERNÍCH </t>
  </si>
  <si>
    <t>57215</t>
  </si>
  <si>
    <t>RESEKCE HRUDNÍ STĚNY</t>
  </si>
  <si>
    <t>51357</t>
  </si>
  <si>
    <t>JEJUNOSTOMIE, ILEOSTOMIE NEBO KOLOSTOMIE, ANTEPOZI</t>
  </si>
  <si>
    <t>57247</t>
  </si>
  <si>
    <t>PNEUMONEKTOMIE, NEBO LOBEKTOMIE, NEBO BILOBEKTOMIE</t>
  </si>
  <si>
    <t>57235</t>
  </si>
  <si>
    <t>TORAKOTOMIE PROSTÁ NEBO S BIOPSIÍ, EVAKUACÍ HEMATO</t>
  </si>
  <si>
    <t>5F6</t>
  </si>
  <si>
    <t>0008807</t>
  </si>
  <si>
    <t>0008808</t>
  </si>
  <si>
    <t>0011592</t>
  </si>
  <si>
    <t>METRONIDAZOL B. BRAUN</t>
  </si>
  <si>
    <t>0016600</t>
  </si>
  <si>
    <t>0065989</t>
  </si>
  <si>
    <t>MYCOMAX INF</t>
  </si>
  <si>
    <t>0066137</t>
  </si>
  <si>
    <t>OFLOXIN INF</t>
  </si>
  <si>
    <t>0072972</t>
  </si>
  <si>
    <t>AMOKSIKLAV 1,2 G</t>
  </si>
  <si>
    <t>0076360</t>
  </si>
  <si>
    <t>ZINACEF</t>
  </si>
  <si>
    <t>0094176</t>
  </si>
  <si>
    <t>0096413</t>
  </si>
  <si>
    <t>GENTAMICIN LEK 40 MG/2 ML</t>
  </si>
  <si>
    <t>0096414</t>
  </si>
  <si>
    <t>0097000</t>
  </si>
  <si>
    <t>0151458</t>
  </si>
  <si>
    <t>CEFUROXIM KABI</t>
  </si>
  <si>
    <t>0156259</t>
  </si>
  <si>
    <t>VANCOMYCIN KABI</t>
  </si>
  <si>
    <t>0164350</t>
  </si>
  <si>
    <t>TAZOCIN 4 G/0,5 G</t>
  </si>
  <si>
    <t>0164401</t>
  </si>
  <si>
    <t>0113453</t>
  </si>
  <si>
    <t>PIPERACILLIN/TAZOBACTAM KABI</t>
  </si>
  <si>
    <t>0129834</t>
  </si>
  <si>
    <t>CLINDAMYCIN KABI</t>
  </si>
  <si>
    <t>0129836</t>
  </si>
  <si>
    <t>0064630</t>
  </si>
  <si>
    <t>KLIMICIN</t>
  </si>
  <si>
    <t>0183817</t>
  </si>
  <si>
    <t>0029817</t>
  </si>
  <si>
    <t>GLIOLAN</t>
  </si>
  <si>
    <t>2</t>
  </si>
  <si>
    <t>0007917</t>
  </si>
  <si>
    <t>Erytrocyty bez buffy coatu</t>
  </si>
  <si>
    <t>0107959</t>
  </si>
  <si>
    <t>Trombocyty z aferézy deleukotizované</t>
  </si>
  <si>
    <t>0207921</t>
  </si>
  <si>
    <t>Plazma čerstvá zmrazená</t>
  </si>
  <si>
    <t>3</t>
  </si>
  <si>
    <t>0005606</t>
  </si>
  <si>
    <t>NÁVLEK NA OPMI, TYP 71                      306071</t>
  </si>
  <si>
    <t>0012683</t>
  </si>
  <si>
    <t>IMPLANTÁT MAXILLOFACIÁLNÍ</t>
  </si>
  <si>
    <t>0012684</t>
  </si>
  <si>
    <t>0012715</t>
  </si>
  <si>
    <t>0018678</t>
  </si>
  <si>
    <t>CEMENT KOSTNÍ PALACOS R - 40 + GENTAMICINUM  2X40G</t>
  </si>
  <si>
    <t>0048898</t>
  </si>
  <si>
    <t>EXTRAKTOR - KOŠÍČEK NITINOL</t>
  </si>
  <si>
    <t>0048989</t>
  </si>
  <si>
    <t>ELEKTRODA KOAGULAČNÍ JEDNORÁZOVÁ GN211</t>
  </si>
  <si>
    <t>0049488</t>
  </si>
  <si>
    <t>STAPLER LINEÁRNÍ - ECHELON; ETS FLEX 45MM,60MM, DÉ</t>
  </si>
  <si>
    <t>0049489</t>
  </si>
  <si>
    <t>ZÁSOBNÍK PRO ENDOSTAPLER - ECHELON ENDOPATH 45/60;</t>
  </si>
  <si>
    <t>0053529</t>
  </si>
  <si>
    <t>SÍŤKA SURGIPRO MESH</t>
  </si>
  <si>
    <t>0054512</t>
  </si>
  <si>
    <t>SYSTÉM ZEVNÍ DRENÁŽNÍ A MONITOROVACÍ LIKVOROVÝ DOČ</t>
  </si>
  <si>
    <t>0054514</t>
  </si>
  <si>
    <t>0054518</t>
  </si>
  <si>
    <t>SYSTÉM ZEVNÍ DRENÁŽNÍ A MONITOROVACÍ LIKVOROVÝ</t>
  </si>
  <si>
    <t>0059072</t>
  </si>
  <si>
    <t>KLIP PERM.MOZK.ANEURY.FE680K.90.700.10.20</t>
  </si>
  <si>
    <t>0059073</t>
  </si>
  <si>
    <t>KLIP DOČASNÝ MOZK.ANEURYSM.FE681K..691..721..51</t>
  </si>
  <si>
    <t>0059074</t>
  </si>
  <si>
    <t>KLIP PERM.MOZK.ANEURY.FE682K.92.711.12.22.42.52</t>
  </si>
  <si>
    <t>0059080</t>
  </si>
  <si>
    <t>KLIP PERM.MOZK.ANEURY.FE694K.713.14.16.17.24.26.44</t>
  </si>
  <si>
    <t>0059098</t>
  </si>
  <si>
    <t>KLIP PERM.MOZK.ANEURY.FE740K.50.60</t>
  </si>
  <si>
    <t>0066963</t>
  </si>
  <si>
    <t>IMPLANTÁT SPINÁLNÍ SYSTÉM USS UNIVERZÁLNÍ HRUDNÍ B</t>
  </si>
  <si>
    <t>0066965</t>
  </si>
  <si>
    <t>0067006</t>
  </si>
  <si>
    <t xml:space="preserve">IMPLANTÁT SPINÁLNÍ SYSTÉM DENS ACCESS             </t>
  </si>
  <si>
    <t>0067366</t>
  </si>
  <si>
    <t>IMPLANTÁT SPINÁL.NÁHRADA MEZIOBRATLOVÁ    BEDERNÍ/</t>
  </si>
  <si>
    <t>0067415</t>
  </si>
  <si>
    <t xml:space="preserve">IMPLANTÁT SPINÁLNÍ SYSTÉM CASPAR                  </t>
  </si>
  <si>
    <t>0067416</t>
  </si>
  <si>
    <t>0067417</t>
  </si>
  <si>
    <t>0067537</t>
  </si>
  <si>
    <t>IMPLANTÁT SPINÁLNÍ SYSTÉM CASPAR,KRČNÍ,PŘEDNÍ PŘÍS</t>
  </si>
  <si>
    <t>0067884</t>
  </si>
  <si>
    <t>IMPLANTÁT KOSTNÍ UMĚLÁ NÁHRADA DURÁLNÍ TVRDÉ PLENY</t>
  </si>
  <si>
    <t>0067887</t>
  </si>
  <si>
    <t>0067891</t>
  </si>
  <si>
    <t>IMPLANTÁT SPINÁL.NÁHRADA MEZIOBRATLOVÁ FUSION    K</t>
  </si>
  <si>
    <t>0068128</t>
  </si>
  <si>
    <t>IMPLANTÁT SPINÁL.SYSTÉM USS UNIVERZÁLNÍ   HRUDNÍ B</t>
  </si>
  <si>
    <t>0068353</t>
  </si>
  <si>
    <t>0068662</t>
  </si>
  <si>
    <t>IMPLANTÁT SPINÁLNÍ SYSTÉM TSLP           HRUDNÍ BE</t>
  </si>
  <si>
    <t>0068664</t>
  </si>
  <si>
    <t>0068666</t>
  </si>
  <si>
    <t>IMPLANTÁT SPINÁLNÍ SYSTÉM VECTRA                 K</t>
  </si>
  <si>
    <t>0068667</t>
  </si>
  <si>
    <t>0068670</t>
  </si>
  <si>
    <t>0069080</t>
  </si>
  <si>
    <t>IMPLANTÁT KOSTNÍ UMĚLÁ NÁHRADA TKÁNĚ  CHRONOS</t>
  </si>
  <si>
    <t>0069212</t>
  </si>
  <si>
    <t>IMPLANTÁT SPINÁLNÍ SYSTÉM EXPEDIUM FIXAČNÍ ANTERIO</t>
  </si>
  <si>
    <t>0069215</t>
  </si>
  <si>
    <t>0069216</t>
  </si>
  <si>
    <t xml:space="preserve">IMPLANTÁT SPINÁLNÍ SYSTÉM EXPEDIUM FIXAČNÍ        </t>
  </si>
  <si>
    <t>0069283</t>
  </si>
  <si>
    <t xml:space="preserve">IMPLANTÁT SPINÁLNÍ SYSTÉM AXON                    </t>
  </si>
  <si>
    <t>0069284</t>
  </si>
  <si>
    <t>0069597</t>
  </si>
  <si>
    <t>SYSTÉM HYDROCEPHALNÍ DRENÁŽNÍ-SHUNT</t>
  </si>
  <si>
    <t>0069787</t>
  </si>
  <si>
    <t>IMPLANTÁT SPINÁLNÍ INTERSPINÓZNÍ DIAM</t>
  </si>
  <si>
    <t>0069861</t>
  </si>
  <si>
    <t>IMPLANTÁT SPINÁL.NÁHRADA MEZIOBRAT.PYRAMESH TI KRK</t>
  </si>
  <si>
    <t>NÁHR. KYČ.KL., VLOŽKA CHIRUL.PŘEVÝŠ.JAMKY SFÉR.</t>
  </si>
  <si>
    <t>0091802</t>
  </si>
  <si>
    <t>IMPLANTÁT KOSTNÍ UMĚLÁ NÁHRADA ŠTĚPU  CHRONOS STRI</t>
  </si>
  <si>
    <t>0095660</t>
  </si>
  <si>
    <t>SYSTÉM ZEVNÍ DRENÁŽNÍ LIKVOROVÝ DOČASNÝ CODMAN</t>
  </si>
  <si>
    <t>0096060</t>
  </si>
  <si>
    <t>IMPLANTÁT SPINÁLNÍ SYSTÉM TRINICA SELECT STABILIZA</t>
  </si>
  <si>
    <t>0096062</t>
  </si>
  <si>
    <t>0096268</t>
  </si>
  <si>
    <t>IMPLANTÁT SPINÁL.SYSTÉM IN-SPACE INTERSPINÓZNÍ   B</t>
  </si>
  <si>
    <t>0096309</t>
  </si>
  <si>
    <t xml:space="preserve">IMPLANTÁT SPINÁLNÍ SYSTÉM EXPEDIUM                </t>
  </si>
  <si>
    <t>0096316</t>
  </si>
  <si>
    <t>IMPLANTÁT KOSTNÍ UMĚLÁ NÁHRADA DURÁLNÍ S KOLAGENEM</t>
  </si>
  <si>
    <t>0096317</t>
  </si>
  <si>
    <t>0096462</t>
  </si>
  <si>
    <t>SYSTÉM NEUROSTIMULAČNÍ - SCS - PRIME ADVANCED 3770</t>
  </si>
  <si>
    <t>0096970</t>
  </si>
  <si>
    <t>IMPLANTÁT KOSTNÍ PRO VERTEBROPLASTIKU PERKUTÁNNÍ</t>
  </si>
  <si>
    <t>SYSTÉM DRENÁŽNÍ HRUDNÍ, TŘÍKOMOROVÝ</t>
  </si>
  <si>
    <t>0161944</t>
  </si>
  <si>
    <t>IMPLANTÁT SPINÁLNÍ FIXAČNÍ SYSTÉM MATRIX 5.5 HRUD/</t>
  </si>
  <si>
    <t>0161946</t>
  </si>
  <si>
    <t>0161951</t>
  </si>
  <si>
    <t>0161952</t>
  </si>
  <si>
    <t>0161954</t>
  </si>
  <si>
    <t>0163075</t>
  </si>
  <si>
    <t xml:space="preserve">IMPLANTÁT MAXILLOFACIÁLNÍ STŘEDNÍ OBLIČEJOVÁ ETÁŽ </t>
  </si>
  <si>
    <t>0192491</t>
  </si>
  <si>
    <t>IMPLANTÁT SPINÁLNÍ FIXAČNÍ SYSTÉM REVERE HRUDNÍ BE</t>
  </si>
  <si>
    <t>0192493</t>
  </si>
  <si>
    <t>0192495</t>
  </si>
  <si>
    <t>0193258</t>
  </si>
  <si>
    <t>IMPLANTÁT SPINÁLNÍ NÁHRADA MEZIOBRATLOVÁ TM BEDERN</t>
  </si>
  <si>
    <t>9999999</t>
  </si>
  <si>
    <t>Nespecifikovanř PZT</t>
  </si>
  <si>
    <t>0192522</t>
  </si>
  <si>
    <t>IMPLANTÁT SPINÁLNÍ NÁHR.MEZIOBR.INTERCONTINENTAL B</t>
  </si>
  <si>
    <t>0192523</t>
  </si>
  <si>
    <t>0083612</t>
  </si>
  <si>
    <t>IMPLANTÁT KRANIÁLNÍ FIXAČNÍ CRANIOFIX2</t>
  </si>
  <si>
    <t>0091800</t>
  </si>
  <si>
    <t>IMPLANTÁT KOSTNÍ UMĚLÁ NÁHRADA TKÁNĚ  NANOSTIM</t>
  </si>
  <si>
    <t>0193607</t>
  </si>
  <si>
    <t>SYSTÉM NEUROSTIMULAČNÍ - ELEKTRODA PRO SCS - VECTR</t>
  </si>
  <si>
    <t>0193604</t>
  </si>
  <si>
    <t>SYSTÉM NEUROSTIMULAČNÍ - SCS - PRIME ADVANCED SURE</t>
  </si>
  <si>
    <t>0192516</t>
  </si>
  <si>
    <t>IMPLANTÁT SPINÁLNÍ NÁHR.MEZIOBR.SUSTAIN BEDERNÍ PŘ</t>
  </si>
  <si>
    <t>0192525</t>
  </si>
  <si>
    <t>IMPLANTÁT SPINÁLNÍ NÁHR.TĚLA OBRAT.XPAND HRUD.BED.</t>
  </si>
  <si>
    <t>0151832</t>
  </si>
  <si>
    <t>IMPLANTÁT SPINÁLNÍ AVENUE-L,NÁHRADA MEZIOBRAT.,KLE</t>
  </si>
  <si>
    <t>0166185</t>
  </si>
  <si>
    <t>IMPLANTÁT PRO KYFOPLASTIKU PERKUTÁNNÍ VBS S/M/L 2B</t>
  </si>
  <si>
    <t>0068200</t>
  </si>
  <si>
    <t>SYSTÉM HYDROCEPHALNÍ DRENÁŽNÍ</t>
  </si>
  <si>
    <t>0067885</t>
  </si>
  <si>
    <t>0161703</t>
  </si>
  <si>
    <t>IMPLANTÁT SPINÁLNÍ SYSTÉM STENOFIX INTERSPINÓZNÍ B</t>
  </si>
  <si>
    <t>0059115</t>
  </si>
  <si>
    <t>KLIP PERMANENTNÍ MOZKOVÝ ANEURYSMATICKÝ FE762K</t>
  </si>
  <si>
    <t>0068354</t>
  </si>
  <si>
    <t>0069961</t>
  </si>
  <si>
    <t>IMPLANTÁT SPINÁLNÍ SYSTÉM CDH X10 CROSSLINK TI HRU</t>
  </si>
  <si>
    <t>0059130</t>
  </si>
  <si>
    <t>KLIP PERM.MOZK.ANEURY.FE782K.86.90.92.840</t>
  </si>
  <si>
    <t>0059110</t>
  </si>
  <si>
    <t>KLIP DOČASNÝ MOZKOVÝ ANEURYSMATICKÝ FE756K.61.63</t>
  </si>
  <si>
    <t>0056063</t>
  </si>
  <si>
    <t>PROTÉZA CÉVNÍ PTFE VASCUGRAFT 01103087-88 0110</t>
  </si>
  <si>
    <t>0091648</t>
  </si>
  <si>
    <t>IMPLANTÁT KOSTNÍ UMĚLÁ NÁHRADA TKÁNĚ  ACTIFUSE  BI</t>
  </si>
  <si>
    <t>0068306</t>
  </si>
  <si>
    <t>SYSTÉM NEUROSTIMULAČNÍ - SCS - ELEKTRODA</t>
  </si>
  <si>
    <t>0056056</t>
  </si>
  <si>
    <t>PROTÉZA CÉVNÍ PTFE VASCUGRAFT 01103182-011031</t>
  </si>
  <si>
    <t>0151833</t>
  </si>
  <si>
    <t>IMPLANTÁT SPINÁLNÍ AVENUE-L,NÁHRADA MEZIOBRAT.,KOT</t>
  </si>
  <si>
    <t>0114293</t>
  </si>
  <si>
    <t>IMPLANTÁT SPINÁL.NÁHRAD.MEZIOBRATL. FUSION CAGE BE</t>
  </si>
  <si>
    <t>0114253</t>
  </si>
  <si>
    <t>IMPLANTÁT SPINÁLNÍ FIXAČNÍ SYSTÉM PS HRUD/BED.ZADN</t>
  </si>
  <si>
    <t>0114256</t>
  </si>
  <si>
    <t>0114292</t>
  </si>
  <si>
    <t>IMPLANTÁT SPINÁL.NÁHRADA MEZIOBRATL. FUSION CAGE K</t>
  </si>
  <si>
    <t>0114255</t>
  </si>
  <si>
    <t>0114260</t>
  </si>
  <si>
    <t>IMPLANTÁT SPINÁLNÍ FIXAČNÍ SYSTÉM FJR HRUD/BED.ZAD</t>
  </si>
  <si>
    <t>0114261</t>
  </si>
  <si>
    <t>0114263</t>
  </si>
  <si>
    <t>0114295</t>
  </si>
  <si>
    <t>IMPLANTÁT SPINÁL.NÁHRADA MEZIOBRATL. FUSION CAGE B</t>
  </si>
  <si>
    <t>0069857</t>
  </si>
  <si>
    <t>0113876</t>
  </si>
  <si>
    <t>IMPLANTÁT PÁTEŘNÍ,BEDERNÍ,SAKRÁLNÍ,IFUSE</t>
  </si>
  <si>
    <t>0114660</t>
  </si>
  <si>
    <t>IMPLANTÁT SPINÁL.NÁHRADA OBRATLOVÁ BIOLIGN HRUD/BE</t>
  </si>
  <si>
    <t>0114270</t>
  </si>
  <si>
    <t>IMPLANTÁT SPINÁLNÍ FIXAČNÍ SYSTÉM FJS HRUD/BED.ZAD</t>
  </si>
  <si>
    <t>0114283</t>
  </si>
  <si>
    <t>IMPLANTÁT SPINÁLNÍ FIXAČNÍ SYSTÉM USMART HRUD/BED.</t>
  </si>
  <si>
    <t>0114286</t>
  </si>
  <si>
    <t>0114254</t>
  </si>
  <si>
    <t>0115099</t>
  </si>
  <si>
    <t>IMPLANTÁT SPINÁLNÍ FIXAČNÍ SYSTÉM FCS HRUD/BED.ZAD</t>
  </si>
  <si>
    <t>0114262</t>
  </si>
  <si>
    <t>0114459</t>
  </si>
  <si>
    <t>IMPLANTÁT SPINÁLNÍ SYSTÉM VIRAGE KRČNÍ ZADNÍ PŘÍST</t>
  </si>
  <si>
    <t>0114853</t>
  </si>
  <si>
    <t>IMPLANTÁT SPINÁLNÍ FIXAČNÍ SYSTÉM VENUS HRUD/BED.Z</t>
  </si>
  <si>
    <t>0114964</t>
  </si>
  <si>
    <t xml:space="preserve">NÁHRADA LOKETNÍHO KLOUBU DEPUY SYNTHES, PRIMÁRNÍ, </t>
  </si>
  <si>
    <t>0114460</t>
  </si>
  <si>
    <t>0069205</t>
  </si>
  <si>
    <t>SYSTÉM IMPLANTABILNÍ PUMPOVÝ PROGRAMOVATELNÝ SYNCH</t>
  </si>
  <si>
    <t>0163157</t>
  </si>
  <si>
    <t>IMPLANTÁT PRO KRANIOPLASTIKU MATRIX NEURO SYNTHES</t>
  </si>
  <si>
    <t>0114461</t>
  </si>
  <si>
    <t>0114155</t>
  </si>
  <si>
    <t>NÁHRADA KOLENNÍHO KLOUBU UNITY</t>
  </si>
  <si>
    <t>0114288</t>
  </si>
  <si>
    <t>0114289</t>
  </si>
  <si>
    <t>29410</t>
  </si>
  <si>
    <t>ODBĚR MOZKOMÍŠNÍHO MOKU LUMBÁLNÍ NEBO SUBOKCIPITÁL</t>
  </si>
  <si>
    <t>56113</t>
  </si>
  <si>
    <t>INTRAKRANIÁLNÍ DURÁLNÍ REKONSTRUKCE</t>
  </si>
  <si>
    <t>56119</t>
  </si>
  <si>
    <t>DEKOMPRESIVNÍ KRANIEKTOMIE</t>
  </si>
  <si>
    <t>56133</t>
  </si>
  <si>
    <t>VENTRIKULOSTOMIE III. - STOOCKEY- SCARFF</t>
  </si>
  <si>
    <t>56163</t>
  </si>
  <si>
    <t>ZEVNÍ KOMOROVÁ DRENÁŽ NEBO ZAVEDENÍ ČIDLA NA MĚŘEN</t>
  </si>
  <si>
    <t>56169</t>
  </si>
  <si>
    <t>VENTRIKULOSKOPIE</t>
  </si>
  <si>
    <t>56173</t>
  </si>
  <si>
    <t xml:space="preserve">NEURINOM AKUSTIKU, NEURINOM TRIGEMINU, EXPANZE NA </t>
  </si>
  <si>
    <t>56174</t>
  </si>
  <si>
    <t>ODSTRANĚNÍ TUMORU OČNICE Z KRANIOTOMIE NEBO DEKOMP</t>
  </si>
  <si>
    <t>56239</t>
  </si>
  <si>
    <t>ODSTRANĚNÍ STIMULAČNÍ MÍŠNÍ ELEKTRODY</t>
  </si>
  <si>
    <t>56249</t>
  </si>
  <si>
    <t>ODSTRANĚNÍ EXTRADURÁLNÍHO TUMORU MÍCHY PŘEDNÍM NEB</t>
  </si>
  <si>
    <t>56324</t>
  </si>
  <si>
    <t>DEKOMPRESE OSTATNÍCH VELKÝCH A STŘEDNÍCH NERVŮ</t>
  </si>
  <si>
    <t>56414</t>
  </si>
  <si>
    <t>MIKROCHIRURGICKÁ SUTURA NERVU S AUTOTRANSPLANTÁTEM</t>
  </si>
  <si>
    <t>56419</t>
  </si>
  <si>
    <t>POUŽITÍ OPERAČNÍHO MIKROSKOPU Á 15 MINUT</t>
  </si>
  <si>
    <t>61137</t>
  </si>
  <si>
    <t>ODBĚR FASCIÁLNÍHO ŠTĚPU Z FASCIA LATA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</si>
  <si>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</si>
  <si>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</si>
  <si>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</si>
  <si>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</si>
  <si>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</si>
  <si>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</si>
  <si>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</si>
  <si>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</si>
  <si>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</si>
  <si>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</si>
  <si>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66333</t>
  </si>
  <si>
    <t>PŘÍSTUPY NA PÁTEŘ - NESTANDARDNÍ - PŘEDNÍ</t>
  </si>
  <si>
    <t>66339</t>
  </si>
  <si>
    <t>OPERAČNÍ PŘÍSTUP NA PÁTEŘ - STANDARDNÍ - ZADNÍ SKE</t>
  </si>
  <si>
    <t>66343</t>
  </si>
  <si>
    <t>TRANSKUTÁNNÍ VÝKON NA PÁTEŘI - VELKÝ</t>
  </si>
  <si>
    <t>80117</t>
  </si>
  <si>
    <t>IMPLANTACE PODKOŽNÍHO REZERVOÁRU - PROGRAMOVATELNÉ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</si>
  <si>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</si>
  <si>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</si>
  <si>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</si>
  <si>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</si>
  <si>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</si>
  <si>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</si>
  <si>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56253</t>
  </si>
  <si>
    <t>ČÁSTEČNÉ NEBO TOTÁLNÍ ODSTRANĚNÍ INTRADURÁLNÍHO TU</t>
  </si>
  <si>
    <t>66335</t>
  </si>
  <si>
    <t xml:space="preserve">OPERAČNÍ PŘÍSTUP NA PÁTEŘ - STANDARDNÍ - PŘEDNÍ - </t>
  </si>
  <si>
    <t>00602</t>
  </si>
  <si>
    <t>OD TYPU 02 - PRO NEMOCNICE TYPU 3, (KATEGORIE 6)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</si>
  <si>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</si>
  <si>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</si>
  <si>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</si>
  <si>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</si>
  <si>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</si>
  <si>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</si>
  <si>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56151</t>
  </si>
  <si>
    <t>TREPANACE PRO EXTRACEREBRÁLNÍ HEMATOM NEBO KRANIOT</t>
  </si>
  <si>
    <t>56165</t>
  </si>
  <si>
    <t>STEREOTAXE</t>
  </si>
  <si>
    <t>66341</t>
  </si>
  <si>
    <t>OPERAČNÍ PŘÍSTUP K PÁTEŘI - STANDARDNÍ - ZADNÍ TZV</t>
  </si>
  <si>
    <t>56131</t>
  </si>
  <si>
    <t xml:space="preserve">OPAKOVANÁ KRANIOTOMIE PRO POOPERAČNÍ HEMATOM NEBO </t>
  </si>
  <si>
    <t>56435</t>
  </si>
  <si>
    <t>SPINÁLNÍ A KRANIÁLNÍ NAVIGACE Á 15 MIN.</t>
  </si>
  <si>
    <t>56142</t>
  </si>
  <si>
    <t>MIKROVASKULÁRNÍ DEKOMPRESE HLAVOVÝCH NERVŮ V ZADNÍ</t>
  </si>
  <si>
    <t>56145</t>
  </si>
  <si>
    <t>OŠETŘENÍ JEDNODUCHÉ - VPÁČENÉ ZLOMENINY LEBKY</t>
  </si>
  <si>
    <t>56177</t>
  </si>
  <si>
    <t xml:space="preserve"> KRANIOTOMIE A RESEKCE, PŘÍPADNĚ LOBEKTOMIE PRO TU</t>
  </si>
  <si>
    <t>66325</t>
  </si>
  <si>
    <t>RESEKCE OBRATLE - ZADNÍ - LAMINEKTOMIE KOMPLETNÍ J</t>
  </si>
  <si>
    <t>56325</t>
  </si>
  <si>
    <t>ODSTRANĚNÍ TUMORU VELKÝCH NERVŮ</t>
  </si>
  <si>
    <t>66331</t>
  </si>
  <si>
    <t>FŮZE PÁTEŘE - STANDARDNÍ ZADNÍ - 1 SEGMENT</t>
  </si>
  <si>
    <t>99980</t>
  </si>
  <si>
    <t>(VZP) PACIENT S DIAGNOSTIKOVANÝM POLYTRAUMATEM S I</t>
  </si>
  <si>
    <t>66327</t>
  </si>
  <si>
    <t>RESEKCE OBRATLE - ZADNÍ - LAMINEKTOMIE INKOMPLETNÍ</t>
  </si>
  <si>
    <t>56135</t>
  </si>
  <si>
    <t>KRANIOPLASTIKA AKRYLÁTOVÁ, PLEXISKLOVÁ, KOVOVÁ NEB</t>
  </si>
  <si>
    <t>56175</t>
  </si>
  <si>
    <t>ODSTRANĚNÍ TUMORU HYPOFÝZY TRANSSFENOIDÁLNÍM PŘÍST</t>
  </si>
  <si>
    <t>66317</t>
  </si>
  <si>
    <t>REVIZNÍ OPERACE PÁTEŘE - PŘEDNÍ - ZADNÍ - ODSTRANĚ</t>
  </si>
  <si>
    <t>56247</t>
  </si>
  <si>
    <t>ČÁSTEČNÉ NEBO TOTÁLNÍ ODSTRANĚNÍ EXTRADURÁLNÍHO TU</t>
  </si>
  <si>
    <t>56251</t>
  </si>
  <si>
    <t>56117</t>
  </si>
  <si>
    <t>INTRAKRANIÁLNÍ REKONSTRUKČNÍ OPERACE PŘI LIKVOREI</t>
  </si>
  <si>
    <t>66321</t>
  </si>
  <si>
    <t>RESEKCE OBRATLOVÉHO TĚLA - SOMATEKTONIE - KOMPLETN</t>
  </si>
  <si>
    <t>56167</t>
  </si>
  <si>
    <t>VENTRIKULÁRNÍ PUNKCE</t>
  </si>
  <si>
    <t>61141</t>
  </si>
  <si>
    <t>ODBĚR NERVOVÉHO ŠTĚPU PRO MIKROCHIRURGICKÉ VÝKONY</t>
  </si>
  <si>
    <t>80115</t>
  </si>
  <si>
    <t>IMPLANTACE NEUROSTIMULAČNÍHO ZAŘÍZENÍ (SYSTÉMU) PR</t>
  </si>
  <si>
    <t>56157</t>
  </si>
  <si>
    <t>KRANIOTOMIE PRO SUPRATENTORIÁLNÍ SPONTÁNNÍ INTRACE</t>
  </si>
  <si>
    <t>56125</t>
  </si>
  <si>
    <t>OPERAČNÍ REVIZE NEBO ZAVEDENÍ DRENÁŽE MOZKOMÍŠNÍHO</t>
  </si>
  <si>
    <t>56147</t>
  </si>
  <si>
    <t>OŠETŘENÍ KOMPLIKOVANÉ ZLOMENINY LEBKY S (BEZ) REPA</t>
  </si>
  <si>
    <t>80113</t>
  </si>
  <si>
    <t>IMPLANTACE NEUROSTIMULAČNÍHO ZAŘÍZENÍ PRO STIMULAC</t>
  </si>
  <si>
    <t>56246</t>
  </si>
  <si>
    <t>ODSTRANĚNÍ INTRAMEDULÁRNÍHO TUMORU NEBO EXCIZE NEB</t>
  </si>
  <si>
    <t>56237</t>
  </si>
  <si>
    <t>IMPLANTACE MÍŠNÍ STIMULAČNÍ ELEKTRODY</t>
  </si>
  <si>
    <t>56437</t>
  </si>
  <si>
    <t>ULTRAZVUKOVÝ ASPIRAČNÍ SYSTÉM Á 15 MIN.</t>
  </si>
  <si>
    <t>56245</t>
  </si>
  <si>
    <t>56315</t>
  </si>
  <si>
    <t>EXPLORACE BRACHIÁLNÍHO PLEXU - KOMBINOVANÉ PŘÍSTUP</t>
  </si>
  <si>
    <t>56178</t>
  </si>
  <si>
    <t>PRODLOUŽENÍ VÝKONU KRANIOTOMIE A RESEKCE, PŘÍPADNĚ</t>
  </si>
  <si>
    <t>5T6</t>
  </si>
  <si>
    <t>0011785</t>
  </si>
  <si>
    <t>AMIKIN 1 G</t>
  </si>
  <si>
    <t>0020605</t>
  </si>
  <si>
    <t>COLOMYCIN INJEKCE 1 000 000 MEZINÁRODNÍCH JEDNOTEK</t>
  </si>
  <si>
    <t>0026127</t>
  </si>
  <si>
    <t>0046475</t>
  </si>
  <si>
    <t>0053922</t>
  </si>
  <si>
    <t>CIPHIN PRO INFUSIONE 200 MG/100 ML</t>
  </si>
  <si>
    <t>0083050</t>
  </si>
  <si>
    <t>0083417</t>
  </si>
  <si>
    <t>MERONEM</t>
  </si>
  <si>
    <t>0092290</t>
  </si>
  <si>
    <t>EDICIN</t>
  </si>
  <si>
    <t>0131654</t>
  </si>
  <si>
    <t>CEFTAZIDIM KABI</t>
  </si>
  <si>
    <t>0131656</t>
  </si>
  <si>
    <t>0137499</t>
  </si>
  <si>
    <t>KLACID I.V.</t>
  </si>
  <si>
    <t>0156258</t>
  </si>
  <si>
    <t>0162180</t>
  </si>
  <si>
    <t>0162187</t>
  </si>
  <si>
    <t>CIPROFLOXACIN KABI 400 MG/200 ML INFUZNÍ ROZTOK</t>
  </si>
  <si>
    <t>0500720</t>
  </si>
  <si>
    <t>MYCAMINE</t>
  </si>
  <si>
    <t>0164407</t>
  </si>
  <si>
    <t>0198192</t>
  </si>
  <si>
    <t>0201030</t>
  </si>
  <si>
    <t>0134595</t>
  </si>
  <si>
    <t>MEDOCLAV</t>
  </si>
  <si>
    <t>0113424</t>
  </si>
  <si>
    <t>PIPERACILLIN/TAZOBACTAM IBIGEN</t>
  </si>
  <si>
    <t>0141263</t>
  </si>
  <si>
    <t>PIPERACILLIN/TAZOBACTAM MYLAN</t>
  </si>
  <si>
    <t>0007905</t>
  </si>
  <si>
    <t>Erytrocyty z odběru plné krve</t>
  </si>
  <si>
    <t>0007955</t>
  </si>
  <si>
    <t>Erytrocyty deleukotizované</t>
  </si>
  <si>
    <t>0107936</t>
  </si>
  <si>
    <t>Trombocyty z buffy coatu směsné, deleukotizované</t>
  </si>
  <si>
    <t>0026140</t>
  </si>
  <si>
    <t>KANYLA TRACHEOSTOMICKÁ S NÍZKOTLAKOU MANŽETOU</t>
  </si>
  <si>
    <t>0043984</t>
  </si>
  <si>
    <t>ČIDLO PRO MĚŘENÍ NITROLEBNÍHO TLAKU NEUROVENT</t>
  </si>
  <si>
    <t>0050306</t>
  </si>
  <si>
    <t>ČIDLO PRO MĚŘENÍ NITROLEBNÍHO TLAKU CODMAN</t>
  </si>
  <si>
    <t>0068665</t>
  </si>
  <si>
    <t>0069500</t>
  </si>
  <si>
    <t>KANYLA TRACHEOSTOMICKÁ  S NÍZKOTLAKOU  MANŽETOU</t>
  </si>
  <si>
    <t>0069596</t>
  </si>
  <si>
    <t>0095636</t>
  </si>
  <si>
    <t>SYSTÉM HYDROCEPHALNÍ DRENÁŽNÍ - SHUNT HAKIM BACTIS</t>
  </si>
  <si>
    <t>0095661</t>
  </si>
  <si>
    <t>0095664</t>
  </si>
  <si>
    <t>0162666</t>
  </si>
  <si>
    <t>SYSTÉM HYDROCEPHALNÍ DRENÁŽNÍ - SHUNT SILVERLINE</t>
  </si>
  <si>
    <t>0163241</t>
  </si>
  <si>
    <t>0163243</t>
  </si>
  <si>
    <t>0163244</t>
  </si>
  <si>
    <t>0163249</t>
  </si>
  <si>
    <t>0163251</t>
  </si>
  <si>
    <t>0068192</t>
  </si>
  <si>
    <t>0067419</t>
  </si>
  <si>
    <t>0049876</t>
  </si>
  <si>
    <t>0068204</t>
  </si>
  <si>
    <t>0161852</t>
  </si>
  <si>
    <t>IMPLANTÁT SPINÁLNÍ STABILIZAČ.SYSTÉM NEX-LINK OKCI</t>
  </si>
  <si>
    <t>0069852</t>
  </si>
  <si>
    <t>0114257</t>
  </si>
  <si>
    <t>0043968</t>
  </si>
  <si>
    <t>0049869</t>
  </si>
  <si>
    <t>0114661</t>
  </si>
  <si>
    <t>0114455</t>
  </si>
  <si>
    <t>IMPLANTÁT SPINÁLNÍ STABILIZAČ.SYSTÉM VIRAGE OKCIPI</t>
  </si>
  <si>
    <t>0114453</t>
  </si>
  <si>
    <t>00651</t>
  </si>
  <si>
    <t>OD TYPU 51 - PRO NEMOCNICE TYPU 3, (KATEGORIE 6) -</t>
  </si>
  <si>
    <t>00655</t>
  </si>
  <si>
    <t>OD TYPU 55 - PRO NEMOCNICE TYPU 3, (KATEGORIE 6) -</t>
  </si>
  <si>
    <t>71717</t>
  </si>
  <si>
    <t>TRACHEOTOMIE</t>
  </si>
  <si>
    <t>90901</t>
  </si>
  <si>
    <t>(DRG) DOBA TRVÁNÍ UMĚLÉ PLICNÍ VENTILACE DO 24 HOD</t>
  </si>
  <si>
    <t>90902</t>
  </si>
  <si>
    <t xml:space="preserve">(DRG) DOBA TRVÁNÍ UMĚLÉ PLICNÍ VENTILACE VÍCE NEŽ 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</si>
  <si>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</si>
  <si>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</si>
  <si>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</si>
  <si>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</si>
  <si>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</si>
  <si>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</si>
  <si>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</si>
  <si>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</si>
  <si>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</si>
  <si>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</si>
  <si>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6F5</t>
  </si>
  <si>
    <t>04860</t>
  </si>
  <si>
    <t>IMOBILIZACE ČELISTÍ</t>
  </si>
  <si>
    <t>65211</t>
  </si>
  <si>
    <t>OŠETŘENÍ ZLOMENINY ČELISTI DESTIČKOVOU ŠROUBOVANOU</t>
  </si>
  <si>
    <t>65935</t>
  </si>
  <si>
    <t xml:space="preserve">REPOZICE A FIXACE ZLOMENINY ZYGOMATIKOMAXILÁRNÍHO </t>
  </si>
  <si>
    <t>65215</t>
  </si>
  <si>
    <t>DENTÁLNÍ DRÁTĚNÁ DLAHA Z VOLNÉ RUKY - JEDNA ČELIST</t>
  </si>
  <si>
    <t>65221</t>
  </si>
  <si>
    <t>ZÁVĚSY STŘEDNÍ OBLIČEJOVÉ ETÁŽE DRÁTĚNÉ PŘI ZLOMEN</t>
  </si>
  <si>
    <t>6F6</t>
  </si>
  <si>
    <t>66133</t>
  </si>
  <si>
    <t>UDRŽOVÁNÍ PROPLACHOVÉ LAVÁŽE ZA JEDEN DEN</t>
  </si>
  <si>
    <t>66829</t>
  </si>
  <si>
    <t>ZAVEDENÍ PROPLACHOVÉ LAVÁŽE</t>
  </si>
  <si>
    <t>66815</t>
  </si>
  <si>
    <t>AUTOGENNÍ ŠTĚP</t>
  </si>
  <si>
    <t>66827</t>
  </si>
  <si>
    <t>ZAVEDENÍ EXTENZE - SKELETÁLNÍ TRAKCE</t>
  </si>
  <si>
    <t>7F1</t>
  </si>
  <si>
    <t>71213</t>
  </si>
  <si>
    <t>ENDOSKOPIE PARANASÁLNÍ DUTINY</t>
  </si>
  <si>
    <t>71641</t>
  </si>
  <si>
    <t>SUBMUKÓZNÍ RESEKCE NOSNÍ PŘEPÁŽKY</t>
  </si>
  <si>
    <t>71651</t>
  </si>
  <si>
    <t>SEPTOPLASTIKA</t>
  </si>
  <si>
    <t>71677</t>
  </si>
  <si>
    <t>ETMOIDEKTOMIE ENDONAZÁLNÍ</t>
  </si>
  <si>
    <t>71681</t>
  </si>
  <si>
    <t>SFENOIDOTOMIE</t>
  </si>
  <si>
    <t>76801</t>
  </si>
  <si>
    <t>POUŽITÍ TELEVIZNÍHO ŘETĚZCE PŘI ENDOSKOPICKÉM VÝKO</t>
  </si>
  <si>
    <t>71639</t>
  </si>
  <si>
    <t>ENDOSKOPICKÁ OPERACE V NOSNÍ DUTINĚ</t>
  </si>
  <si>
    <t>809</t>
  </si>
  <si>
    <t>89311</t>
  </si>
  <si>
    <t xml:space="preserve">INTERVENČNÍ VÝKON ŘÍZENÝ RDG METODOU (SKIASKOPIE, </t>
  </si>
  <si>
    <t>07</t>
  </si>
  <si>
    <t>08</t>
  </si>
  <si>
    <t>09</t>
  </si>
  <si>
    <t>10</t>
  </si>
  <si>
    <t>09545</t>
  </si>
  <si>
    <t>REGULAČNÍ POPLATEK ZA POHOTOVOSTNÍ SLUŽBU -- POPLA</t>
  </si>
  <si>
    <t>11</t>
  </si>
  <si>
    <t>12</t>
  </si>
  <si>
    <t>13</t>
  </si>
  <si>
    <t>16</t>
  </si>
  <si>
    <t>17</t>
  </si>
  <si>
    <t>18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</si>
  <si>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</si>
  <si>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</si>
  <si>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</si>
  <si>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</si>
  <si>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</si>
  <si>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</si>
  <si>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</si>
  <si>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</si>
  <si>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</si>
  <si>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00051</t>
  </si>
  <si>
    <t>A</t>
  </si>
  <si>
    <t xml:space="preserve">DLOUHODOBÁ MECHANICKÁ VENTILACE &gt; 96 HODIN (5-10 DNÍ) BEZ CC                                        </t>
  </si>
  <si>
    <t>00123</t>
  </si>
  <si>
    <t xml:space="preserve">DLOUHODOBÁ MECHANICKÁ VENTILACE &gt; 240 HODIN (11-21 DNÍ) S EKO                                       </t>
  </si>
  <si>
    <t>00131</t>
  </si>
  <si>
    <t xml:space="preserve">DLOUHODOBÁ MECHANICKÁ VENTILACE &gt; 96 HODIN (5-10 DNÍ) S EKONO                                       </t>
  </si>
  <si>
    <t>00132</t>
  </si>
  <si>
    <t>00133</t>
  </si>
  <si>
    <t>00190</t>
  </si>
  <si>
    <t xml:space="preserve">IMPLANTACE JINÝCH NEUROSTIMULÁTORU A LÉKOVÉ PUMPY                                        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</si>
  <si>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</si>
  <si>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</si>
  <si>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</si>
  <si>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</si>
  <si>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</si>
  <si>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</si>
  <si>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01021</t>
  </si>
  <si>
    <t xml:space="preserve">SPINÁLNÍ VÝKONY BEZ CC                                                                              </t>
  </si>
  <si>
    <t>01022</t>
  </si>
  <si>
    <t xml:space="preserve">SPINÁLNÍ VÝKONY S CC 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</si>
  <si>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</si>
  <si>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</si>
  <si>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01041</t>
  </si>
  <si>
    <t xml:space="preserve">VÝKONY NA KRANIÁLNÍCH A PERIFERNÍCH NERVECH BEZ CC                                                  </t>
  </si>
  <si>
    <t>01061</t>
  </si>
  <si>
    <t xml:space="preserve">JINÉ VÝKONY PŘI ONEMOCNĚNÍCH A PORUCHÁCH NERVOVÉHO SYSTÉMU BE                                       </t>
  </si>
  <si>
    <t>01080</t>
  </si>
  <si>
    <t xml:space="preserve">ENDOVASKULÁRNÍ VÝKONY PŘI JINÝCH ONEMOCNĚNÍCH NERVOVÉHO SYSTÉ                                       </t>
  </si>
  <si>
    <t>01301</t>
  </si>
  <si>
    <t xml:space="preserve">PORUCHY A PORANĚNÍ MÍCHY BEZ CC                                                                     </t>
  </si>
  <si>
    <t>01311</t>
  </si>
  <si>
    <t xml:space="preserve">MALIGNÍ ONEMOCNĚNÍ, NĚKTERÉ INFEKCE A DEGENERATIVNÍ PORUCHY N                                       </t>
  </si>
  <si>
    <t>01331</t>
  </si>
  <si>
    <t xml:space="preserve">NETRAUMATICKÉ INTRAKRANIÁLNÍ KRVÁCENÍ BEZ CC                                                        </t>
  </si>
  <si>
    <t>01351</t>
  </si>
  <si>
    <t xml:space="preserve">NESPECIFICKÁ CÉVNÍ MOZKOVÁ PŘÍHODA A PRECEREBRÁLNÍ OKLUZE BEZ                                       </t>
  </si>
  <si>
    <t>01381</t>
  </si>
  <si>
    <t xml:space="preserve">BAKTERIÁLNÍ A TUBERKULÓZNÍ INFEKCE NERVOVÉHO SYSTÉMU BEZ CC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</si>
  <si>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</si>
  <si>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</si>
  <si>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</si>
  <si>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</si>
  <si>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</si>
  <si>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</si>
  <si>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01461</t>
  </si>
  <si>
    <t xml:space="preserve">JINÉ PORUCHY NERVOVÉHO SYSTÉMU BEZ CC                                                               </t>
  </si>
  <si>
    <t>02322</t>
  </si>
  <si>
    <t xml:space="preserve">JINÉ PORUCHY OKA S CC                                                                               </t>
  </si>
  <si>
    <t>03093</t>
  </si>
  <si>
    <t xml:space="preserve">JINÉ VÝKONY PŘI PORUCHÁCH A ONEMOCNĚNÍCH UŠÍ, NOSU, ÚST A HRD                                       </t>
  </si>
  <si>
    <t>04310</t>
  </si>
  <si>
    <t xml:space="preserve">RESPIRAČNÍ SELHÁNÍ                                                                                  </t>
  </si>
  <si>
    <t>04331</t>
  </si>
  <si>
    <t xml:space="preserve">ZÁVAŽNÉ TRAUMA HRUDNÍKU BEZ CC                                                                      </t>
  </si>
  <si>
    <t>08031</t>
  </si>
  <si>
    <t xml:space="preserve">FÚZE PÁTEŘE, NE PRO DEFORMITY BEZ CC                                                                </t>
  </si>
  <si>
    <t>08032</t>
  </si>
  <si>
    <t xml:space="preserve">FÚZE PÁTEŘE, NE PRO DEFORMITY S CC   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</si>
  <si>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</si>
  <si>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</si>
  <si>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08101</t>
  </si>
  <si>
    <t xml:space="preserve">VÝKONY NA ZÁDECH A KRKU, KROMĚ FÚZE PÁTEŘE BEZ CC                                                   </t>
  </si>
  <si>
    <t>08171</t>
  </si>
  <si>
    <t xml:space="preserve">JINÉ VÝKONY PŘI PORUCHÁCH A ONEMOCNĚNÍCH MUSKULOSKELETÁLNÍHO                                        </t>
  </si>
  <si>
    <t>08331</t>
  </si>
  <si>
    <t xml:space="preserve">MALIGNÍ ONEMOCNĚNÍ MUSKULOSKELETÁLNÍHO SYSTÉMU A POJIVOVÉ TKÁ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</si>
  <si>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</si>
  <si>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</si>
  <si>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</si>
  <si>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</si>
  <si>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08373</t>
  </si>
  <si>
    <t xml:space="preserve">KONZERVATIVNÍ LÉČBA PROBLÉMŮ SE ZÁDY S MCC                                                          </t>
  </si>
  <si>
    <t>08411</t>
  </si>
  <si>
    <t xml:space="preserve">JINÉ PORUCHY MUSKULOSKELETÁLNÍHO SYSTÉMU A POJIVOVÉ TKÁNĚ BEZ                                       </t>
  </si>
  <si>
    <t>08412</t>
  </si>
  <si>
    <t xml:space="preserve">JINÉ PORUCHY MUSKULOSKELETÁLNÍHO SYSTÉMU A POJIVOVÉ TKÁNĚ S C                                       </t>
  </si>
  <si>
    <t>10011</t>
  </si>
  <si>
    <t xml:space="preserve">VÝKONY NA NADLEDVINKÁCH A PODVĚSKU MOZKOVÉM BEZ CC                                                  </t>
  </si>
  <si>
    <t>17041</t>
  </si>
  <si>
    <t xml:space="preserve">MYELOPROLIFERATIVNÍ PORUCHY A ŠPATNĚ DIFERENCOVANÉ NÁDORY S J                                       </t>
  </si>
  <si>
    <t>18021</t>
  </si>
  <si>
    <t xml:space="preserve">VÝKONY PRO POOPERAČNÍ A POÚRAZOVÉ INFEKCE BEZ CC                                                    </t>
  </si>
  <si>
    <t>21021</t>
  </si>
  <si>
    <t xml:space="preserve">JINÉ VÝKONY PŘI ÚRAZECH A KOMPLIKACÍCH BEZ CC                                                       </t>
  </si>
  <si>
    <t>23011</t>
  </si>
  <si>
    <t xml:space="preserve">OPERAČNÍ VÝKON S DIAGNÓZOU JINÉHO KONTAKTU SE ZDRAVOTNICKÝMI                                        </t>
  </si>
  <si>
    <t>23012</t>
  </si>
  <si>
    <t>23311</t>
  </si>
  <si>
    <t xml:space="preserve">SYMPTOMY A ABNORMÁLNÍ NÁLEZY BEZ CC                                                                 </t>
  </si>
  <si>
    <t>25012</t>
  </si>
  <si>
    <t xml:space="preserve">KRANIOTOMIE, VELKÝ VÝKON NA PÁTEŘI, KYČLI A KONČ. PŘI MNOHOČE                                       </t>
  </si>
  <si>
    <t>25013</t>
  </si>
  <si>
    <t>25061</t>
  </si>
  <si>
    <t xml:space="preserve">DLOUHODOBÁ MECHANICKÁ VENTILACE PŘI POLYTRAUMATU S KRANIOTOMI                                       </t>
  </si>
  <si>
    <t>25063</t>
  </si>
  <si>
    <t>25072</t>
  </si>
  <si>
    <t xml:space="preserve">DLOUHODOBÁ MECHANICKÁ VENTILACE PŘI POLYTRAUMATU &gt; 96 HODIN (                                       </t>
  </si>
  <si>
    <t>25302</t>
  </si>
  <si>
    <t xml:space="preserve">DIAGNÓZY TÝKAJÍCÍ SE HLAVY, HRUDNÍKU A DOLNÍCH KONČETIN PŘI M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</si>
  <si>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</si>
  <si>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</si>
  <si>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</si>
  <si>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</si>
  <si>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</si>
  <si>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</si>
  <si>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</si>
  <si>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44 - LEM</t>
  </si>
  <si>
    <t>107</t>
  </si>
  <si>
    <t>89198</t>
  </si>
  <si>
    <t>SKIASKOPIE</t>
  </si>
  <si>
    <t>22</t>
  </si>
  <si>
    <t>407</t>
  </si>
  <si>
    <t>0022077</t>
  </si>
  <si>
    <t>IOMERON 400</t>
  </si>
  <si>
    <t>0077019</t>
  </si>
  <si>
    <t>ULTRAVIST 370</t>
  </si>
  <si>
    <t>0093626</t>
  </si>
  <si>
    <t>0095609</t>
  </si>
  <si>
    <t>MICROPAQUE CT</t>
  </si>
  <si>
    <t>0002073</t>
  </si>
  <si>
    <t>99mTc-oxidronát disodný inj.</t>
  </si>
  <si>
    <t>0002087</t>
  </si>
  <si>
    <t>18F-FDG</t>
  </si>
  <si>
    <t>47269</t>
  </si>
  <si>
    <t>TOMOGRAFICKÁ SCINTIGRAFIE - SPECT</t>
  </si>
  <si>
    <t>47355</t>
  </si>
  <si>
    <t>HYBRIDNÍ VÝPOČETNÍ A POZITRONOVÁ EMISNÍ TOMOGRAFIE</t>
  </si>
  <si>
    <t>47241</t>
  </si>
  <si>
    <t>SCINTIGRAFIE SKELETU</t>
  </si>
  <si>
    <t>816</t>
  </si>
  <si>
    <t>94201</t>
  </si>
  <si>
    <t>(VZP) FLUORESCENČNÍ IN SITU HYBRIDIZACE LIDSKÉ DNA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</si>
  <si>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</si>
  <si>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</si>
  <si>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</si>
  <si>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</si>
  <si>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</si>
  <si>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</si>
  <si>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</si>
  <si>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</si>
  <si>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</si>
  <si>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</si>
  <si>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</si>
  <si>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</si>
  <si>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</si>
  <si>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</si>
  <si>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</si>
  <si>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</si>
  <si>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</si>
  <si>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</si>
  <si>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</si>
  <si>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</si>
  <si>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</si>
  <si>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</si>
  <si>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</si>
  <si>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</si>
  <si>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</si>
  <si>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96879</t>
  </si>
  <si>
    <t>DRVVT - SCREENING LA</t>
  </si>
  <si>
    <t>96195</t>
  </si>
  <si>
    <t>FAKTOR X - STANOVENÍ AKTIVITY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</si>
  <si>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</si>
  <si>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</si>
  <si>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</si>
  <si>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</si>
  <si>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</si>
  <si>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</si>
  <si>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</si>
  <si>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</si>
  <si>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</si>
  <si>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</si>
  <si>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</si>
  <si>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</si>
  <si>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</si>
  <si>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</si>
  <si>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</si>
  <si>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</si>
  <si>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</si>
  <si>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</si>
  <si>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</si>
  <si>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</si>
  <si>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</si>
  <si>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</si>
  <si>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</si>
  <si>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</si>
  <si>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</si>
  <si>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</si>
  <si>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</si>
  <si>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</si>
  <si>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81351</t>
  </si>
  <si>
    <t>ANDROSTENDION</t>
  </si>
  <si>
    <t>81397</t>
  </si>
  <si>
    <t>ELEKTROFORÉZA PROTEINŮ (SÉRUM)</t>
  </si>
  <si>
    <t>81427</t>
  </si>
  <si>
    <t>FOSFOR ANORGANICKÝ</t>
  </si>
  <si>
    <t>81481</t>
  </si>
  <si>
    <t>AMYLÁZA PANKREATICKÁ</t>
  </si>
  <si>
    <t>81527</t>
  </si>
  <si>
    <t>CHOLESTEROL LDL</t>
  </si>
  <si>
    <t>81641</t>
  </si>
  <si>
    <t>ŽELEZO CELKOVÉ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</si>
  <si>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</si>
  <si>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</si>
  <si>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</si>
  <si>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</si>
  <si>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</si>
  <si>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</si>
  <si>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</si>
  <si>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</si>
  <si>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91161</t>
  </si>
  <si>
    <t>STANOVENÍ C4 SLOŽKY KOMPLEMENTU</t>
  </si>
  <si>
    <t>91167</t>
  </si>
  <si>
    <t>STANOVENÍ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</si>
  <si>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</si>
  <si>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</si>
  <si>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</si>
  <si>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</si>
  <si>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</si>
  <si>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</si>
  <si>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</si>
  <si>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</si>
  <si>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</si>
  <si>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</si>
  <si>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93137</t>
  </si>
  <si>
    <t>PROGESTERON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</si>
  <si>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</si>
  <si>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</si>
  <si>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</si>
  <si>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</si>
  <si>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</si>
  <si>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</si>
  <si>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</si>
  <si>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</si>
  <si>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</si>
  <si>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</si>
  <si>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</si>
  <si>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</si>
  <si>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</si>
  <si>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</si>
  <si>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</si>
  <si>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</si>
  <si>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</si>
  <si>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</si>
  <si>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</si>
  <si>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</si>
  <si>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</si>
  <si>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</si>
  <si>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</si>
  <si>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</si>
  <si>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</si>
  <si>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</si>
  <si>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</si>
  <si>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</si>
  <si>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</si>
  <si>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</si>
  <si>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</si>
  <si>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</si>
  <si>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</si>
  <si>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</si>
  <si>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</si>
  <si>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</si>
  <si>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</si>
  <si>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</si>
  <si>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</si>
  <si>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</si>
  <si>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</si>
  <si>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</si>
  <si>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</si>
  <si>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</si>
  <si>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</si>
  <si>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</si>
  <si>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</si>
  <si>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</si>
  <si>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</si>
  <si>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</si>
  <si>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81155</t>
  </si>
  <si>
    <t>GLUKÓZA KVANTITATIVNÍ STANOVENÍ STATIM</t>
  </si>
  <si>
    <t>91129</t>
  </si>
  <si>
    <t>STANOVENÍ IgG</t>
  </si>
  <si>
    <t>91173</t>
  </si>
  <si>
    <t>STANOVENÍ IgA ELISA</t>
  </si>
  <si>
    <t>81249</t>
  </si>
  <si>
    <t>CEA (MEIA)</t>
  </si>
  <si>
    <t>81139</t>
  </si>
  <si>
    <t>VÁPNÍK CELKOVÝ STATIM</t>
  </si>
  <si>
    <t>91143</t>
  </si>
  <si>
    <t>STANOVENÍ PREALBUMINU</t>
  </si>
  <si>
    <t>93149</t>
  </si>
  <si>
    <t>ESTRADIOL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</si>
  <si>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</si>
  <si>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</si>
  <si>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</si>
  <si>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</si>
  <si>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</si>
  <si>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</si>
  <si>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</si>
  <si>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</si>
  <si>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</si>
  <si>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</si>
  <si>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</si>
  <si>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</si>
  <si>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</si>
  <si>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</si>
  <si>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</si>
  <si>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</si>
  <si>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81125</t>
  </si>
  <si>
    <t>BÍLKOVINY CELKOVÉ (SÉRUM) STATIM</t>
  </si>
  <si>
    <t>81235</t>
  </si>
  <si>
    <t>TUMORMARKERY CA 19-9, CA 15-3, CA 72-4, CA 125</t>
  </si>
  <si>
    <t>91145</t>
  </si>
  <si>
    <t>STANOVENÍ HAPTOGLOBINU</t>
  </si>
  <si>
    <t>81423</t>
  </si>
  <si>
    <t>FOSFATÁZA ALKALICKÁ IZOENZYMY</t>
  </si>
  <si>
    <t>81123</t>
  </si>
  <si>
    <t>BILIRUBIN KONJUGOVANÝ STATIM</t>
  </si>
  <si>
    <t>91159</t>
  </si>
  <si>
    <t>STANOVENÍ C3 SLOŽKY KOMPLEMENTU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</si>
  <si>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</si>
  <si>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</si>
  <si>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</si>
  <si>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</si>
  <si>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</si>
  <si>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</si>
  <si>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</si>
  <si>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</si>
  <si>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81129</t>
  </si>
  <si>
    <t>BÍLKOVINA KVANTITATIVNĚ (MOČ, VÝPOTEK, CSF) STATIM</t>
  </si>
  <si>
    <t>93175</t>
  </si>
  <si>
    <t>17-HYDROXYPROGESTERON</t>
  </si>
  <si>
    <t>93139</t>
  </si>
  <si>
    <t>ADRENOKORTIKOTROPIN (ACTH)</t>
  </si>
  <si>
    <t>91413</t>
  </si>
  <si>
    <t>STANOVENÍ OLIGOKLONÁLNÍHO IgG V MOZKOMÍŠNÍM MOKU I</t>
  </si>
  <si>
    <t>91151</t>
  </si>
  <si>
    <t>STANOVENÍ OROSOMUKOIDU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</si>
  <si>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</si>
  <si>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</si>
  <si>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</si>
  <si>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</si>
  <si>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</si>
  <si>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</si>
  <si>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81753</t>
  </si>
  <si>
    <t>VYŠETŘENÍ AKTIVITY BIOTINIDÁZY V RÁMCI NOVOROZENEC</t>
  </si>
  <si>
    <t>34</t>
  </si>
  <si>
    <t>0002920</t>
  </si>
  <si>
    <t>MULTIHANCE</t>
  </si>
  <si>
    <t>0003132</t>
  </si>
  <si>
    <t>GADOVIST</t>
  </si>
  <si>
    <t>0003134</t>
  </si>
  <si>
    <t>0017039</t>
  </si>
  <si>
    <t>VISIPAQUE 320 MG I/ML</t>
  </si>
  <si>
    <t>0022075</t>
  </si>
  <si>
    <t>0042433</t>
  </si>
  <si>
    <t>0065978</t>
  </si>
  <si>
    <t>DOTAREM</t>
  </si>
  <si>
    <t>0065980</t>
  </si>
  <si>
    <t>0077018</t>
  </si>
  <si>
    <t>0077024</t>
  </si>
  <si>
    <t>ULTRAVIST 300</t>
  </si>
  <si>
    <t>0151208</t>
  </si>
  <si>
    <t>0037821</t>
  </si>
  <si>
    <t>VODIČ ANGIOGRAFICKÝ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</si>
  <si>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</si>
  <si>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</si>
  <si>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</si>
  <si>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</si>
  <si>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</si>
  <si>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</si>
  <si>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</si>
  <si>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</si>
  <si>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</si>
  <si>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0046543</t>
  </si>
  <si>
    <t>MIKROKAT PERIF. KORON. NEURO: EXCELSIOR SL-10; NEU</t>
  </si>
  <si>
    <t>0047480</t>
  </si>
  <si>
    <t>KATETR BALÓNKOVÝ PTCA</t>
  </si>
  <si>
    <t>0048264</t>
  </si>
  <si>
    <t>DRÁT NEUROINTERVENČNÍ</t>
  </si>
  <si>
    <t>0048668</t>
  </si>
  <si>
    <t>DRÁT VODÍCÍ NITINOL</t>
  </si>
  <si>
    <t>0053358</t>
  </si>
  <si>
    <t>KATETR ANGIOGRAFICKÝ SLIP-CATH HYDROFILNÍ</t>
  </si>
  <si>
    <t>0056361</t>
  </si>
  <si>
    <t>ZAVADĚČ FLEXOR BALKIN RADIOOPÁKNÍ ZNAČKA</t>
  </si>
  <si>
    <t>0056503</t>
  </si>
  <si>
    <t>SPIRÁLA GDC VORTX 3530XX</t>
  </si>
  <si>
    <t>0057823</t>
  </si>
  <si>
    <t>KATETR ANGIOGRAFICKÝ TORCON,PRŮMĚR 4.1 AŽ 7 FRENCH</t>
  </si>
  <si>
    <t>0057999</t>
  </si>
  <si>
    <t>SPIRÁLA GDC</t>
  </si>
  <si>
    <t>0058504</t>
  </si>
  <si>
    <t>STENT KAROTICKÝ - ACCULINK; SAMOEXPANDIBILNÍ; COCR</t>
  </si>
  <si>
    <t>0058736</t>
  </si>
  <si>
    <t>TĚLÍSKO EMBOLIZAČNÍ NESTER</t>
  </si>
  <si>
    <t>0059345</t>
  </si>
  <si>
    <t>INDEFLÁTOR - ZAŘÍZENÍ INSUFLAČNÍ - INFLATION DEVIC</t>
  </si>
  <si>
    <t>0059569</t>
  </si>
  <si>
    <t>SPIRÁLA EMBOLIZAČNÍ - PERIFER.,INTRAKR.-DETECHABLE</t>
  </si>
  <si>
    <t>0059795</t>
  </si>
  <si>
    <t>DRÁT VODÍCÍ ANGIODYN J3 FC-FS 150-0,35</t>
  </si>
  <si>
    <t>0059982</t>
  </si>
  <si>
    <t>DRÁT ZAVÁDĚCÍ MIRAGE 103-0608-200</t>
  </si>
  <si>
    <t>0059985</t>
  </si>
  <si>
    <t>MIKROKATETR ULTRAFLOW, NAUTICA, ECHELON, MARATHON</t>
  </si>
  <si>
    <t>0059987</t>
  </si>
  <si>
    <t>SADA EMBOL - TEKUTÉ EMBOL ČINIDL0 ONYX 18/20/34/-H</t>
  </si>
  <si>
    <t>0092125</t>
  </si>
  <si>
    <t>MIKROKATETR PROGREAT PC2411-2813, PP27111-27131</t>
  </si>
  <si>
    <t>0092559</t>
  </si>
  <si>
    <t>SADA AG - SYSTÉM PRO UZAVÍRÁNÍ CÉV - FEMORÁLNÍ - S</t>
  </si>
  <si>
    <t>0141644</t>
  </si>
  <si>
    <t>STENT INTRAKRANIÁLNÍ SOLITAIRE AB,SAMOEXPANDIBILNÍ</t>
  </si>
  <si>
    <t>0057776</t>
  </si>
  <si>
    <t>KATETR MICROFERRET, SET</t>
  </si>
  <si>
    <t>0051244</t>
  </si>
  <si>
    <t>KATETR VODÍCÍ GUIDER</t>
  </si>
  <si>
    <t>0052146</t>
  </si>
  <si>
    <t>EXTRAKTOR - AMPLATZ GOOSE NECK SET SKXXX - PERIFER</t>
  </si>
  <si>
    <t>0059796</t>
  </si>
  <si>
    <t>DRÁT VODÍCÍ ANGIODYN J3 SFC-FS 150-0,35</t>
  </si>
  <si>
    <t>0058980</t>
  </si>
  <si>
    <t>KATETR NEUROINTERVENČNÍ</t>
  </si>
  <si>
    <t>0059984</t>
  </si>
  <si>
    <t>MIKROKATETR - NEUROVASKULÁRNÍ - REBAR, APOLLO ONYX</t>
  </si>
  <si>
    <t>0048344</t>
  </si>
  <si>
    <t>VODIČ SPIDER RX FX EMBOLIC PROTECTION SPD 030..070</t>
  </si>
  <si>
    <t>0193332</t>
  </si>
  <si>
    <t>VODIČ PTA HYDROFILNÍ  PRO FLEXOR</t>
  </si>
  <si>
    <t>0059570</t>
  </si>
  <si>
    <t>0059986</t>
  </si>
  <si>
    <t>SYSTÉM BALÓN UZÁVĚROVÝ EQUINOX 104-4011..104-4470</t>
  </si>
  <si>
    <t>0152285</t>
  </si>
  <si>
    <t>STENT KAROTICKÝ - CASPER, SAMOEXPAND.; NITINOL; DV</t>
  </si>
  <si>
    <t>0192133</t>
  </si>
  <si>
    <t>STENT INTRAKRANIÁLNÍ PIPELINE,SAMOEXPANDIBILNÍ,BIM</t>
  </si>
  <si>
    <t>0151925</t>
  </si>
  <si>
    <t>DRÁT VODÍCÍ NEUROVASKULÁRNÍ ASAHI CHIKAI 10 200/30</t>
  </si>
  <si>
    <t>0151924</t>
  </si>
  <si>
    <t>DRÁT VODÍCÍ NEUROVASKULÁRNÍ ASAHI CHIKAI 200/300CM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</si>
  <si>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</si>
  <si>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</si>
  <si>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</si>
  <si>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</si>
  <si>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</si>
  <si>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</si>
  <si>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</si>
  <si>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</si>
  <si>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</si>
  <si>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</si>
  <si>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</si>
  <si>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</si>
  <si>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</si>
  <si>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</si>
  <si>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89323</t>
  </si>
  <si>
    <t>TERAPEUTICKÁ EMBOLIZACE V CÉVNÍM ŘEČIŠTI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</si>
  <si>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</si>
  <si>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</si>
  <si>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</si>
  <si>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</si>
  <si>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</si>
  <si>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</si>
  <si>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</si>
  <si>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</si>
  <si>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</si>
  <si>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</si>
  <si>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</si>
  <si>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</si>
  <si>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</si>
  <si>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</si>
  <si>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</si>
  <si>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</si>
  <si>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</si>
  <si>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</si>
  <si>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</si>
  <si>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</si>
  <si>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</si>
  <si>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</si>
  <si>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</si>
  <si>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</si>
  <si>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</si>
  <si>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</si>
  <si>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</si>
  <si>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</si>
  <si>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89115</t>
  </si>
  <si>
    <t>RTG LEBKY, PŘEHLEDNÉ SNÍMKY</t>
  </si>
  <si>
    <t>89611</t>
  </si>
  <si>
    <t>CT VYŠETŘENÍ HLAVY NEBO TĚLA NATIVNÍ A KONTRASTNÍ</t>
  </si>
  <si>
    <t>89415</t>
  </si>
  <si>
    <t>89121</t>
  </si>
  <si>
    <t>RTG KŘÍŽOVÉ KOSTI A SI KLOUBŮ</t>
  </si>
  <si>
    <t>89321</t>
  </si>
  <si>
    <t>EXTRAKCE CIZÍHO TĚLESA Z CÉVNÍHO ŘEČIŠTĚ</t>
  </si>
  <si>
    <t>89411</t>
  </si>
  <si>
    <t>PŘEHLEDNÁ  ČI SELEKTIVNÍ ANGIOGRAFIE</t>
  </si>
  <si>
    <t>89135</t>
  </si>
  <si>
    <t>RENTGENOVÉ VYŠETŘENÍ CELÉ PÁTEŘE JEDNOU EXPOZICÍ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</si>
  <si>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</si>
  <si>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</si>
  <si>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</si>
  <si>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</si>
  <si>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</si>
  <si>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</si>
  <si>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</si>
  <si>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</si>
  <si>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</si>
  <si>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</si>
  <si>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</si>
  <si>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</si>
  <si>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</si>
  <si>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</si>
  <si>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</si>
  <si>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</si>
  <si>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</si>
  <si>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</si>
  <si>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</si>
  <si>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</si>
  <si>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</si>
  <si>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</si>
  <si>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</si>
  <si>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</si>
  <si>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</si>
  <si>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</si>
  <si>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</si>
  <si>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</si>
  <si>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</si>
  <si>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</si>
  <si>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</si>
  <si>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</si>
  <si>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</si>
  <si>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</si>
  <si>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</si>
  <si>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</si>
  <si>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</si>
  <si>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</si>
  <si>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</si>
  <si>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</si>
  <si>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</si>
  <si>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</si>
  <si>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</si>
  <si>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</si>
  <si>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</si>
  <si>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</si>
  <si>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</si>
  <si>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</si>
  <si>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</si>
  <si>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</si>
  <si>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</si>
  <si>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</si>
  <si>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</si>
  <si>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</si>
  <si>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</si>
  <si>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</si>
  <si>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</si>
  <si>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</si>
  <si>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</si>
  <si>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</si>
  <si>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</si>
  <si>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</si>
  <si>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</si>
  <si>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</si>
  <si>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</si>
  <si>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</si>
  <si>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</si>
  <si>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</si>
  <si>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</si>
  <si>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</si>
  <si>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</si>
  <si>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</si>
  <si>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</si>
  <si>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</si>
  <si>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87219</t>
  </si>
  <si>
    <t>ODVÁPNĚNÍ, ZMĚKČOVÁNÍ MATERIÁLU (ZA KAŽDÉ ZAPOČATÉ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</si>
  <si>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</si>
  <si>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</si>
  <si>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</si>
  <si>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</si>
  <si>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</si>
  <si>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</si>
  <si>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</si>
  <si>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</si>
  <si>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99790</t>
  </si>
  <si>
    <t>(VZP) EXPRESE HER2-IHC</t>
  </si>
  <si>
    <t>99792</t>
  </si>
  <si>
    <t>(VZP) EXPRESE ALK-IHC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</si>
  <si>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</si>
  <si>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</si>
  <si>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</si>
  <si>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</si>
  <si>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</si>
  <si>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</si>
  <si>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</si>
  <si>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</si>
  <si>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</si>
  <si>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</si>
  <si>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</si>
  <si>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</si>
  <si>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</si>
  <si>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</si>
  <si>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</si>
  <si>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</si>
  <si>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</si>
  <si>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</si>
  <si>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</si>
  <si>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</si>
  <si>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</si>
  <si>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</si>
  <si>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</si>
  <si>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</si>
  <si>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</si>
  <si>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</si>
  <si>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</si>
  <si>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</si>
  <si>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</si>
  <si>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</si>
  <si>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</si>
  <si>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</si>
  <si>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</si>
  <si>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</si>
  <si>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</si>
  <si>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</si>
  <si>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82083</t>
  </si>
  <si>
    <t>PRŮKAZ BAKTERIÁLNÍHO TOXINU BIOLOGICKÝM POKUSEM NA</t>
  </si>
  <si>
    <t>44</t>
  </si>
  <si>
    <t>94119</t>
  </si>
  <si>
    <t>IZOLACE A UCHOVÁNÍ LIDSKÉ DNA (RNA)</t>
  </si>
  <si>
    <t>94115</t>
  </si>
  <si>
    <t>IN SITU HYBRIDIZACE LIDSKÉ DNA SE ZNAČENOU SONDOU</t>
  </si>
  <si>
    <t>94123</t>
  </si>
  <si>
    <t>PCR ANALÝZA LIDSKÉ DNA</t>
  </si>
  <si>
    <t>94200</t>
  </si>
  <si>
    <t xml:space="preserve">(VZP) KVANTITATIVNÍ PCR (qPCR) V REÁLNÉM ČASE PRO </t>
  </si>
  <si>
    <t>99795</t>
  </si>
  <si>
    <t>(VZP) MUTACE BRAF</t>
  </si>
  <si>
    <t>99793</t>
  </si>
  <si>
    <t>(VZP) PŘESTAVBA ALK-ISH</t>
  </si>
  <si>
    <t>99794</t>
  </si>
  <si>
    <t>(VZP) MUTACE EGFR</t>
  </si>
  <si>
    <t>99791</t>
  </si>
  <si>
    <t>(VZP) AMPLIFIKACE HER2-ISH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</si>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</sst>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69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1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1" fontId="31" fillId="3" borderId="30" xfId="81" applyNumberFormat="1" applyFont="1" applyFill="1" applyBorder="1"/>
    <xf numFmtId="171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7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7" xfId="26" applyNumberFormat="1" applyFont="1" applyFill="1" applyBorder="1"/>
    <xf numFmtId="9" fontId="32" fillId="0" borderId="28" xfId="26" applyNumberFormat="1" applyFont="1" applyFill="1" applyBorder="1"/>
    <xf numFmtId="170" fontId="32" fillId="0" borderId="5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9" xfId="26" applyNumberFormat="1" applyFont="1" applyFill="1" applyBorder="1"/>
    <xf numFmtId="170" fontId="32" fillId="0" borderId="24" xfId="26" applyNumberFormat="1" applyFont="1" applyFill="1" applyBorder="1"/>
    <xf numFmtId="9" fontId="32" fillId="0" borderId="25" xfId="26" applyNumberFormat="1" applyFont="1" applyFill="1" applyBorder="1"/>
    <xf numFmtId="170" fontId="32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68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2" borderId="21" xfId="26" applyNumberFormat="1" applyFont="1" applyFill="1" applyBorder="1"/>
    <xf numFmtId="3" fontId="34" fillId="4" borderId="22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7" fontId="34" fillId="2" borderId="23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7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7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7" fontId="34" fillId="3" borderId="23" xfId="86" applyNumberFormat="1" applyFont="1" applyFill="1" applyBorder="1" applyAlignment="1">
      <alignment horizontal="right"/>
    </xf>
    <xf numFmtId="167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7" fontId="34" fillId="4" borderId="23" xfId="26" applyNumberFormat="1" applyFont="1" applyFill="1" applyBorder="1" applyAlignment="1">
      <alignment horizontal="center"/>
    </xf>
    <xf numFmtId="3" fontId="34" fillId="4" borderId="30" xfId="26" applyNumberFormat="1" applyFont="1" applyFill="1" applyBorder="1"/>
    <xf numFmtId="167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7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5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3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7" xfId="0" applyFont="1" applyFill="1" applyBorder="1"/>
    <xf numFmtId="0" fontId="35" fillId="5" borderId="5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4" xfId="53" applyFont="1" applyFill="1" applyBorder="1" applyAlignment="1">
      <alignment horizontal="right"/>
    </xf>
    <xf numFmtId="164" fontId="34" fillId="0" borderId="79" xfId="53" applyNumberFormat="1" applyFont="1" applyFill="1" applyBorder="1"/>
    <xf numFmtId="164" fontId="34" fillId="0" borderId="80" xfId="53" applyNumberFormat="1" applyFont="1" applyFill="1" applyBorder="1"/>
    <xf numFmtId="9" fontId="34" fillId="0" borderId="81" xfId="83" applyNumberFormat="1" applyFont="1" applyFill="1" applyBorder="1"/>
    <xf numFmtId="3" fontId="34" fillId="0" borderId="81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5" xfId="26" applyFont="1" applyFill="1" applyBorder="1" applyAlignment="1">
      <alignment horizontal="right"/>
    </xf>
    <xf numFmtId="170" fontId="32" fillId="0" borderId="5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4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51" xfId="74" applyFont="1" applyFill="1" applyBorder="1" applyAlignment="1">
      <alignment horizontal="center"/>
    </xf>
    <xf numFmtId="0" fontId="30" fillId="5" borderId="47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20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3" fontId="32" fillId="7" borderId="85" xfId="26" applyNumberFormat="1" applyFont="1" applyFill="1" applyBorder="1"/>
    <xf numFmtId="3" fontId="32" fillId="7" borderId="65" xfId="26" applyNumberFormat="1" applyFont="1" applyFill="1" applyBorder="1"/>
    <xf numFmtId="167" fontId="34" fillId="7" borderId="73" xfId="86" applyNumberFormat="1" applyFont="1" applyFill="1" applyBorder="1" applyAlignment="1">
      <alignment horizontal="right"/>
    </xf>
    <xf numFmtId="3" fontId="32" fillId="7" borderId="86" xfId="26" applyNumberFormat="1" applyFont="1" applyFill="1" applyBorder="1"/>
    <xf numFmtId="167" fontId="34" fillId="7" borderId="73" xfId="86" applyNumberFormat="1" applyFont="1" applyFill="1" applyBorder="1"/>
    <xf numFmtId="3" fontId="32" fillId="0" borderId="85" xfId="26" applyNumberFormat="1" applyFont="1" applyFill="1" applyBorder="1" applyAlignment="1">
      <alignment horizontal="center"/>
    </xf>
    <xf numFmtId="3" fontId="32" fillId="0" borderId="73" xfId="26" applyNumberFormat="1" applyFont="1" applyFill="1" applyBorder="1" applyAlignment="1">
      <alignment horizontal="center"/>
    </xf>
    <xf numFmtId="3" fontId="32" fillId="7" borderId="85" xfId="26" applyNumberFormat="1" applyFont="1" applyFill="1" applyBorder="1" applyAlignment="1">
      <alignment horizontal="center"/>
    </xf>
    <xf numFmtId="3" fontId="32" fillId="7" borderId="73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5" xfId="0" applyFont="1" applyFill="1" applyBorder="1" applyAlignment="1"/>
    <xf numFmtId="0" fontId="35" fillId="0" borderId="0" xfId="0" applyFont="1" applyFill="1" applyAlignment="1"/>
    <xf numFmtId="0" fontId="50" fillId="4" borderId="36" xfId="1" applyFont="1" applyFill="1" applyBorder="1"/>
    <xf numFmtId="0" fontId="50" fillId="4" borderId="20" xfId="1" applyFont="1" applyFill="1" applyBorder="1"/>
    <xf numFmtId="0" fontId="50" fillId="3" borderId="21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6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8" xfId="0" applyNumberFormat="1" applyFont="1" applyFill="1" applyBorder="1"/>
    <xf numFmtId="3" fontId="42" fillId="2" borderId="60" xfId="0" applyNumberFormat="1" applyFont="1" applyFill="1" applyBorder="1"/>
    <xf numFmtId="9" fontId="42" fillId="2" borderId="67" xfId="0" applyNumberFormat="1" applyFont="1" applyFill="1" applyBorder="1"/>
    <xf numFmtId="0" fontId="54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64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50" fillId="2" borderId="37" xfId="1" applyFont="1" applyFill="1" applyBorder="1" applyAlignment="1">
      <alignment horizontal="left" indent="2"/>
    </xf>
    <xf numFmtId="0" fontId="54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7" xfId="0" applyFont="1" applyFill="1" applyBorder="1" applyAlignment="1">
      <alignment horizontal="left" indent="2"/>
    </xf>
    <xf numFmtId="0" fontId="35" fillId="0" borderId="47" xfId="0" applyFont="1" applyBorder="1" applyAlignment="1"/>
    <xf numFmtId="3" fontId="35" fillId="0" borderId="47" xfId="0" applyNumberFormat="1" applyFont="1" applyBorder="1" applyAlignment="1"/>
    <xf numFmtId="9" fontId="35" fillId="0" borderId="47" xfId="0" applyNumberFormat="1" applyFont="1" applyBorder="1" applyAlignment="1"/>
    <xf numFmtId="0" fontId="54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4" fillId="4" borderId="64" xfId="1" applyFont="1" applyFill="1" applyBorder="1" applyAlignment="1">
      <alignment horizontal="left"/>
    </xf>
    <xf numFmtId="0" fontId="50" fillId="4" borderId="37" xfId="1" applyFont="1" applyFill="1" applyBorder="1" applyAlignment="1">
      <alignment horizontal="left" indent="2"/>
    </xf>
    <xf numFmtId="0" fontId="54" fillId="4" borderId="37" xfId="1" applyFont="1" applyFill="1" applyBorder="1" applyAlignment="1">
      <alignment horizontal="left"/>
    </xf>
    <xf numFmtId="9" fontId="35" fillId="0" borderId="11" xfId="0" applyNumberFormat="1" applyFont="1" applyBorder="1" applyAlignment="1">
      <alignment horizontal="right"/>
    </xf>
    <xf numFmtId="0" fontId="50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5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7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9" xfId="0" applyFont="1" applyFill="1" applyBorder="1" applyAlignment="1">
      <alignment horizontal="right"/>
    </xf>
    <xf numFmtId="16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69" fontId="42" fillId="0" borderId="31" xfId="0" applyNumberFormat="1" applyFont="1" applyFill="1" applyBorder="1" applyAlignment="1"/>
    <xf numFmtId="9" fontId="42" fillId="0" borderId="5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5" xfId="0" applyNumberFormat="1" applyFont="1" applyFill="1" applyBorder="1" applyAlignment="1"/>
    <xf numFmtId="9" fontId="35" fillId="0" borderId="5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7" xfId="0" applyNumberFormat="1" applyFont="1" applyFill="1" applyBorder="1"/>
    <xf numFmtId="3" fontId="60" fillId="9" borderId="88" xfId="0" applyNumberFormat="1" applyFont="1" applyFill="1" applyBorder="1"/>
    <xf numFmtId="3" fontId="60" fillId="9" borderId="87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0" fontId="42" fillId="2" borderId="92" xfId="0" applyFont="1" applyFill="1" applyBorder="1" applyAlignment="1">
      <alignment horizontal="center" vertical="center"/>
    </xf>
    <xf numFmtId="0" fontId="62" fillId="2" borderId="95" xfId="0" applyFont="1" applyFill="1" applyBorder="1" applyAlignment="1">
      <alignment horizontal="center" vertical="center" wrapText="1"/>
    </xf>
    <xf numFmtId="0" fontId="42" fillId="2" borderId="97" xfId="0" applyFont="1" applyFill="1" applyBorder="1" applyAlignment="1"/>
    <xf numFmtId="0" fontId="42" fillId="2" borderId="99" xfId="0" applyFont="1" applyFill="1" applyBorder="1" applyAlignment="1">
      <alignment horizontal="left" indent="1"/>
    </xf>
    <xf numFmtId="0" fontId="42" fillId="2" borderId="105" xfId="0" applyFont="1" applyFill="1" applyBorder="1" applyAlignment="1">
      <alignment horizontal="left" indent="1"/>
    </xf>
    <xf numFmtId="0" fontId="42" fillId="4" borderId="97" xfId="0" applyFont="1" applyFill="1" applyBorder="1" applyAlignment="1"/>
    <xf numFmtId="0" fontId="42" fillId="4" borderId="99" xfId="0" applyFont="1" applyFill="1" applyBorder="1" applyAlignment="1">
      <alignment horizontal="left" indent="1"/>
    </xf>
    <xf numFmtId="0" fontId="42" fillId="4" borderId="110" xfId="0" applyFont="1" applyFill="1" applyBorder="1" applyAlignment="1">
      <alignment horizontal="left" indent="1"/>
    </xf>
    <xf numFmtId="0" fontId="35" fillId="2" borderId="99" xfId="0" quotePrefix="1" applyFont="1" applyFill="1" applyBorder="1" applyAlignment="1">
      <alignment horizontal="left" indent="2"/>
    </xf>
    <xf numFmtId="0" fontId="35" fillId="2" borderId="105" xfId="0" quotePrefix="1" applyFont="1" applyFill="1" applyBorder="1" applyAlignment="1">
      <alignment horizontal="left" indent="2"/>
    </xf>
    <xf numFmtId="0" fontId="42" fillId="2" borderId="97" xfId="0" applyFont="1" applyFill="1" applyBorder="1" applyAlignment="1">
      <alignment horizontal="left" indent="1"/>
    </xf>
    <xf numFmtId="0" fontId="42" fillId="2" borderId="110" xfId="0" applyFont="1" applyFill="1" applyBorder="1" applyAlignment="1">
      <alignment horizontal="left" indent="1"/>
    </xf>
    <xf numFmtId="0" fontId="42" fillId="4" borderId="105" xfId="0" applyFont="1" applyFill="1" applyBorder="1" applyAlignment="1">
      <alignment horizontal="left" indent="1"/>
    </xf>
    <xf numFmtId="0" fontId="35" fillId="0" borderId="115" xfId="0" applyFont="1" applyBorder="1"/>
    <xf numFmtId="3" fontId="35" fillId="0" borderId="115" xfId="0" applyNumberFormat="1" applyFont="1" applyBorder="1"/>
    <xf numFmtId="0" fontId="42" fillId="4" borderId="89" xfId="0" applyFont="1" applyFill="1" applyBorder="1" applyAlignment="1">
      <alignment horizontal="center" vertical="center"/>
    </xf>
    <xf numFmtId="0" fontId="42" fillId="4" borderId="68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4" xfId="0" applyNumberFormat="1" applyFont="1" applyFill="1" applyBorder="1" applyAlignment="1">
      <alignment horizontal="center" vertical="center"/>
    </xf>
    <xf numFmtId="3" fontId="62" fillId="2" borderId="112" xfId="0" applyNumberFormat="1" applyFont="1" applyFill="1" applyBorder="1" applyAlignment="1">
      <alignment horizontal="center" vertical="center" wrapText="1"/>
    </xf>
    <xf numFmtId="173" fontId="42" fillId="4" borderId="98" xfId="0" applyNumberFormat="1" applyFont="1" applyFill="1" applyBorder="1" applyAlignment="1"/>
    <xf numFmtId="173" fontId="42" fillId="4" borderId="92" xfId="0" applyNumberFormat="1" applyFont="1" applyFill="1" applyBorder="1" applyAlignment="1"/>
    <xf numFmtId="173" fontId="42" fillId="0" borderId="100" xfId="0" applyNumberFormat="1" applyFont="1" applyBorder="1"/>
    <xf numFmtId="173" fontId="35" fillId="0" borderId="102" xfId="0" applyNumberFormat="1" applyFont="1" applyBorder="1"/>
    <xf numFmtId="173" fontId="42" fillId="0" borderId="111" xfId="0" applyNumberFormat="1" applyFont="1" applyBorder="1"/>
    <xf numFmtId="173" fontId="35" fillId="0" borderId="95" xfId="0" applyNumberFormat="1" applyFont="1" applyBorder="1"/>
    <xf numFmtId="173" fontId="42" fillId="2" borderId="113" xfId="0" applyNumberFormat="1" applyFont="1" applyFill="1" applyBorder="1" applyAlignment="1"/>
    <xf numFmtId="173" fontId="42" fillId="2" borderId="92" xfId="0" applyNumberFormat="1" applyFont="1" applyFill="1" applyBorder="1" applyAlignment="1"/>
    <xf numFmtId="173" fontId="42" fillId="0" borderId="106" xfId="0" applyNumberFormat="1" applyFont="1" applyBorder="1"/>
    <xf numFmtId="173" fontId="35" fillId="0" borderId="108" xfId="0" applyNumberFormat="1" applyFont="1" applyBorder="1"/>
    <xf numFmtId="174" fontId="42" fillId="2" borderId="98" xfId="0" applyNumberFormat="1" applyFont="1" applyFill="1" applyBorder="1" applyAlignment="1"/>
    <xf numFmtId="174" fontId="35" fillId="2" borderId="92" xfId="0" applyNumberFormat="1" applyFont="1" applyFill="1" applyBorder="1" applyAlignment="1"/>
    <xf numFmtId="174" fontId="42" fillId="0" borderId="100" xfId="0" applyNumberFormat="1" applyFont="1" applyBorder="1"/>
    <xf numFmtId="174" fontId="35" fillId="0" borderId="102" xfId="0" applyNumberFormat="1" applyFont="1" applyBorder="1"/>
    <xf numFmtId="174" fontId="42" fillId="0" borderId="106" xfId="0" applyNumberFormat="1" applyFont="1" applyBorder="1"/>
    <xf numFmtId="174" fontId="35" fillId="0" borderId="108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8" xfId="0" applyNumberFormat="1" applyFont="1" applyFill="1" applyBorder="1" applyAlignment="1">
      <alignment horizontal="center"/>
    </xf>
    <xf numFmtId="175" fontId="42" fillId="0" borderId="106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96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9" xfId="53" applyNumberFormat="1" applyFont="1" applyFill="1" applyBorder="1"/>
    <xf numFmtId="3" fontId="34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5" fillId="0" borderId="30" xfId="0" applyNumberFormat="1" applyFont="1" applyFill="1" applyBorder="1"/>
    <xf numFmtId="9" fontId="35" fillId="0" borderId="23" xfId="0" applyNumberFormat="1" applyFont="1" applyFill="1" applyBorder="1"/>
    <xf numFmtId="9" fontId="35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5" fillId="5" borderId="103" xfId="0" applyFont="1" applyFill="1" applyBorder="1"/>
    <xf numFmtId="0" fontId="35" fillId="0" borderId="104" xfId="0" applyFont="1" applyBorder="1" applyAlignment="1"/>
    <xf numFmtId="9" fontId="35" fillId="0" borderId="102" xfId="0" applyNumberFormat="1" applyFont="1" applyBorder="1" applyAlignment="1"/>
    <xf numFmtId="0" fontId="28" fillId="2" borderId="37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3" fontId="42" fillId="0" borderId="22" xfId="0" applyNumberFormat="1" applyFont="1" applyFill="1" applyBorder="1" applyAlignment="1"/>
    <xf numFmtId="3" fontId="42" fillId="0" borderId="30" xfId="0" applyNumberFormat="1" applyFont="1" applyFill="1" applyBorder="1" applyAlignment="1"/>
    <xf numFmtId="169" fontId="42" fillId="0" borderId="23" xfId="0" applyNumberFormat="1" applyFont="1" applyFill="1" applyBorder="1" applyAlignment="1"/>
    <xf numFmtId="9" fontId="35" fillId="0" borderId="102" xfId="0" applyNumberFormat="1" applyFont="1" applyBorder="1"/>
    <xf numFmtId="49" fontId="40" fillId="2" borderId="102" xfId="0" quotePrefix="1" applyNumberFormat="1" applyFont="1" applyFill="1" applyBorder="1" applyAlignment="1">
      <alignment horizontal="center" vertical="center"/>
    </xf>
    <xf numFmtId="0" fontId="34" fillId="10" borderId="1" xfId="26" applyNumberFormat="1" applyFont="1" applyFill="1" applyBorder="1" applyAlignment="1">
      <alignment horizontal="center"/>
    </xf>
    <xf numFmtId="0" fontId="34" fillId="10" borderId="2" xfId="26" applyNumberFormat="1" applyFont="1" applyFill="1" applyBorder="1" applyAlignment="1">
      <alignment horizontal="center"/>
    </xf>
    <xf numFmtId="167" fontId="34" fillId="10" borderId="3" xfId="26" applyNumberFormat="1" applyFont="1" applyFill="1" applyBorder="1" applyAlignment="1">
      <alignment horizontal="center"/>
    </xf>
    <xf numFmtId="3" fontId="34" fillId="10" borderId="22" xfId="26" applyNumberFormat="1" applyFont="1" applyFill="1" applyBorder="1"/>
    <xf numFmtId="3" fontId="34" fillId="10" borderId="30" xfId="26" applyNumberFormat="1" applyFont="1" applyFill="1" applyBorder="1"/>
    <xf numFmtId="167" fontId="34" fillId="10" borderId="23" xfId="86" applyNumberFormat="1" applyFont="1" applyFill="1" applyBorder="1" applyAlignment="1">
      <alignment horizontal="right"/>
    </xf>
    <xf numFmtId="3" fontId="34" fillId="10" borderId="31" xfId="26" applyNumberFormat="1" applyFont="1" applyFill="1" applyBorder="1"/>
    <xf numFmtId="167" fontId="34" fillId="10" borderId="23" xfId="86" applyNumberFormat="1" applyFont="1" applyFill="1" applyBorder="1"/>
    <xf numFmtId="3" fontId="34" fillId="10" borderId="22" xfId="26" applyNumberFormat="1" applyFont="1" applyFill="1" applyBorder="1" applyAlignment="1">
      <alignment horizontal="center"/>
    </xf>
    <xf numFmtId="3" fontId="34" fillId="10" borderId="23" xfId="26" applyNumberFormat="1" applyFont="1" applyFill="1" applyBorder="1" applyAlignment="1">
      <alignment horizontal="center"/>
    </xf>
    <xf numFmtId="167" fontId="34" fillId="10" borderId="23" xfId="26" applyNumberFormat="1" applyFont="1" applyFill="1" applyBorder="1" applyAlignment="1">
      <alignment horizontal="center"/>
    </xf>
    <xf numFmtId="0" fontId="34" fillId="2" borderId="2" xfId="26" quotePrefix="1" applyNumberFormat="1" applyFont="1" applyFill="1" applyBorder="1" applyAlignment="1">
      <alignment horizontal="center"/>
    </xf>
    <xf numFmtId="167" fontId="34" fillId="2" borderId="3" xfId="26" quotePrefix="1" applyNumberFormat="1" applyFont="1" applyFill="1" applyBorder="1" applyAlignment="1">
      <alignment horizontal="center"/>
    </xf>
    <xf numFmtId="167" fontId="34" fillId="2" borderId="57" xfId="26" applyNumberFormat="1" applyFont="1" applyFill="1" applyBorder="1"/>
    <xf numFmtId="167" fontId="34" fillId="3" borderId="57" xfId="26" applyNumberFormat="1" applyFont="1" applyFill="1" applyBorder="1"/>
    <xf numFmtId="167" fontId="34" fillId="4" borderId="57" xfId="26" applyNumberFormat="1" applyFont="1" applyFill="1" applyBorder="1"/>
    <xf numFmtId="167" fontId="34" fillId="10" borderId="57" xfId="26" applyNumberFormat="1" applyFont="1" applyFill="1" applyBorder="1"/>
    <xf numFmtId="167" fontId="32" fillId="7" borderId="17" xfId="26" applyNumberFormat="1" applyFont="1" applyFill="1" applyBorder="1"/>
    <xf numFmtId="167" fontId="32" fillId="7" borderId="116" xfId="26" applyNumberFormat="1" applyFont="1" applyFill="1" applyBorder="1"/>
    <xf numFmtId="167" fontId="32" fillId="7" borderId="123" xfId="26" applyNumberFormat="1" applyFont="1" applyFill="1" applyBorder="1"/>
    <xf numFmtId="0" fontId="28" fillId="4" borderId="99" xfId="1" applyFill="1" applyBorder="1" applyAlignment="1">
      <alignment horizontal="left" indent="4"/>
    </xf>
    <xf numFmtId="0" fontId="28" fillId="4" borderId="3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2"/>
    </xf>
    <xf numFmtId="0" fontId="35" fillId="0" borderId="101" xfId="0" applyFont="1" applyBorder="1"/>
    <xf numFmtId="0" fontId="34" fillId="2" borderId="89" xfId="0" applyFont="1" applyFill="1" applyBorder="1" applyAlignment="1">
      <alignment horizontal="center" vertical="top" wrapText="1"/>
    </xf>
    <xf numFmtId="0" fontId="28" fillId="6" borderId="5" xfId="1" applyFill="1" applyBorder="1"/>
    <xf numFmtId="0" fontId="34" fillId="2" borderId="49" xfId="81" applyFont="1" applyFill="1" applyBorder="1" applyAlignment="1">
      <alignment horizontal="center"/>
    </xf>
    <xf numFmtId="0" fontId="34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3" fontId="42" fillId="2" borderId="92" xfId="0" applyNumberFormat="1" applyFont="1" applyFill="1" applyBorder="1" applyAlignment="1">
      <alignment horizontal="center" vertical="center"/>
    </xf>
    <xf numFmtId="3" fontId="62" fillId="2" borderId="9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4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2" fillId="0" borderId="23" xfId="0" applyNumberFormat="1" applyFont="1" applyFill="1" applyBorder="1" applyAlignment="1"/>
    <xf numFmtId="0" fontId="42" fillId="2" borderId="21" xfId="0" applyFont="1" applyFill="1" applyBorder="1" applyAlignment="1">
      <alignment horizontal="right"/>
    </xf>
    <xf numFmtId="3" fontId="34" fillId="7" borderId="64" xfId="26" applyNumberFormat="1" applyFont="1" applyFill="1" applyBorder="1"/>
    <xf numFmtId="3" fontId="34" fillId="7" borderId="99" xfId="26" applyNumberFormat="1" applyFont="1" applyFill="1" applyBorder="1"/>
    <xf numFmtId="3" fontId="34" fillId="7" borderId="34" xfId="26" applyNumberFormat="1" applyFont="1" applyFill="1" applyBorder="1"/>
    <xf numFmtId="3" fontId="34" fillId="10" borderId="21" xfId="26" applyNumberFormat="1" applyFont="1" applyFill="1" applyBorder="1"/>
    <xf numFmtId="3" fontId="34" fillId="4" borderId="21" xfId="26" applyNumberFormat="1" applyFont="1" applyFill="1" applyBorder="1"/>
    <xf numFmtId="3" fontId="34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173" fontId="35" fillId="0" borderId="125" xfId="0" applyNumberFormat="1" applyFont="1" applyBorder="1"/>
    <xf numFmtId="173" fontId="35" fillId="0" borderId="30" xfId="0" applyNumberFormat="1" applyFont="1" applyBorder="1"/>
    <xf numFmtId="3" fontId="35" fillId="0" borderId="0" xfId="0" applyNumberFormat="1" applyFont="1" applyBorder="1"/>
    <xf numFmtId="173" fontId="35" fillId="0" borderId="101" xfId="0" applyNumberFormat="1" applyFont="1" applyBorder="1" applyAlignment="1"/>
    <xf numFmtId="173" fontId="35" fillId="0" borderId="102" xfId="0" applyNumberFormat="1" applyFont="1" applyBorder="1" applyAlignment="1"/>
    <xf numFmtId="173" fontId="35" fillId="0" borderId="103" xfId="0" applyNumberFormat="1" applyFont="1" applyBorder="1" applyAlignment="1"/>
    <xf numFmtId="175" fontId="35" fillId="0" borderId="101" xfId="0" applyNumberFormat="1" applyFont="1" applyBorder="1" applyAlignment="1"/>
    <xf numFmtId="175" fontId="35" fillId="0" borderId="102" xfId="0" applyNumberFormat="1" applyFont="1" applyBorder="1" applyAlignment="1"/>
    <xf numFmtId="175" fontId="35" fillId="0" borderId="103" xfId="0" applyNumberFormat="1" applyFont="1" applyBorder="1" applyAlignment="1"/>
    <xf numFmtId="173" fontId="35" fillId="0" borderId="94" xfId="0" applyNumberFormat="1" applyFont="1" applyBorder="1" applyAlignment="1"/>
    <xf numFmtId="173" fontId="35" fillId="0" borderId="95" xfId="0" applyNumberFormat="1" applyFont="1" applyBorder="1" applyAlignment="1"/>
    <xf numFmtId="173" fontId="35" fillId="0" borderId="96" xfId="0" applyNumberFormat="1" applyFont="1" applyBorder="1" applyAlignment="1"/>
    <xf numFmtId="173" fontId="42" fillId="4" borderId="27" xfId="0" applyNumberFormat="1" applyFont="1" applyFill="1" applyBorder="1" applyAlignment="1">
      <alignment horizontal="center"/>
    </xf>
    <xf numFmtId="173" fontId="42" fillId="4" borderId="32" xfId="0" applyNumberFormat="1" applyFont="1" applyFill="1" applyBorder="1" applyAlignment="1">
      <alignment horizontal="center"/>
    </xf>
    <xf numFmtId="173" fontId="42" fillId="4" borderId="28" xfId="0" applyNumberFormat="1" applyFont="1" applyFill="1" applyBorder="1" applyAlignment="1">
      <alignment horizontal="center"/>
    </xf>
    <xf numFmtId="173" fontId="35" fillId="0" borderId="21" xfId="0" applyNumberFormat="1" applyFont="1" applyBorder="1"/>
    <xf numFmtId="173" fontId="35" fillId="0" borderId="126" xfId="0" applyNumberFormat="1" applyFont="1" applyBorder="1"/>
    <xf numFmtId="9" fontId="35" fillId="0" borderId="99" xfId="0" applyNumberFormat="1" applyFont="1" applyBorder="1"/>
    <xf numFmtId="173" fontId="35" fillId="0" borderId="110" xfId="0" applyNumberFormat="1" applyFont="1" applyBorder="1"/>
    <xf numFmtId="0" fontId="0" fillId="0" borderId="2" xfId="0" applyBorder="1" applyAlignment="1"/>
    <xf numFmtId="0" fontId="42" fillId="3" borderId="29" xfId="0" applyFont="1" applyFill="1" applyBorder="1" applyAlignment="1"/>
    <xf numFmtId="0" fontId="35" fillId="0" borderId="48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3" xfId="81" applyFont="1" applyFill="1" applyBorder="1" applyAlignment="1">
      <alignment horizontal="center"/>
    </xf>
    <xf numFmtId="0" fontId="34" fillId="2" borderId="54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84" xfId="81" applyFont="1" applyFill="1" applyBorder="1" applyAlignment="1">
      <alignment horizontal="center"/>
    </xf>
    <xf numFmtId="0" fontId="34" fillId="2" borderId="52" xfId="81" applyFont="1" applyFill="1" applyBorder="1" applyAlignment="1">
      <alignment horizontal="center"/>
    </xf>
    <xf numFmtId="0" fontId="34" fillId="2" borderId="119" xfId="81" applyFont="1" applyFill="1" applyBorder="1" applyAlignment="1">
      <alignment horizontal="center"/>
    </xf>
    <xf numFmtId="0" fontId="34" fillId="2" borderId="98" xfId="81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4" fillId="2" borderId="117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1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7" xfId="53" applyNumberFormat="1" applyFont="1" applyFill="1" applyBorder="1" applyAlignment="1">
      <alignment horizontal="right"/>
    </xf>
    <xf numFmtId="164" fontId="32" fillId="2" borderId="32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9" xfId="78" applyNumberFormat="1" applyFont="1" applyFill="1" applyBorder="1" applyAlignment="1">
      <alignment horizontal="left"/>
    </xf>
    <xf numFmtId="0" fontId="35" fillId="2" borderId="59" xfId="0" applyFont="1" applyFill="1" applyBorder="1" applyAlignment="1"/>
    <xf numFmtId="3" fontId="31" fillId="2" borderId="61" xfId="78" applyNumberFormat="1" applyFont="1" applyFill="1" applyBorder="1" applyAlignment="1"/>
    <xf numFmtId="0" fontId="42" fillId="2" borderId="69" xfId="0" applyFont="1" applyFill="1" applyBorder="1" applyAlignment="1">
      <alignment horizontal="left"/>
    </xf>
    <xf numFmtId="0" fontId="35" fillId="2" borderId="55" xfId="0" applyFont="1" applyFill="1" applyBorder="1" applyAlignment="1">
      <alignment horizontal="left"/>
    </xf>
    <xf numFmtId="0" fontId="35" fillId="2" borderId="59" xfId="0" applyFont="1" applyFill="1" applyBorder="1" applyAlignment="1">
      <alignment horizontal="left"/>
    </xf>
    <xf numFmtId="0" fontId="42" fillId="2" borderId="61" xfId="0" applyFont="1" applyFill="1" applyBorder="1" applyAlignment="1">
      <alignment horizontal="left"/>
    </xf>
    <xf numFmtId="3" fontId="42" fillId="2" borderId="61" xfId="0" applyNumberFormat="1" applyFont="1" applyFill="1" applyBorder="1" applyAlignment="1">
      <alignment horizontal="left"/>
    </xf>
    <xf numFmtId="3" fontId="35" fillId="2" borderId="56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66" fontId="42" fillId="2" borderId="90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>
      <alignment horizontal="left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7" xfId="0" applyFont="1" applyFill="1" applyBorder="1" applyAlignment="1">
      <alignment vertical="center"/>
    </xf>
    <xf numFmtId="3" fontId="34" fillId="2" borderId="69" xfId="26" applyNumberFormat="1" applyFont="1" applyFill="1" applyBorder="1" applyAlignment="1">
      <alignment horizontal="center"/>
    </xf>
    <xf numFmtId="3" fontId="34" fillId="2" borderId="55" xfId="26" applyNumberFormat="1" applyFont="1" applyFill="1" applyBorder="1" applyAlignment="1">
      <alignment horizontal="center"/>
    </xf>
    <xf numFmtId="3" fontId="34" fillId="2" borderId="115" xfId="26" applyNumberFormat="1" applyFont="1" applyFill="1" applyBorder="1" applyAlignment="1">
      <alignment horizontal="center"/>
    </xf>
    <xf numFmtId="3" fontId="34" fillId="2" borderId="56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90" xfId="26" applyNumberFormat="1" applyFont="1" applyFill="1" applyBorder="1" applyAlignment="1">
      <alignment horizontal="center"/>
    </xf>
    <xf numFmtId="0" fontId="34" fillId="2" borderId="33" xfId="0" applyFont="1" applyFill="1" applyBorder="1" applyAlignment="1">
      <alignment horizontal="center" vertical="top" wrapText="1"/>
    </xf>
    <xf numFmtId="3" fontId="34" fillId="2" borderId="56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9" xfId="0" quotePrefix="1" applyFont="1" applyFill="1" applyBorder="1" applyAlignment="1">
      <alignment horizontal="center"/>
    </xf>
    <xf numFmtId="0" fontId="34" fillId="2" borderId="56" xfId="0" applyFont="1" applyFill="1" applyBorder="1" applyAlignment="1">
      <alignment horizontal="center"/>
    </xf>
    <xf numFmtId="9" fontId="47" fillId="2" borderId="56" xfId="0" applyNumberFormat="1" applyFont="1" applyFill="1" applyBorder="1" applyAlignment="1">
      <alignment horizontal="center" vertical="top"/>
    </xf>
    <xf numFmtId="0" fontId="34" fillId="2" borderId="89" xfId="0" applyNumberFormat="1" applyFont="1" applyFill="1" applyBorder="1" applyAlignment="1">
      <alignment horizontal="center" vertical="top"/>
    </xf>
    <xf numFmtId="0" fontId="34" fillId="2" borderId="89" xfId="0" applyFont="1" applyFill="1" applyBorder="1" applyAlignment="1">
      <alignment horizontal="center" vertical="top" wrapText="1"/>
    </xf>
    <xf numFmtId="0" fontId="34" fillId="2" borderId="69" xfId="0" quotePrefix="1" applyNumberFormat="1" applyFont="1" applyFill="1" applyBorder="1" applyAlignment="1">
      <alignment horizontal="center"/>
    </xf>
    <xf numFmtId="0" fontId="34" fillId="2" borderId="56" xfId="0" applyNumberFormat="1" applyFont="1" applyFill="1" applyBorder="1" applyAlignment="1">
      <alignment horizontal="center"/>
    </xf>
    <xf numFmtId="49" fontId="34" fillId="2" borderId="33" xfId="0" applyNumberFormat="1" applyFont="1" applyFill="1" applyBorder="1" applyAlignment="1">
      <alignment horizontal="center" vertical="top"/>
    </xf>
    <xf numFmtId="0" fontId="47" fillId="2" borderId="56" xfId="0" applyNumberFormat="1" applyFont="1" applyFill="1" applyBorder="1" applyAlignment="1">
      <alignment horizontal="center" vertical="top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167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3" fontId="34" fillId="2" borderId="89" xfId="26" applyNumberFormat="1" applyFont="1" applyFill="1" applyBorder="1" applyAlignment="1">
      <alignment horizontal="center" vertical="center"/>
    </xf>
    <xf numFmtId="3" fontId="34" fillId="2" borderId="68" xfId="26" applyNumberFormat="1" applyFont="1" applyFill="1" applyBorder="1" applyAlignment="1">
      <alignment horizontal="center" vertical="center"/>
    </xf>
    <xf numFmtId="3" fontId="34" fillId="0" borderId="55" xfId="26" applyNumberFormat="1" applyFont="1" applyFill="1" applyBorder="1" applyAlignment="1">
      <alignment horizontal="right" vertical="top"/>
    </xf>
    <xf numFmtId="3" fontId="34" fillId="0" borderId="115" xfId="26" applyNumberFormat="1" applyFont="1" applyFill="1" applyBorder="1" applyAlignment="1">
      <alignment horizontal="right" vertical="top"/>
    </xf>
    <xf numFmtId="3" fontId="34" fillId="3" borderId="89" xfId="26" applyNumberFormat="1" applyFont="1" applyFill="1" applyBorder="1" applyAlignment="1">
      <alignment horizontal="center" vertical="center" wrapText="1"/>
    </xf>
    <xf numFmtId="3" fontId="34" fillId="3" borderId="68" xfId="26" applyNumberFormat="1" applyFont="1" applyFill="1" applyBorder="1" applyAlignment="1">
      <alignment horizontal="center" vertical="center" wrapText="1"/>
    </xf>
    <xf numFmtId="3" fontId="34" fillId="3" borderId="69" xfId="26" applyNumberFormat="1" applyFont="1" applyFill="1" applyBorder="1" applyAlignment="1">
      <alignment horizontal="center"/>
    </xf>
    <xf numFmtId="3" fontId="34" fillId="3" borderId="55" xfId="26" applyNumberFormat="1" applyFont="1" applyFill="1" applyBorder="1" applyAlignment="1">
      <alignment horizontal="center"/>
    </xf>
    <xf numFmtId="3" fontId="34" fillId="3" borderId="115" xfId="26" applyNumberFormat="1" applyFont="1" applyFill="1" applyBorder="1" applyAlignment="1">
      <alignment horizontal="center"/>
    </xf>
    <xf numFmtId="3" fontId="34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center"/>
    </xf>
    <xf numFmtId="0" fontId="35" fillId="0" borderId="55" xfId="0" applyFont="1" applyFill="1" applyBorder="1" applyAlignment="1">
      <alignment horizontal="right" vertical="top"/>
    </xf>
    <xf numFmtId="0" fontId="35" fillId="0" borderId="115" xfId="0" applyFont="1" applyFill="1" applyBorder="1" applyAlignment="1">
      <alignment horizontal="right" vertical="top"/>
    </xf>
    <xf numFmtId="3" fontId="34" fillId="10" borderId="89" xfId="26" applyNumberFormat="1" applyFont="1" applyFill="1" applyBorder="1" applyAlignment="1">
      <alignment horizontal="center" vertical="center" wrapText="1"/>
    </xf>
    <xf numFmtId="3" fontId="34" fillId="10" borderId="68" xfId="26" applyNumberFormat="1" applyFont="1" applyFill="1" applyBorder="1" applyAlignment="1">
      <alignment horizontal="center" vertical="center" wrapText="1"/>
    </xf>
    <xf numFmtId="3" fontId="34" fillId="10" borderId="69" xfId="26" applyNumberFormat="1" applyFont="1" applyFill="1" applyBorder="1" applyAlignment="1">
      <alignment horizontal="center"/>
    </xf>
    <xf numFmtId="3" fontId="34" fillId="10" borderId="55" xfId="26" applyNumberFormat="1" applyFont="1" applyFill="1" applyBorder="1" applyAlignment="1">
      <alignment horizontal="center"/>
    </xf>
    <xf numFmtId="3" fontId="34" fillId="10" borderId="115" xfId="26" applyNumberFormat="1" applyFont="1" applyFill="1" applyBorder="1" applyAlignment="1">
      <alignment horizontal="center"/>
    </xf>
    <xf numFmtId="3" fontId="34" fillId="10" borderId="56" xfId="26" applyNumberFormat="1" applyFont="1" applyFill="1" applyBorder="1" applyAlignment="1">
      <alignment horizontal="center"/>
    </xf>
    <xf numFmtId="3" fontId="34" fillId="4" borderId="89" xfId="26" applyNumberFormat="1" applyFont="1" applyFill="1" applyBorder="1" applyAlignment="1">
      <alignment horizontal="center" vertical="center" wrapText="1"/>
    </xf>
    <xf numFmtId="3" fontId="34" fillId="4" borderId="68" xfId="26" applyNumberFormat="1" applyFont="1" applyFill="1" applyBorder="1" applyAlignment="1">
      <alignment horizontal="center" vertical="center" wrapText="1"/>
    </xf>
    <xf numFmtId="3" fontId="34" fillId="4" borderId="69" xfId="26" applyNumberFormat="1" applyFont="1" applyFill="1" applyBorder="1" applyAlignment="1">
      <alignment horizontal="center"/>
    </xf>
    <xf numFmtId="3" fontId="34" fillId="4" borderId="55" xfId="26" applyNumberFormat="1" applyFont="1" applyFill="1" applyBorder="1" applyAlignment="1">
      <alignment horizontal="center"/>
    </xf>
    <xf numFmtId="3" fontId="34" fillId="4" borderId="115" xfId="26" applyNumberFormat="1" applyFont="1" applyFill="1" applyBorder="1" applyAlignment="1">
      <alignment horizontal="center"/>
    </xf>
    <xf numFmtId="3" fontId="34" fillId="4" borderId="56" xfId="26" applyNumberFormat="1" applyFont="1" applyFill="1" applyBorder="1" applyAlignment="1">
      <alignment horizontal="center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5" fillId="2" borderId="55" xfId="14" applyFont="1" applyFill="1" applyBorder="1" applyAlignment="1">
      <alignment horizontal="center"/>
    </xf>
    <xf numFmtId="0" fontId="35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8" xfId="76" applyNumberFormat="1" applyFont="1" applyFill="1" applyBorder="1" applyAlignment="1">
      <alignment horizontal="center" vertical="center"/>
    </xf>
    <xf numFmtId="3" fontId="34" fillId="2" borderId="6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82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1" borderId="128" xfId="0" applyNumberFormat="1" applyFont="1" applyFill="1" applyBorder="1" applyAlignment="1">
      <alignment horizontal="right" vertical="top"/>
    </xf>
    <xf numFmtId="3" fontId="36" fillId="11" borderId="129" xfId="0" applyNumberFormat="1" applyFont="1" applyFill="1" applyBorder="1" applyAlignment="1">
      <alignment horizontal="right" vertical="top"/>
    </xf>
    <xf numFmtId="176" fontId="36" fillId="11" borderId="130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176" fontId="36" fillId="11" borderId="131" xfId="0" applyNumberFormat="1" applyFont="1" applyFill="1" applyBorder="1" applyAlignment="1">
      <alignment horizontal="right" vertical="top"/>
    </xf>
    <xf numFmtId="3" fontId="38" fillId="11" borderId="133" xfId="0" applyNumberFormat="1" applyFont="1" applyFill="1" applyBorder="1" applyAlignment="1">
      <alignment horizontal="right" vertical="top"/>
    </xf>
    <xf numFmtId="3" fontId="38" fillId="11" borderId="134" xfId="0" applyNumberFormat="1" applyFont="1" applyFill="1" applyBorder="1" applyAlignment="1">
      <alignment horizontal="right" vertical="top"/>
    </xf>
    <xf numFmtId="0" fontId="38" fillId="11" borderId="135" xfId="0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0" fontId="38" fillId="11" borderId="136" xfId="0" applyFont="1" applyFill="1" applyBorder="1" applyAlignment="1">
      <alignment horizontal="right" vertical="top"/>
    </xf>
    <xf numFmtId="0" fontId="36" fillId="11" borderId="130" xfId="0" applyFont="1" applyFill="1" applyBorder="1" applyAlignment="1">
      <alignment horizontal="right" vertical="top"/>
    </xf>
    <xf numFmtId="0" fontId="36" fillId="11" borderId="131" xfId="0" applyFont="1" applyFill="1" applyBorder="1" applyAlignment="1">
      <alignment horizontal="right" vertical="top"/>
    </xf>
    <xf numFmtId="176" fontId="38" fillId="11" borderId="135" xfId="0" applyNumberFormat="1" applyFont="1" applyFill="1" applyBorder="1" applyAlignment="1">
      <alignment horizontal="right" vertical="top"/>
    </xf>
    <xf numFmtId="176" fontId="38" fillId="11" borderId="136" xfId="0" applyNumberFormat="1" applyFont="1" applyFill="1" applyBorder="1" applyAlignment="1">
      <alignment horizontal="right" vertical="top"/>
    </xf>
    <xf numFmtId="3" fontId="38" fillId="0" borderId="137" xfId="0" applyNumberFormat="1" applyFont="1" applyBorder="1" applyAlignment="1">
      <alignment horizontal="right" vertical="top"/>
    </xf>
    <xf numFmtId="3" fontId="38" fillId="0" borderId="138" xfId="0" applyNumberFormat="1" applyFont="1" applyBorder="1" applyAlignment="1">
      <alignment horizontal="right" vertical="top"/>
    </xf>
    <xf numFmtId="3" fontId="38" fillId="0" borderId="139" xfId="0" applyNumberFormat="1" applyFont="1" applyBorder="1" applyAlignment="1">
      <alignment horizontal="right" vertical="top"/>
    </xf>
    <xf numFmtId="176" fontId="38" fillId="11" borderId="140" xfId="0" applyNumberFormat="1" applyFont="1" applyFill="1" applyBorder="1" applyAlignment="1">
      <alignment horizontal="right" vertical="top"/>
    </xf>
    <xf numFmtId="0" fontId="40" fillId="12" borderId="127" xfId="0" applyFont="1" applyFill="1" applyBorder="1" applyAlignment="1">
      <alignment vertical="top"/>
    </xf>
    <xf numFmtId="0" fontId="40" fillId="12" borderId="127" xfId="0" applyFont="1" applyFill="1" applyBorder="1" applyAlignment="1">
      <alignment vertical="top" indent="2"/>
    </xf>
    <xf numFmtId="0" fontId="40" fillId="12" borderId="127" xfId="0" applyFont="1" applyFill="1" applyBorder="1" applyAlignment="1">
      <alignment vertical="top" indent="4"/>
    </xf>
    <xf numFmtId="0" fontId="41" fillId="12" borderId="132" xfId="0" applyFont="1" applyFill="1" applyBorder="1" applyAlignment="1">
      <alignment vertical="top" indent="6"/>
    </xf>
    <xf numFmtId="0" fontId="40" fillId="12" borderId="127" xfId="0" applyFont="1" applyFill="1" applyBorder="1" applyAlignment="1">
      <alignment vertical="top" indent="8"/>
    </xf>
    <xf numFmtId="0" fontId="41" fillId="12" borderId="132" xfId="0" applyFont="1" applyFill="1" applyBorder="1" applyAlignment="1">
      <alignment vertical="top" indent="2"/>
    </xf>
    <xf numFmtId="0" fontId="40" fillId="12" borderId="127" xfId="0" applyFont="1" applyFill="1" applyBorder="1" applyAlignment="1">
      <alignment vertical="top" indent="6"/>
    </xf>
    <xf numFmtId="0" fontId="41" fillId="12" borderId="132" xfId="0" applyFont="1" applyFill="1" applyBorder="1" applyAlignment="1">
      <alignment vertical="top" indent="4"/>
    </xf>
    <xf numFmtId="0" fontId="35" fillId="12" borderId="127" xfId="0" applyFont="1" applyFill="1" applyBorder="1"/>
    <xf numFmtId="0" fontId="41" fillId="12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41" xfId="53" applyNumberFormat="1" applyFont="1" applyFill="1" applyBorder="1" applyAlignment="1">
      <alignment horizontal="left"/>
    </xf>
    <xf numFmtId="164" fontId="34" fillId="2" borderId="142" xfId="53" applyNumberFormat="1" applyFont="1" applyFill="1" applyBorder="1" applyAlignment="1">
      <alignment horizontal="left"/>
    </xf>
    <xf numFmtId="164" fontId="34" fillId="2" borderId="65" xfId="53" applyNumberFormat="1" applyFont="1" applyFill="1" applyBorder="1" applyAlignment="1">
      <alignment horizontal="left"/>
    </xf>
    <xf numFmtId="3" fontId="34" fillId="2" borderId="65" xfId="53" applyNumberFormat="1" applyFont="1" applyFill="1" applyBorder="1" applyAlignment="1">
      <alignment horizontal="left"/>
    </xf>
    <xf numFmtId="3" fontId="34" fillId="2" borderId="73" xfId="53" applyNumberFormat="1" applyFont="1" applyFill="1" applyBorder="1" applyAlignment="1">
      <alignment horizontal="left"/>
    </xf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35" fillId="0" borderId="101" xfId="0" applyFont="1" applyFill="1" applyBorder="1"/>
    <xf numFmtId="0" fontId="35" fillId="0" borderId="102" xfId="0" applyFont="1" applyFill="1" applyBorder="1"/>
    <xf numFmtId="164" fontId="35" fillId="0" borderId="102" xfId="0" applyNumberFormat="1" applyFont="1" applyFill="1" applyBorder="1"/>
    <xf numFmtId="164" fontId="35" fillId="0" borderId="102" xfId="0" applyNumberFormat="1" applyFont="1" applyFill="1" applyBorder="1" applyAlignment="1">
      <alignment horizontal="right"/>
    </xf>
    <xf numFmtId="3" fontId="35" fillId="0" borderId="102" xfId="0" applyNumberFormat="1" applyFont="1" applyFill="1" applyBorder="1"/>
    <xf numFmtId="3" fontId="35" fillId="0" borderId="103" xfId="0" applyNumberFormat="1" applyFont="1" applyFill="1" applyBorder="1"/>
    <xf numFmtId="0" fontId="35" fillId="0" borderId="94" xfId="0" applyFont="1" applyFill="1" applyBorder="1"/>
    <xf numFmtId="0" fontId="35" fillId="0" borderId="95" xfId="0" applyFont="1" applyFill="1" applyBorder="1"/>
    <xf numFmtId="164" fontId="35" fillId="0" borderId="95" xfId="0" applyNumberFormat="1" applyFont="1" applyFill="1" applyBorder="1"/>
    <xf numFmtId="164" fontId="35" fillId="0" borderId="95" xfId="0" applyNumberFormat="1" applyFont="1" applyFill="1" applyBorder="1" applyAlignment="1">
      <alignment horizontal="right"/>
    </xf>
    <xf numFmtId="3" fontId="35" fillId="0" borderId="95" xfId="0" applyNumberFormat="1" applyFont="1" applyFill="1" applyBorder="1"/>
    <xf numFmtId="3" fontId="35" fillId="0" borderId="96" xfId="0" applyNumberFormat="1" applyFont="1" applyFill="1" applyBorder="1"/>
    <xf numFmtId="0" fontId="42" fillId="2" borderId="141" xfId="0" applyFont="1" applyFill="1" applyBorder="1"/>
    <xf numFmtId="3" fontId="42" fillId="2" borderId="123" xfId="0" applyNumberFormat="1" applyFont="1" applyFill="1" applyBorder="1"/>
    <xf numFmtId="9" fontId="42" fillId="2" borderId="86" xfId="0" applyNumberFormat="1" applyFont="1" applyFill="1" applyBorder="1"/>
    <xf numFmtId="3" fontId="42" fillId="2" borderId="73" xfId="0" applyNumberFormat="1" applyFont="1" applyFill="1" applyBorder="1"/>
    <xf numFmtId="9" fontId="35" fillId="0" borderId="92" xfId="0" applyNumberFormat="1" applyFont="1" applyFill="1" applyBorder="1"/>
    <xf numFmtId="9" fontId="35" fillId="0" borderId="102" xfId="0" applyNumberFormat="1" applyFont="1" applyFill="1" applyBorder="1"/>
    <xf numFmtId="9" fontId="35" fillId="0" borderId="95" xfId="0" applyNumberFormat="1" applyFont="1" applyFill="1" applyBorder="1"/>
    <xf numFmtId="3" fontId="35" fillId="0" borderId="108" xfId="0" applyNumberFormat="1" applyFont="1" applyFill="1" applyBorder="1"/>
    <xf numFmtId="9" fontId="35" fillId="0" borderId="108" xfId="0" applyNumberFormat="1" applyFont="1" applyFill="1" applyBorder="1"/>
    <xf numFmtId="3" fontId="35" fillId="0" borderId="109" xfId="0" applyNumberFormat="1" applyFont="1" applyFill="1" applyBorder="1"/>
    <xf numFmtId="0" fontId="42" fillId="12" borderId="22" xfId="0" applyFont="1" applyFill="1" applyBorder="1"/>
    <xf numFmtId="3" fontId="42" fillId="12" borderId="30" xfId="0" applyNumberFormat="1" applyFont="1" applyFill="1" applyBorder="1"/>
    <xf numFmtId="9" fontId="42" fillId="12" borderId="30" xfId="0" applyNumberFormat="1" applyFont="1" applyFill="1" applyBorder="1"/>
    <xf numFmtId="3" fontId="42" fillId="12" borderId="23" xfId="0" applyNumberFormat="1" applyFont="1" applyFill="1" applyBorder="1"/>
    <xf numFmtId="0" fontId="42" fillId="0" borderId="91" xfId="0" applyFont="1" applyFill="1" applyBorder="1"/>
    <xf numFmtId="0" fontId="42" fillId="0" borderId="101" xfId="0" applyFont="1" applyFill="1" applyBorder="1"/>
    <xf numFmtId="0" fontId="42" fillId="0" borderId="124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42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41" xfId="79" applyFont="1" applyFill="1" applyBorder="1" applyAlignment="1">
      <alignment horizontal="left"/>
    </xf>
    <xf numFmtId="3" fontId="3" fillId="2" borderId="108" xfId="80" applyNumberFormat="1" applyFont="1" applyFill="1" applyBorder="1"/>
    <xf numFmtId="3" fontId="3" fillId="2" borderId="109" xfId="80" applyNumberFormat="1" applyFont="1" applyFill="1" applyBorder="1"/>
    <xf numFmtId="9" fontId="3" fillId="2" borderId="107" xfId="80" applyNumberFormat="1" applyFont="1" applyFill="1" applyBorder="1"/>
    <xf numFmtId="9" fontId="3" fillId="2" borderId="108" xfId="80" applyNumberFormat="1" applyFont="1" applyFill="1" applyBorder="1"/>
    <xf numFmtId="9" fontId="3" fillId="2" borderId="109" xfId="80" applyNumberFormat="1" applyFont="1" applyFill="1" applyBorder="1"/>
    <xf numFmtId="9" fontId="35" fillId="0" borderId="93" xfId="0" applyNumberFormat="1" applyFont="1" applyFill="1" applyBorder="1"/>
    <xf numFmtId="9" fontId="35" fillId="0" borderId="103" xfId="0" applyNumberFormat="1" applyFont="1" applyFill="1" applyBorder="1"/>
    <xf numFmtId="9" fontId="35" fillId="0" borderId="96" xfId="0" applyNumberFormat="1" applyFont="1" applyFill="1" applyBorder="1"/>
    <xf numFmtId="0" fontId="42" fillId="0" borderId="119" xfId="0" applyFont="1" applyFill="1" applyBorder="1"/>
    <xf numFmtId="0" fontId="42" fillId="0" borderId="145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4" xfId="0" applyNumberFormat="1" applyFont="1" applyFill="1" applyBorder="1"/>
    <xf numFmtId="9" fontId="35" fillId="0" borderId="104" xfId="0" applyNumberFormat="1" applyFont="1" applyFill="1" applyBorder="1"/>
    <xf numFmtId="9" fontId="35" fillId="0" borderId="112" xfId="0" applyNumberFormat="1" applyFont="1" applyFill="1" applyBorder="1"/>
    <xf numFmtId="3" fontId="35" fillId="0" borderId="91" xfId="0" applyNumberFormat="1" applyFont="1" applyFill="1" applyBorder="1"/>
    <xf numFmtId="3" fontId="35" fillId="0" borderId="101" xfId="0" applyNumberFormat="1" applyFont="1" applyFill="1" applyBorder="1"/>
    <xf numFmtId="3" fontId="35" fillId="0" borderId="94" xfId="0" applyNumberFormat="1" applyFont="1" applyFill="1" applyBorder="1"/>
    <xf numFmtId="9" fontId="35" fillId="0" borderId="146" xfId="0" applyNumberFormat="1" applyFont="1" applyFill="1" applyBorder="1"/>
    <xf numFmtId="9" fontId="35" fillId="0" borderId="116" xfId="0" applyNumberFormat="1" applyFont="1" applyFill="1" applyBorder="1"/>
    <xf numFmtId="9" fontId="35" fillId="0" borderId="147" xfId="0" applyNumberFormat="1" applyFont="1" applyFill="1" applyBorder="1"/>
    <xf numFmtId="9" fontId="32" fillId="0" borderId="0" xfId="0" applyNumberFormat="1" applyFont="1" applyFill="1" applyBorder="1"/>
    <xf numFmtId="0" fontId="68" fillId="0" borderId="0" xfId="0" applyFont="1" applyFill="1"/>
    <xf numFmtId="0" fontId="69" fillId="0" borderId="0" xfId="0" applyFont="1" applyFill="1"/>
    <xf numFmtId="0" fontId="42" fillId="12" borderId="119" xfId="0" applyFont="1" applyFill="1" applyBorder="1"/>
    <xf numFmtId="0" fontId="42" fillId="12" borderId="145" xfId="0" applyFont="1" applyFill="1" applyBorder="1"/>
    <xf numFmtId="0" fontId="42" fillId="12" borderId="118" xfId="0" applyFont="1" applyFill="1" applyBorder="1"/>
    <xf numFmtId="0" fontId="3" fillId="2" borderId="108" xfId="80" applyFont="1" applyFill="1" applyBorder="1"/>
    <xf numFmtId="3" fontId="35" fillId="0" borderId="146" xfId="0" applyNumberFormat="1" applyFont="1" applyFill="1" applyBorder="1"/>
    <xf numFmtId="3" fontId="35" fillId="0" borderId="116" xfId="0" applyNumberFormat="1" applyFont="1" applyFill="1" applyBorder="1"/>
    <xf numFmtId="3" fontId="35" fillId="0" borderId="147" xfId="0" applyNumberFormat="1" applyFont="1" applyFill="1" applyBorder="1"/>
    <xf numFmtId="0" fontId="35" fillId="0" borderId="119" xfId="0" applyFont="1" applyFill="1" applyBorder="1"/>
    <xf numFmtId="0" fontId="35" fillId="0" borderId="145" xfId="0" applyFont="1" applyFill="1" applyBorder="1"/>
    <xf numFmtId="0" fontId="35" fillId="0" borderId="118" xfId="0" applyFont="1" applyFill="1" applyBorder="1"/>
    <xf numFmtId="3" fontId="35" fillId="0" borderId="114" xfId="0" applyNumberFormat="1" applyFont="1" applyFill="1" applyBorder="1"/>
    <xf numFmtId="3" fontId="35" fillId="0" borderId="104" xfId="0" applyNumberFormat="1" applyFont="1" applyFill="1" applyBorder="1"/>
    <xf numFmtId="3" fontId="35" fillId="0" borderId="112" xfId="0" applyNumberFormat="1" applyFont="1" applyFill="1" applyBorder="1"/>
    <xf numFmtId="0" fontId="3" fillId="2" borderId="148" xfId="79" applyFont="1" applyFill="1" applyBorder="1" applyAlignment="1">
      <alignment horizontal="left"/>
    </xf>
    <xf numFmtId="0" fontId="3" fillId="2" borderId="149" xfId="79" applyFont="1" applyFill="1" applyBorder="1" applyAlignment="1">
      <alignment horizontal="left"/>
    </xf>
    <xf numFmtId="0" fontId="3" fillId="2" borderId="150" xfId="80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5" fillId="0" borderId="27" xfId="0" applyFont="1" applyFill="1" applyBorder="1"/>
    <xf numFmtId="0" fontId="35" fillId="0" borderId="32" xfId="0" applyFont="1" applyFill="1" applyBorder="1"/>
    <xf numFmtId="0" fontId="35" fillId="0" borderId="32" xfId="0" applyFont="1" applyFill="1" applyBorder="1" applyAlignment="1">
      <alignment horizontal="right"/>
    </xf>
    <xf numFmtId="0" fontId="35" fillId="0" borderId="32" xfId="0" applyFont="1" applyFill="1" applyBorder="1" applyAlignment="1">
      <alignment horizontal="left"/>
    </xf>
    <xf numFmtId="164" fontId="35" fillId="0" borderId="32" xfId="0" applyNumberFormat="1" applyFont="1" applyFill="1" applyBorder="1"/>
    <xf numFmtId="165" fontId="35" fillId="0" borderId="32" xfId="0" applyNumberFormat="1" applyFont="1" applyFill="1" applyBorder="1"/>
    <xf numFmtId="9" fontId="35" fillId="0" borderId="32" xfId="0" applyNumberFormat="1" applyFont="1" applyFill="1" applyBorder="1"/>
    <xf numFmtId="0" fontId="35" fillId="0" borderId="102" xfId="0" applyFont="1" applyFill="1" applyBorder="1" applyAlignment="1">
      <alignment horizontal="right"/>
    </xf>
    <xf numFmtId="0" fontId="35" fillId="0" borderId="102" xfId="0" applyFont="1" applyFill="1" applyBorder="1" applyAlignment="1">
      <alignment horizontal="left"/>
    </xf>
    <xf numFmtId="165" fontId="35" fillId="0" borderId="102" xfId="0" applyNumberFormat="1" applyFont="1" applyFill="1" applyBorder="1"/>
    <xf numFmtId="0" fontId="35" fillId="0" borderId="95" xfId="0" applyFont="1" applyFill="1" applyBorder="1" applyAlignment="1">
      <alignment horizontal="right"/>
    </xf>
    <xf numFmtId="0" fontId="35" fillId="0" borderId="95" xfId="0" applyFont="1" applyFill="1" applyBorder="1" applyAlignment="1">
      <alignment horizontal="left"/>
    </xf>
    <xf numFmtId="165" fontId="35" fillId="0" borderId="95" xfId="0" applyNumberFormat="1" applyFont="1" applyFill="1" applyBorder="1"/>
    <xf numFmtId="0" fontId="42" fillId="2" borderId="58" xfId="0" applyFont="1" applyFill="1" applyBorder="1"/>
    <xf numFmtId="3" fontId="35" fillId="0" borderId="28" xfId="0" applyNumberFormat="1" applyFont="1" applyFill="1" applyBorder="1"/>
    <xf numFmtId="0" fontId="42" fillId="0" borderId="27" xfId="0" applyFont="1" applyFill="1" applyBorder="1"/>
    <xf numFmtId="0" fontId="42" fillId="2" borderId="60" xfId="0" applyFont="1" applyFill="1" applyBorder="1"/>
    <xf numFmtId="164" fontId="34" fillId="2" borderId="58" xfId="53" applyNumberFormat="1" applyFont="1" applyFill="1" applyBorder="1" applyAlignment="1">
      <alignment horizontal="left"/>
    </xf>
    <xf numFmtId="164" fontId="34" fillId="2" borderId="60" xfId="53" applyNumberFormat="1" applyFont="1" applyFill="1" applyBorder="1" applyAlignment="1">
      <alignment horizontal="left"/>
    </xf>
    <xf numFmtId="164" fontId="35" fillId="0" borderId="32" xfId="0" applyNumberFormat="1" applyFont="1" applyFill="1" applyBorder="1" applyAlignment="1">
      <alignment horizontal="right"/>
    </xf>
    <xf numFmtId="0" fontId="35" fillId="2" borderId="73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9" fontId="34" fillId="2" borderId="0" xfId="26" quotePrefix="1" applyNumberFormat="1" applyFont="1" applyFill="1" applyBorder="1" applyAlignment="1">
      <alignment horizontal="right"/>
    </xf>
    <xf numFmtId="9" fontId="34" fillId="2" borderId="19" xfId="26" applyNumberFormat="1" applyFont="1" applyFill="1" applyBorder="1" applyAlignment="1">
      <alignment horizontal="right"/>
    </xf>
    <xf numFmtId="0" fontId="67" fillId="4" borderId="27" xfId="0" applyFont="1" applyFill="1" applyBorder="1" applyAlignment="1">
      <alignment horizontal="left"/>
    </xf>
    <xf numFmtId="169" fontId="67" fillId="4" borderId="32" xfId="0" applyNumberFormat="1" applyFont="1" applyFill="1" applyBorder="1"/>
    <xf numFmtId="9" fontId="67" fillId="4" borderId="32" xfId="0" applyNumberFormat="1" applyFont="1" applyFill="1" applyBorder="1"/>
    <xf numFmtId="9" fontId="67" fillId="4" borderId="28" xfId="0" applyNumberFormat="1" applyFont="1" applyFill="1" applyBorder="1"/>
    <xf numFmtId="169" fontId="0" fillId="0" borderId="102" xfId="0" applyNumberFormat="1" applyBorder="1"/>
    <xf numFmtId="9" fontId="0" fillId="0" borderId="102" xfId="0" applyNumberFormat="1" applyBorder="1"/>
    <xf numFmtId="9" fontId="0" fillId="0" borderId="103" xfId="0" applyNumberFormat="1" applyBorder="1"/>
    <xf numFmtId="169" fontId="0" fillId="0" borderId="95" xfId="0" applyNumberFormat="1" applyBorder="1"/>
    <xf numFmtId="9" fontId="0" fillId="0" borderId="95" xfId="0" applyNumberFormat="1" applyBorder="1"/>
    <xf numFmtId="9" fontId="0" fillId="0" borderId="96" xfId="0" applyNumberFormat="1" applyBorder="1"/>
    <xf numFmtId="0" fontId="67" fillId="0" borderId="101" xfId="0" applyFont="1" applyBorder="1" applyAlignment="1">
      <alignment horizontal="left" indent="1"/>
    </xf>
    <xf numFmtId="0" fontId="67" fillId="0" borderId="94" xfId="0" applyFont="1" applyBorder="1" applyAlignment="1">
      <alignment horizontal="left" indent="1"/>
    </xf>
    <xf numFmtId="0" fontId="34" fillId="2" borderId="19" xfId="26" applyNumberFormat="1" applyFont="1" applyFill="1" applyBorder="1"/>
    <xf numFmtId="169" fontId="35" fillId="0" borderId="32" xfId="0" applyNumberFormat="1" applyFont="1" applyFill="1" applyBorder="1"/>
    <xf numFmtId="169" fontId="35" fillId="0" borderId="28" xfId="0" applyNumberFormat="1" applyFont="1" applyFill="1" applyBorder="1"/>
    <xf numFmtId="169" fontId="35" fillId="0" borderId="102" xfId="0" applyNumberFormat="1" applyFont="1" applyFill="1" applyBorder="1"/>
    <xf numFmtId="169" fontId="35" fillId="0" borderId="103" xfId="0" applyNumberFormat="1" applyFont="1" applyFill="1" applyBorder="1"/>
    <xf numFmtId="169" fontId="35" fillId="0" borderId="95" xfId="0" applyNumberFormat="1" applyFont="1" applyFill="1" applyBorder="1"/>
    <xf numFmtId="169" fontId="35" fillId="0" borderId="96" xfId="0" applyNumberFormat="1" applyFont="1" applyFill="1" applyBorder="1"/>
    <xf numFmtId="0" fontId="42" fillId="0" borderId="94" xfId="0" applyFont="1" applyFill="1" applyBorder="1"/>
    <xf numFmtId="0" fontId="35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horizontal="left"/>
    </xf>
    <xf numFmtId="3" fontId="34" fillId="2" borderId="19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0" fontId="34" fillId="2" borderId="19" xfId="26" applyNumberFormat="1" applyFont="1" applyFill="1" applyBorder="1" applyAlignment="1">
      <alignment horizontal="right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9" xfId="0" applyNumberFormat="1" applyFont="1" applyFill="1" applyBorder="1" applyAlignment="1">
      <alignment horizontal="center" vertical="top"/>
    </xf>
    <xf numFmtId="166" fontId="5" fillId="0" borderId="144" xfId="0" applyNumberFormat="1" applyFont="1" applyBorder="1" applyAlignment="1">
      <alignment horizontal="right"/>
    </xf>
    <xf numFmtId="166" fontId="5" fillId="0" borderId="106" xfId="0" applyNumberFormat="1" applyFont="1" applyBorder="1" applyAlignment="1">
      <alignment horizontal="right"/>
    </xf>
    <xf numFmtId="3" fontId="12" fillId="0" borderId="144" xfId="0" applyNumberFormat="1" applyFont="1" applyBorder="1" applyAlignment="1">
      <alignment horizontal="right"/>
    </xf>
    <xf numFmtId="166" fontId="12" fillId="0" borderId="144" xfId="0" applyNumberFormat="1" applyFont="1" applyBorder="1" applyAlignment="1">
      <alignment horizontal="right"/>
    </xf>
    <xf numFmtId="166" fontId="12" fillId="0" borderId="106" xfId="0" applyNumberFormat="1" applyFont="1" applyBorder="1" applyAlignment="1">
      <alignment horizontal="right"/>
    </xf>
    <xf numFmtId="177" fontId="5" fillId="0" borderId="144" xfId="0" applyNumberFormat="1" applyFont="1" applyBorder="1" applyAlignment="1">
      <alignment horizontal="right"/>
    </xf>
    <xf numFmtId="3" fontId="5" fillId="0" borderId="144" xfId="0" applyNumberFormat="1" applyFont="1" applyBorder="1" applyAlignment="1">
      <alignment horizontal="right"/>
    </xf>
    <xf numFmtId="4" fontId="5" fillId="0" borderId="144" xfId="0" applyNumberFormat="1" applyFont="1" applyBorder="1" applyAlignment="1">
      <alignment horizontal="right"/>
    </xf>
    <xf numFmtId="3" fontId="5" fillId="0" borderId="144" xfId="0" applyNumberFormat="1" applyFont="1" applyBorder="1"/>
    <xf numFmtId="3" fontId="12" fillId="0" borderId="144" xfId="0" applyNumberFormat="1" applyFont="1" applyBorder="1"/>
    <xf numFmtId="166" fontId="12" fillId="0" borderId="144" xfId="0" applyNumberFormat="1" applyFont="1" applyBorder="1"/>
    <xf numFmtId="166" fontId="12" fillId="0" borderId="106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12" fillId="0" borderId="19" xfId="0" applyNumberFormat="1" applyFont="1" applyBorder="1" applyAlignment="1">
      <alignment horizontal="right"/>
    </xf>
    <xf numFmtId="166" fontId="11" fillId="0" borderId="19" xfId="0" applyNumberFormat="1" applyFont="1" applyBorder="1" applyAlignment="1">
      <alignment horizontal="right"/>
    </xf>
    <xf numFmtId="166" fontId="11" fillId="0" borderId="106" xfId="0" applyNumberFormat="1" applyFont="1" applyBorder="1" applyAlignment="1">
      <alignment horizontal="right"/>
    </xf>
    <xf numFmtId="166" fontId="12" fillId="0" borderId="19" xfId="0" applyNumberFormat="1" applyFont="1" applyBorder="1"/>
    <xf numFmtId="3" fontId="35" fillId="0" borderId="144" xfId="0" applyNumberFormat="1" applyFont="1" applyBorder="1"/>
    <xf numFmtId="166" fontId="35" fillId="0" borderId="144" xfId="0" applyNumberFormat="1" applyFont="1" applyBorder="1"/>
    <xf numFmtId="166" fontId="35" fillId="0" borderId="106" xfId="0" applyNumberFormat="1" applyFont="1" applyBorder="1"/>
    <xf numFmtId="3" fontId="35" fillId="0" borderId="144" xfId="0" applyNumberFormat="1" applyFont="1" applyBorder="1" applyAlignment="1">
      <alignment horizontal="right"/>
    </xf>
    <xf numFmtId="0" fontId="5" fillId="0" borderId="144" xfId="0" applyFont="1" applyBorder="1"/>
    <xf numFmtId="166" fontId="35" fillId="0" borderId="19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105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5" fillId="0" borderId="55" xfId="0" applyNumberFormat="1" applyFont="1" applyBorder="1"/>
    <xf numFmtId="166" fontId="35" fillId="0" borderId="55" xfId="0" applyNumberFormat="1" applyFont="1" applyBorder="1"/>
    <xf numFmtId="166" fontId="35" fillId="0" borderId="56" xfId="0" applyNumberFormat="1" applyFont="1" applyBorder="1"/>
    <xf numFmtId="3" fontId="3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12" fillId="0" borderId="55" xfId="0" applyNumberFormat="1" applyFont="1" applyBorder="1" applyAlignment="1">
      <alignment horizontal="right"/>
    </xf>
    <xf numFmtId="166" fontId="12" fillId="0" borderId="55" xfId="0" applyNumberFormat="1" applyFont="1" applyBorder="1" applyAlignment="1">
      <alignment horizontal="right"/>
    </xf>
    <xf numFmtId="166" fontId="12" fillId="0" borderId="56" xfId="0" applyNumberFormat="1" applyFont="1" applyBorder="1" applyAlignment="1">
      <alignment horizontal="right"/>
    </xf>
    <xf numFmtId="177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10" xfId="0" applyNumberFormat="1" applyFont="1" applyBorder="1" applyAlignment="1">
      <alignment horizontal="center"/>
    </xf>
    <xf numFmtId="3" fontId="12" fillId="0" borderId="152" xfId="0" applyNumberFormat="1" applyFont="1" applyBorder="1"/>
    <xf numFmtId="166" fontId="12" fillId="0" borderId="152" xfId="0" applyNumberFormat="1" applyFont="1" applyBorder="1"/>
    <xf numFmtId="166" fontId="12" fillId="0" borderId="111" xfId="0" applyNumberFormat="1" applyFont="1" applyBorder="1"/>
    <xf numFmtId="3" fontId="35" fillId="0" borderId="152" xfId="0" applyNumberFormat="1" applyFont="1" applyBorder="1" applyAlignment="1">
      <alignment horizontal="right"/>
    </xf>
    <xf numFmtId="166" fontId="5" fillId="0" borderId="152" xfId="0" applyNumberFormat="1" applyFont="1" applyBorder="1" applyAlignment="1">
      <alignment horizontal="right"/>
    </xf>
    <xf numFmtId="166" fontId="5" fillId="0" borderId="111" xfId="0" applyNumberFormat="1" applyFont="1" applyBorder="1" applyAlignment="1">
      <alignment horizontal="right"/>
    </xf>
    <xf numFmtId="3" fontId="5" fillId="0" borderId="152" xfId="0" applyNumberFormat="1" applyFont="1" applyBorder="1" applyAlignment="1">
      <alignment horizontal="right"/>
    </xf>
    <xf numFmtId="177" fontId="5" fillId="0" borderId="152" xfId="0" applyNumberFormat="1" applyFont="1" applyBorder="1" applyAlignment="1">
      <alignment horizontal="right"/>
    </xf>
    <xf numFmtId="4" fontId="5" fillId="0" borderId="152" xfId="0" applyNumberFormat="1" applyFont="1" applyBorder="1" applyAlignment="1">
      <alignment horizontal="right"/>
    </xf>
    <xf numFmtId="0" fontId="5" fillId="0" borderId="152" xfId="0" applyFont="1" applyBorder="1"/>
    <xf numFmtId="3" fontId="5" fillId="0" borderId="152" xfId="0" applyNumberFormat="1" applyFont="1" applyBorder="1"/>
    <xf numFmtId="3" fontId="5" fillId="0" borderId="56" xfId="0" applyNumberFormat="1" applyFont="1" applyBorder="1"/>
    <xf numFmtId="3" fontId="5" fillId="0" borderId="106" xfId="0" applyNumberFormat="1" applyFont="1" applyBorder="1"/>
    <xf numFmtId="3" fontId="5" fillId="0" borderId="19" xfId="0" applyNumberFormat="1" applyFont="1" applyBorder="1"/>
    <xf numFmtId="3" fontId="5" fillId="0" borderId="111" xfId="0" applyNumberFormat="1" applyFont="1" applyBorder="1"/>
    <xf numFmtId="3" fontId="11" fillId="0" borderId="105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5" fillId="0" borderId="144" xfId="0" applyNumberFormat="1" applyFont="1" applyBorder="1"/>
    <xf numFmtId="9" fontId="35" fillId="0" borderId="0" xfId="0" applyNumberFormat="1" applyFont="1" applyBorder="1"/>
    <xf numFmtId="3" fontId="35" fillId="0" borderId="143" xfId="0" applyNumberFormat="1" applyFont="1" applyBorder="1"/>
    <xf numFmtId="3" fontId="35" fillId="0" borderId="18" xfId="0" applyNumberFormat="1" applyFont="1" applyBorder="1"/>
    <xf numFmtId="3" fontId="35" fillId="0" borderId="69" xfId="0" applyNumberFormat="1" applyFont="1" applyBorder="1"/>
    <xf numFmtId="9" fontId="35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5" fillId="0" borderId="118" xfId="0" applyNumberFormat="1" applyFont="1" applyBorder="1"/>
    <xf numFmtId="3" fontId="35" fillId="0" borderId="152" xfId="0" applyNumberFormat="1" applyFont="1" applyBorder="1"/>
    <xf numFmtId="9" fontId="35" fillId="0" borderId="152" xfId="0" applyNumberFormat="1" applyFont="1" applyBorder="1"/>
    <xf numFmtId="3" fontId="11" fillId="0" borderId="110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5" xfId="76" applyNumberFormat="1" applyFont="1" applyFill="1" applyBorder="1" applyAlignment="1">
      <alignment horizontal="center" vertical="center"/>
    </xf>
    <xf numFmtId="3" fontId="34" fillId="2" borderId="65" xfId="76" applyNumberFormat="1" applyFont="1" applyFill="1" applyBorder="1" applyAlignment="1">
      <alignment horizontal="center" vertical="center"/>
    </xf>
    <xf numFmtId="0" fontId="32" fillId="0" borderId="27" xfId="76" applyFont="1" applyFill="1" applyBorder="1"/>
    <xf numFmtId="0" fontId="32" fillId="0" borderId="101" xfId="76" applyFont="1" applyFill="1" applyBorder="1"/>
    <xf numFmtId="0" fontId="32" fillId="0" borderId="94" xfId="76" applyFont="1" applyFill="1" applyBorder="1"/>
    <xf numFmtId="0" fontId="32" fillId="0" borderId="63" xfId="76" applyFont="1" applyFill="1" applyBorder="1"/>
    <xf numFmtId="0" fontId="32" fillId="0" borderId="116" xfId="76" applyFont="1" applyFill="1" applyBorder="1"/>
    <xf numFmtId="0" fontId="32" fillId="0" borderId="147" xfId="76" applyFont="1" applyFill="1" applyBorder="1"/>
    <xf numFmtId="0" fontId="34" fillId="2" borderId="108" xfId="76" applyNumberFormat="1" applyFont="1" applyFill="1" applyBorder="1" applyAlignment="1">
      <alignment horizontal="left"/>
    </xf>
    <xf numFmtId="0" fontId="34" fillId="2" borderId="153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32" xfId="76" applyNumberFormat="1" applyFont="1" applyFill="1" applyBorder="1"/>
    <xf numFmtId="3" fontId="32" fillId="0" borderId="101" xfId="76" applyNumberFormat="1" applyFont="1" applyFill="1" applyBorder="1"/>
    <xf numFmtId="3" fontId="32" fillId="0" borderId="102" xfId="76" applyNumberFormat="1" applyFont="1" applyFill="1" applyBorder="1"/>
    <xf numFmtId="3" fontId="32" fillId="0" borderId="94" xfId="76" applyNumberFormat="1" applyFont="1" applyFill="1" applyBorder="1"/>
    <xf numFmtId="3" fontId="32" fillId="0" borderId="95" xfId="76" applyNumberFormat="1" applyFont="1" applyFill="1" applyBorder="1"/>
    <xf numFmtId="9" fontId="32" fillId="0" borderId="63" xfId="76" applyNumberFormat="1" applyFont="1" applyFill="1" applyBorder="1"/>
    <xf numFmtId="9" fontId="32" fillId="0" borderId="116" xfId="76" applyNumberFormat="1" applyFont="1" applyFill="1" applyBorder="1"/>
    <xf numFmtId="9" fontId="32" fillId="0" borderId="147" xfId="76" applyNumberFormat="1" applyFont="1" applyFill="1" applyBorder="1"/>
    <xf numFmtId="0" fontId="34" fillId="2" borderId="107" xfId="76" applyNumberFormat="1" applyFont="1" applyFill="1" applyBorder="1" applyAlignment="1">
      <alignment horizontal="left"/>
    </xf>
    <xf numFmtId="0" fontId="34" fillId="2" borderId="109" xfId="76" applyNumberFormat="1" applyFont="1" applyFill="1" applyBorder="1" applyAlignment="1">
      <alignment horizontal="left"/>
    </xf>
    <xf numFmtId="3" fontId="32" fillId="0" borderId="28" xfId="76" applyNumberFormat="1" applyFont="1" applyFill="1" applyBorder="1"/>
    <xf numFmtId="3" fontId="32" fillId="0" borderId="103" xfId="76" applyNumberFormat="1" applyFont="1" applyFill="1" applyBorder="1"/>
    <xf numFmtId="3" fontId="32" fillId="0" borderId="96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0.97056359863241315</c:v>
                </c:pt>
                <c:pt idx="1">
                  <c:v>0.94173765230530171</c:v>
                </c:pt>
                <c:pt idx="2">
                  <c:v>1.0026933518264038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2038336"/>
        <c:axId val="153204976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1.0090918394037858</c:v>
                </c:pt>
                <c:pt idx="1">
                  <c:v>1.0090918394037858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2044320"/>
        <c:axId val="1532044864"/>
      </c:scatterChart>
      <c:catAx>
        <c:axId val="1532038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320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320497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32038336"/>
        <c:crosses val="autoZero"/>
        <c:crossBetween val="between"/>
      </c:valAx>
      <c:valAx>
        <c:axId val="153204432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32044864"/>
        <c:crosses val="max"/>
        <c:crossBetween val="midCat"/>
      </c:valAx>
      <c:valAx>
        <c:axId val="15320448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3204432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0.82367149758454106</c:v>
                </c:pt>
                <c:pt idx="1">
                  <c:v>0.81459776238678738</c:v>
                </c:pt>
                <c:pt idx="2">
                  <c:v>0.77136407610448243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8131488"/>
        <c:axId val="168814128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8135840"/>
        <c:axId val="1688144544"/>
      </c:scatterChart>
      <c:catAx>
        <c:axId val="1688131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8814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881412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688131488"/>
        <c:crosses val="autoZero"/>
        <c:crossBetween val="between"/>
      </c:valAx>
      <c:valAx>
        <c:axId val="16881358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688144544"/>
        <c:crosses val="max"/>
        <c:crossBetween val="midCat"/>
      </c:valAx>
      <c:valAx>
        <c:axId val="168814454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68813584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26" t="s">
        <v>132</v>
      </c>
      <c r="B1" s="526"/>
    </row>
    <row r="2" spans="1:3" ht="14.4" customHeight="1" thickBot="1" x14ac:dyDescent="0.35">
      <c r="A2" s="374" t="s">
        <v>323</v>
      </c>
      <c r="B2" s="50"/>
    </row>
    <row r="3" spans="1:3" ht="14.4" customHeight="1" thickBot="1" x14ac:dyDescent="0.35">
      <c r="A3" s="522" t="s">
        <v>182</v>
      </c>
      <c r="B3" s="523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151</v>
      </c>
      <c r="C4" s="51" t="s">
        <v>152</v>
      </c>
    </row>
    <row r="5" spans="1:3" ht="14.4" customHeight="1" x14ac:dyDescent="0.3">
      <c r="A5" s="265" t="str">
        <f t="shared" si="0"/>
        <v>HI</v>
      </c>
      <c r="B5" s="179" t="s">
        <v>175</v>
      </c>
      <c r="C5" s="51" t="s">
        <v>136</v>
      </c>
    </row>
    <row r="6" spans="1:3" ht="14.4" customHeight="1" x14ac:dyDescent="0.3">
      <c r="A6" s="266" t="str">
        <f t="shared" si="0"/>
        <v>HI Graf</v>
      </c>
      <c r="B6" s="180" t="s">
        <v>128</v>
      </c>
      <c r="C6" s="51" t="s">
        <v>137</v>
      </c>
    </row>
    <row r="7" spans="1:3" ht="14.4" customHeight="1" x14ac:dyDescent="0.3">
      <c r="A7" s="266" t="str">
        <f t="shared" si="0"/>
        <v>Man Tab</v>
      </c>
      <c r="B7" s="180" t="s">
        <v>325</v>
      </c>
      <c r="C7" s="51" t="s">
        <v>138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24" t="s">
        <v>133</v>
      </c>
      <c r="B10" s="523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176</v>
      </c>
      <c r="C11" s="51" t="s">
        <v>139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205</v>
      </c>
      <c r="C12" s="51" t="s">
        <v>140</v>
      </c>
    </row>
    <row r="13" spans="1:3" ht="28.8" customHeight="1" x14ac:dyDescent="0.3">
      <c r="A13" s="266" t="str">
        <f t="shared" si="2"/>
        <v>LŽ PL</v>
      </c>
      <c r="B13" s="753" t="s">
        <v>206</v>
      </c>
      <c r="C13" s="51" t="s">
        <v>186</v>
      </c>
    </row>
    <row r="14" spans="1:3" ht="14.4" customHeight="1" x14ac:dyDescent="0.3">
      <c r="A14" s="266" t="str">
        <f t="shared" si="2"/>
        <v>LŽ PL Detail</v>
      </c>
      <c r="B14" s="180" t="s">
        <v>1884</v>
      </c>
      <c r="C14" s="51" t="s">
        <v>188</v>
      </c>
    </row>
    <row r="15" spans="1:3" ht="14.4" customHeight="1" x14ac:dyDescent="0.3">
      <c r="A15" s="266" t="str">
        <f t="shared" si="2"/>
        <v>LŽ Statim</v>
      </c>
      <c r="B15" s="439" t="s">
        <v>255</v>
      </c>
      <c r="C15" s="51" t="s">
        <v>265</v>
      </c>
    </row>
    <row r="16" spans="1:3" ht="14.4" customHeight="1" x14ac:dyDescent="0.3">
      <c r="A16" s="266" t="str">
        <f t="shared" si="2"/>
        <v>Léky Recepty</v>
      </c>
      <c r="B16" s="180" t="s">
        <v>177</v>
      </c>
      <c r="C16" s="51" t="s">
        <v>141</v>
      </c>
    </row>
    <row r="17" spans="1:3" ht="14.4" customHeight="1" x14ac:dyDescent="0.3">
      <c r="A17" s="266" t="str">
        <f t="shared" si="2"/>
        <v>LRp Lékaři</v>
      </c>
      <c r="B17" s="180" t="s">
        <v>191</v>
      </c>
      <c r="C17" s="51" t="s">
        <v>192</v>
      </c>
    </row>
    <row r="18" spans="1:3" ht="14.4" customHeight="1" x14ac:dyDescent="0.3">
      <c r="A18" s="266" t="str">
        <f t="shared" si="2"/>
        <v>LRp Detail</v>
      </c>
      <c r="B18" s="180" t="s">
        <v>2087</v>
      </c>
      <c r="C18" s="51" t="s">
        <v>142</v>
      </c>
    </row>
    <row r="19" spans="1:3" ht="28.8" customHeight="1" x14ac:dyDescent="0.3">
      <c r="A19" s="266" t="str">
        <f t="shared" si="2"/>
        <v>LRp PL</v>
      </c>
      <c r="B19" s="753" t="s">
        <v>2088</v>
      </c>
      <c r="C19" s="51" t="s">
        <v>187</v>
      </c>
    </row>
    <row r="20" spans="1:3" ht="14.4" customHeight="1" x14ac:dyDescent="0.3">
      <c r="A20" s="266" t="str">
        <f>HYPERLINK("#'"&amp;C20&amp;"'!A1",C20)</f>
        <v>LRp PL Detail</v>
      </c>
      <c r="B20" s="180" t="s">
        <v>2097</v>
      </c>
      <c r="C20" s="51" t="s">
        <v>189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178</v>
      </c>
      <c r="C21" s="51" t="s">
        <v>143</v>
      </c>
    </row>
    <row r="22" spans="1:3" ht="14.4" customHeight="1" x14ac:dyDescent="0.3">
      <c r="A22" s="266" t="str">
        <f t="shared" si="2"/>
        <v>MŽ Detail</v>
      </c>
      <c r="B22" s="180" t="s">
        <v>2968</v>
      </c>
      <c r="C22" s="51" t="s">
        <v>144</v>
      </c>
    </row>
    <row r="23" spans="1:3" ht="14.4" customHeight="1" thickBot="1" x14ac:dyDescent="0.35">
      <c r="A23" s="268" t="str">
        <f t="shared" si="2"/>
        <v>Osobní náklady</v>
      </c>
      <c r="B23" s="180" t="s">
        <v>130</v>
      </c>
      <c r="C23" s="51" t="s">
        <v>145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25" t="s">
        <v>134</v>
      </c>
      <c r="B25" s="523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2973</v>
      </c>
      <c r="C26" s="51" t="s">
        <v>153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2981</v>
      </c>
      <c r="C27" s="51" t="s">
        <v>268</v>
      </c>
    </row>
    <row r="28" spans="1:3" ht="14.4" customHeight="1" x14ac:dyDescent="0.3">
      <c r="A28" s="266" t="str">
        <f t="shared" si="4"/>
        <v>ZV Vykáz.-A Detail</v>
      </c>
      <c r="B28" s="180" t="s">
        <v>3041</v>
      </c>
      <c r="C28" s="51" t="s">
        <v>154</v>
      </c>
    </row>
    <row r="29" spans="1:3" ht="14.4" customHeight="1" x14ac:dyDescent="0.3">
      <c r="A29" s="474" t="str">
        <f>HYPERLINK("#'"&amp;C29&amp;"'!A1",C29)</f>
        <v>ZV Vykáz.-A Det.Lék.</v>
      </c>
      <c r="B29" s="180" t="s">
        <v>3042</v>
      </c>
      <c r="C29" s="51" t="s">
        <v>306</v>
      </c>
    </row>
    <row r="30" spans="1:3" ht="14.4" customHeight="1" x14ac:dyDescent="0.3">
      <c r="A30" s="266" t="str">
        <f t="shared" si="4"/>
        <v>ZV Vykáz.-H</v>
      </c>
      <c r="B30" s="180" t="s">
        <v>157</v>
      </c>
      <c r="C30" s="51" t="s">
        <v>155</v>
      </c>
    </row>
    <row r="31" spans="1:3" ht="14.4" customHeight="1" x14ac:dyDescent="0.3">
      <c r="A31" s="266" t="str">
        <f t="shared" si="4"/>
        <v>ZV Vykáz.-H Detail</v>
      </c>
      <c r="B31" s="180" t="s">
        <v>3605</v>
      </c>
      <c r="C31" s="51" t="s">
        <v>156</v>
      </c>
    </row>
    <row r="32" spans="1:3" ht="14.4" customHeight="1" x14ac:dyDescent="0.3">
      <c r="A32" s="269" t="str">
        <f t="shared" si="4"/>
        <v>CaseMix</v>
      </c>
      <c r="B32" s="180" t="s">
        <v>135</v>
      </c>
      <c r="C32" s="51" t="s">
        <v>146</v>
      </c>
    </row>
    <row r="33" spans="1:3" ht="14.4" customHeight="1" x14ac:dyDescent="0.3">
      <c r="A33" s="266" t="str">
        <f t="shared" si="4"/>
        <v>ALOS</v>
      </c>
      <c r="B33" s="180" t="s">
        <v>115</v>
      </c>
      <c r="C33" s="51" t="s">
        <v>86</v>
      </c>
    </row>
    <row r="34" spans="1:3" ht="14.4" customHeight="1" x14ac:dyDescent="0.3">
      <c r="A34" s="266" t="str">
        <f t="shared" si="4"/>
        <v>Total</v>
      </c>
      <c r="B34" s="180" t="s">
        <v>3706</v>
      </c>
      <c r="C34" s="51" t="s">
        <v>147</v>
      </c>
    </row>
    <row r="35" spans="1:3" ht="14.4" customHeight="1" x14ac:dyDescent="0.3">
      <c r="A35" s="266" t="str">
        <f t="shared" si="4"/>
        <v>ZV Vyžád.</v>
      </c>
      <c r="B35" s="180" t="s">
        <v>158</v>
      </c>
      <c r="C35" s="51" t="s">
        <v>150</v>
      </c>
    </row>
    <row r="36" spans="1:3" ht="14.4" customHeight="1" x14ac:dyDescent="0.3">
      <c r="A36" s="266" t="str">
        <f t="shared" si="4"/>
        <v>ZV Vyžád. Detail</v>
      </c>
      <c r="B36" s="180" t="s">
        <v>4245</v>
      </c>
      <c r="C36" s="51" t="s">
        <v>149</v>
      </c>
    </row>
    <row r="37" spans="1:3" ht="14.4" customHeight="1" x14ac:dyDescent="0.3">
      <c r="A37" s="266" t="str">
        <f t="shared" si="4"/>
        <v>OD TISS</v>
      </c>
      <c r="B37" s="180" t="s">
        <v>181</v>
      </c>
      <c r="C37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1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" style="329" customWidth="1"/>
    <col min="11" max="11" width="6.77734375" style="332" bestFit="1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65" t="s">
        <v>1884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26"/>
      <c r="M1" s="526"/>
    </row>
    <row r="2" spans="1:13" ht="14.4" customHeight="1" thickBot="1" x14ac:dyDescent="0.35">
      <c r="A2" s="374" t="s">
        <v>323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83</v>
      </c>
      <c r="G3" s="47">
        <f>SUBTOTAL(9,G6:G1048576)</f>
        <v>8320.99768391828</v>
      </c>
      <c r="H3" s="48">
        <f>IF(M3=0,0,G3/M3)</f>
        <v>2.0583075360895743E-2</v>
      </c>
      <c r="I3" s="47">
        <f>SUBTOTAL(9,I6:I1048576)</f>
        <v>1424</v>
      </c>
      <c r="J3" s="47">
        <f>SUBTOTAL(9,J6:J1048576)</f>
        <v>395943.06577701261</v>
      </c>
      <c r="K3" s="48">
        <f>IF(M3=0,0,J3/M3)</f>
        <v>0.97941692463910424</v>
      </c>
      <c r="L3" s="47">
        <f>SUBTOTAL(9,L6:L1048576)</f>
        <v>1507</v>
      </c>
      <c r="M3" s="49">
        <f>SUBTOTAL(9,M6:M1048576)</f>
        <v>404264.06346093089</v>
      </c>
    </row>
    <row r="4" spans="1:13" ht="14.4" customHeight="1" thickBot="1" x14ac:dyDescent="0.35">
      <c r="A4" s="45"/>
      <c r="B4" s="45"/>
      <c r="C4" s="45"/>
      <c r="D4" s="45"/>
      <c r="E4" s="46"/>
      <c r="F4" s="569" t="s">
        <v>161</v>
      </c>
      <c r="G4" s="570"/>
      <c r="H4" s="571"/>
      <c r="I4" s="572" t="s">
        <v>160</v>
      </c>
      <c r="J4" s="570"/>
      <c r="K4" s="571"/>
      <c r="L4" s="573" t="s">
        <v>3</v>
      </c>
      <c r="M4" s="574"/>
    </row>
    <row r="5" spans="1:13" ht="14.4" customHeight="1" thickBot="1" x14ac:dyDescent="0.35">
      <c r="A5" s="736" t="s">
        <v>162</v>
      </c>
      <c r="B5" s="754" t="s">
        <v>163</v>
      </c>
      <c r="C5" s="754" t="s">
        <v>90</v>
      </c>
      <c r="D5" s="754" t="s">
        <v>164</v>
      </c>
      <c r="E5" s="754" t="s">
        <v>165</v>
      </c>
      <c r="F5" s="755" t="s">
        <v>28</v>
      </c>
      <c r="G5" s="755" t="s">
        <v>14</v>
      </c>
      <c r="H5" s="738" t="s">
        <v>166</v>
      </c>
      <c r="I5" s="737" t="s">
        <v>28</v>
      </c>
      <c r="J5" s="755" t="s">
        <v>14</v>
      </c>
      <c r="K5" s="738" t="s">
        <v>166</v>
      </c>
      <c r="L5" s="737" t="s">
        <v>28</v>
      </c>
      <c r="M5" s="756" t="s">
        <v>14</v>
      </c>
    </row>
    <row r="6" spans="1:13" ht="14.4" customHeight="1" x14ac:dyDescent="0.3">
      <c r="A6" s="718" t="s">
        <v>558</v>
      </c>
      <c r="B6" s="719" t="s">
        <v>1736</v>
      </c>
      <c r="C6" s="719" t="s">
        <v>816</v>
      </c>
      <c r="D6" s="719" t="s">
        <v>817</v>
      </c>
      <c r="E6" s="719" t="s">
        <v>1737</v>
      </c>
      <c r="F6" s="722"/>
      <c r="G6" s="722"/>
      <c r="H6" s="740">
        <v>0</v>
      </c>
      <c r="I6" s="722">
        <v>9</v>
      </c>
      <c r="J6" s="722">
        <v>606.52</v>
      </c>
      <c r="K6" s="740">
        <v>1</v>
      </c>
      <c r="L6" s="722">
        <v>9</v>
      </c>
      <c r="M6" s="723">
        <v>606.52</v>
      </c>
    </row>
    <row r="7" spans="1:13" ht="14.4" customHeight="1" x14ac:dyDescent="0.3">
      <c r="A7" s="724" t="s">
        <v>558</v>
      </c>
      <c r="B7" s="725" t="s">
        <v>1736</v>
      </c>
      <c r="C7" s="725" t="s">
        <v>822</v>
      </c>
      <c r="D7" s="725" t="s">
        <v>1738</v>
      </c>
      <c r="E7" s="725" t="s">
        <v>1739</v>
      </c>
      <c r="F7" s="728"/>
      <c r="G7" s="728"/>
      <c r="H7" s="741">
        <v>0</v>
      </c>
      <c r="I7" s="728">
        <v>3</v>
      </c>
      <c r="J7" s="728">
        <v>231.45000000000005</v>
      </c>
      <c r="K7" s="741">
        <v>1</v>
      </c>
      <c r="L7" s="728">
        <v>3</v>
      </c>
      <c r="M7" s="729">
        <v>231.45000000000005</v>
      </c>
    </row>
    <row r="8" spans="1:13" ht="14.4" customHeight="1" x14ac:dyDescent="0.3">
      <c r="A8" s="724" t="s">
        <v>558</v>
      </c>
      <c r="B8" s="725" t="s">
        <v>1740</v>
      </c>
      <c r="C8" s="725" t="s">
        <v>810</v>
      </c>
      <c r="D8" s="725" t="s">
        <v>1741</v>
      </c>
      <c r="E8" s="725" t="s">
        <v>1742</v>
      </c>
      <c r="F8" s="728"/>
      <c r="G8" s="728"/>
      <c r="H8" s="741">
        <v>0</v>
      </c>
      <c r="I8" s="728">
        <v>7</v>
      </c>
      <c r="J8" s="728">
        <v>403.89941424887832</v>
      </c>
      <c r="K8" s="741">
        <v>1</v>
      </c>
      <c r="L8" s="728">
        <v>7</v>
      </c>
      <c r="M8" s="729">
        <v>403.89941424887832</v>
      </c>
    </row>
    <row r="9" spans="1:13" ht="14.4" customHeight="1" x14ac:dyDescent="0.3">
      <c r="A9" s="724" t="s">
        <v>558</v>
      </c>
      <c r="B9" s="725" t="s">
        <v>1743</v>
      </c>
      <c r="C9" s="725" t="s">
        <v>813</v>
      </c>
      <c r="D9" s="725" t="s">
        <v>814</v>
      </c>
      <c r="E9" s="725" t="s">
        <v>1744</v>
      </c>
      <c r="F9" s="728"/>
      <c r="G9" s="728"/>
      <c r="H9" s="741">
        <v>0</v>
      </c>
      <c r="I9" s="728">
        <v>3</v>
      </c>
      <c r="J9" s="728">
        <v>9900</v>
      </c>
      <c r="K9" s="741">
        <v>1</v>
      </c>
      <c r="L9" s="728">
        <v>3</v>
      </c>
      <c r="M9" s="729">
        <v>9900</v>
      </c>
    </row>
    <row r="10" spans="1:13" ht="14.4" customHeight="1" x14ac:dyDescent="0.3">
      <c r="A10" s="724" t="s">
        <v>558</v>
      </c>
      <c r="B10" s="725" t="s">
        <v>1743</v>
      </c>
      <c r="C10" s="725" t="s">
        <v>819</v>
      </c>
      <c r="D10" s="725" t="s">
        <v>820</v>
      </c>
      <c r="E10" s="725" t="s">
        <v>1745</v>
      </c>
      <c r="F10" s="728"/>
      <c r="G10" s="728"/>
      <c r="H10" s="741">
        <v>0</v>
      </c>
      <c r="I10" s="728">
        <v>7</v>
      </c>
      <c r="J10" s="728">
        <v>2110.29</v>
      </c>
      <c r="K10" s="741">
        <v>1</v>
      </c>
      <c r="L10" s="728">
        <v>7</v>
      </c>
      <c r="M10" s="729">
        <v>2110.29</v>
      </c>
    </row>
    <row r="11" spans="1:13" ht="14.4" customHeight="1" x14ac:dyDescent="0.3">
      <c r="A11" s="724" t="s">
        <v>558</v>
      </c>
      <c r="B11" s="725" t="s">
        <v>1746</v>
      </c>
      <c r="C11" s="725" t="s">
        <v>794</v>
      </c>
      <c r="D11" s="725" t="s">
        <v>795</v>
      </c>
      <c r="E11" s="725" t="s">
        <v>1747</v>
      </c>
      <c r="F11" s="728"/>
      <c r="G11" s="728"/>
      <c r="H11" s="741">
        <v>0</v>
      </c>
      <c r="I11" s="728">
        <v>1</v>
      </c>
      <c r="J11" s="728">
        <v>21.67</v>
      </c>
      <c r="K11" s="741">
        <v>1</v>
      </c>
      <c r="L11" s="728">
        <v>1</v>
      </c>
      <c r="M11" s="729">
        <v>21.67</v>
      </c>
    </row>
    <row r="12" spans="1:13" ht="14.4" customHeight="1" x14ac:dyDescent="0.3">
      <c r="A12" s="724" t="s">
        <v>558</v>
      </c>
      <c r="B12" s="725" t="s">
        <v>1748</v>
      </c>
      <c r="C12" s="725" t="s">
        <v>783</v>
      </c>
      <c r="D12" s="725" t="s">
        <v>784</v>
      </c>
      <c r="E12" s="725" t="s">
        <v>1749</v>
      </c>
      <c r="F12" s="728"/>
      <c r="G12" s="728"/>
      <c r="H12" s="741">
        <v>0</v>
      </c>
      <c r="I12" s="728">
        <v>10</v>
      </c>
      <c r="J12" s="728">
        <v>347.5</v>
      </c>
      <c r="K12" s="741">
        <v>1</v>
      </c>
      <c r="L12" s="728">
        <v>10</v>
      </c>
      <c r="M12" s="729">
        <v>347.5</v>
      </c>
    </row>
    <row r="13" spans="1:13" ht="14.4" customHeight="1" x14ac:dyDescent="0.3">
      <c r="A13" s="724" t="s">
        <v>558</v>
      </c>
      <c r="B13" s="725" t="s">
        <v>1750</v>
      </c>
      <c r="C13" s="725" t="s">
        <v>844</v>
      </c>
      <c r="D13" s="725" t="s">
        <v>1476</v>
      </c>
      <c r="E13" s="725" t="s">
        <v>1751</v>
      </c>
      <c r="F13" s="728"/>
      <c r="G13" s="728"/>
      <c r="H13" s="741">
        <v>0</v>
      </c>
      <c r="I13" s="728">
        <v>1</v>
      </c>
      <c r="J13" s="728">
        <v>114.93000000000002</v>
      </c>
      <c r="K13" s="741">
        <v>1</v>
      </c>
      <c r="L13" s="728">
        <v>1</v>
      </c>
      <c r="M13" s="729">
        <v>114.93000000000002</v>
      </c>
    </row>
    <row r="14" spans="1:13" ht="14.4" customHeight="1" x14ac:dyDescent="0.3">
      <c r="A14" s="724" t="s">
        <v>558</v>
      </c>
      <c r="B14" s="725" t="s">
        <v>1752</v>
      </c>
      <c r="C14" s="725" t="s">
        <v>848</v>
      </c>
      <c r="D14" s="725" t="s">
        <v>1753</v>
      </c>
      <c r="E14" s="725" t="s">
        <v>1754</v>
      </c>
      <c r="F14" s="728"/>
      <c r="G14" s="728"/>
      <c r="H14" s="741">
        <v>0</v>
      </c>
      <c r="I14" s="728">
        <v>1</v>
      </c>
      <c r="J14" s="728">
        <v>285.24</v>
      </c>
      <c r="K14" s="741">
        <v>1</v>
      </c>
      <c r="L14" s="728">
        <v>1</v>
      </c>
      <c r="M14" s="729">
        <v>285.24</v>
      </c>
    </row>
    <row r="15" spans="1:13" ht="14.4" customHeight="1" x14ac:dyDescent="0.3">
      <c r="A15" s="724" t="s">
        <v>558</v>
      </c>
      <c r="B15" s="725" t="s">
        <v>1755</v>
      </c>
      <c r="C15" s="725" t="s">
        <v>798</v>
      </c>
      <c r="D15" s="725" t="s">
        <v>581</v>
      </c>
      <c r="E15" s="725" t="s">
        <v>1756</v>
      </c>
      <c r="F15" s="728"/>
      <c r="G15" s="728"/>
      <c r="H15" s="741">
        <v>0</v>
      </c>
      <c r="I15" s="728">
        <v>2</v>
      </c>
      <c r="J15" s="728">
        <v>117.48000000000002</v>
      </c>
      <c r="K15" s="741">
        <v>1</v>
      </c>
      <c r="L15" s="728">
        <v>2</v>
      </c>
      <c r="M15" s="729">
        <v>117.48000000000002</v>
      </c>
    </row>
    <row r="16" spans="1:13" ht="14.4" customHeight="1" x14ac:dyDescent="0.3">
      <c r="A16" s="724" t="s">
        <v>558</v>
      </c>
      <c r="B16" s="725" t="s">
        <v>1755</v>
      </c>
      <c r="C16" s="725" t="s">
        <v>580</v>
      </c>
      <c r="D16" s="725" t="s">
        <v>581</v>
      </c>
      <c r="E16" s="725" t="s">
        <v>1757</v>
      </c>
      <c r="F16" s="728">
        <v>1</v>
      </c>
      <c r="G16" s="728">
        <v>103.31999999999998</v>
      </c>
      <c r="H16" s="741">
        <v>1</v>
      </c>
      <c r="I16" s="728"/>
      <c r="J16" s="728"/>
      <c r="K16" s="741">
        <v>0</v>
      </c>
      <c r="L16" s="728">
        <v>1</v>
      </c>
      <c r="M16" s="729">
        <v>103.31999999999998</v>
      </c>
    </row>
    <row r="17" spans="1:13" ht="14.4" customHeight="1" x14ac:dyDescent="0.3">
      <c r="A17" s="724" t="s">
        <v>558</v>
      </c>
      <c r="B17" s="725" t="s">
        <v>1758</v>
      </c>
      <c r="C17" s="725" t="s">
        <v>804</v>
      </c>
      <c r="D17" s="725" t="s">
        <v>805</v>
      </c>
      <c r="E17" s="725" t="s">
        <v>1759</v>
      </c>
      <c r="F17" s="728"/>
      <c r="G17" s="728"/>
      <c r="H17" s="741">
        <v>0</v>
      </c>
      <c r="I17" s="728">
        <v>1</v>
      </c>
      <c r="J17" s="728">
        <v>38.970000000000013</v>
      </c>
      <c r="K17" s="741">
        <v>1</v>
      </c>
      <c r="L17" s="728">
        <v>1</v>
      </c>
      <c r="M17" s="729">
        <v>38.970000000000013</v>
      </c>
    </row>
    <row r="18" spans="1:13" ht="14.4" customHeight="1" x14ac:dyDescent="0.3">
      <c r="A18" s="724" t="s">
        <v>558</v>
      </c>
      <c r="B18" s="725" t="s">
        <v>1758</v>
      </c>
      <c r="C18" s="725" t="s">
        <v>808</v>
      </c>
      <c r="D18" s="725" t="s">
        <v>805</v>
      </c>
      <c r="E18" s="725" t="s">
        <v>1760</v>
      </c>
      <c r="F18" s="728"/>
      <c r="G18" s="728"/>
      <c r="H18" s="741">
        <v>0</v>
      </c>
      <c r="I18" s="728">
        <v>8</v>
      </c>
      <c r="J18" s="728">
        <v>934.48060590849786</v>
      </c>
      <c r="K18" s="741">
        <v>1</v>
      </c>
      <c r="L18" s="728">
        <v>8</v>
      </c>
      <c r="M18" s="729">
        <v>934.48060590849786</v>
      </c>
    </row>
    <row r="19" spans="1:13" ht="14.4" customHeight="1" x14ac:dyDescent="0.3">
      <c r="A19" s="724" t="s">
        <v>558</v>
      </c>
      <c r="B19" s="725" t="s">
        <v>1758</v>
      </c>
      <c r="C19" s="725" t="s">
        <v>577</v>
      </c>
      <c r="D19" s="725" t="s">
        <v>578</v>
      </c>
      <c r="E19" s="725" t="s">
        <v>1761</v>
      </c>
      <c r="F19" s="728">
        <v>23</v>
      </c>
      <c r="G19" s="728">
        <v>1070.42</v>
      </c>
      <c r="H19" s="741">
        <v>1</v>
      </c>
      <c r="I19" s="728"/>
      <c r="J19" s="728"/>
      <c r="K19" s="741">
        <v>0</v>
      </c>
      <c r="L19" s="728">
        <v>23</v>
      </c>
      <c r="M19" s="729">
        <v>1070.42</v>
      </c>
    </row>
    <row r="20" spans="1:13" ht="14.4" customHeight="1" x14ac:dyDescent="0.3">
      <c r="A20" s="724" t="s">
        <v>558</v>
      </c>
      <c r="B20" s="725" t="s">
        <v>1762</v>
      </c>
      <c r="C20" s="725" t="s">
        <v>791</v>
      </c>
      <c r="D20" s="725" t="s">
        <v>1763</v>
      </c>
      <c r="E20" s="725" t="s">
        <v>1764</v>
      </c>
      <c r="F20" s="728"/>
      <c r="G20" s="728"/>
      <c r="H20" s="741">
        <v>0</v>
      </c>
      <c r="I20" s="728">
        <v>51</v>
      </c>
      <c r="J20" s="728">
        <v>2274.0920981233821</v>
      </c>
      <c r="K20" s="741">
        <v>1</v>
      </c>
      <c r="L20" s="728">
        <v>51</v>
      </c>
      <c r="M20" s="729">
        <v>2274.0920981233821</v>
      </c>
    </row>
    <row r="21" spans="1:13" ht="14.4" customHeight="1" x14ac:dyDescent="0.3">
      <c r="A21" s="724" t="s">
        <v>558</v>
      </c>
      <c r="B21" s="725" t="s">
        <v>1762</v>
      </c>
      <c r="C21" s="725" t="s">
        <v>801</v>
      </c>
      <c r="D21" s="725" t="s">
        <v>1765</v>
      </c>
      <c r="E21" s="725" t="s">
        <v>1766</v>
      </c>
      <c r="F21" s="728"/>
      <c r="G21" s="728"/>
      <c r="H21" s="741">
        <v>0</v>
      </c>
      <c r="I21" s="728">
        <v>9</v>
      </c>
      <c r="J21" s="728">
        <v>511.92107056522059</v>
      </c>
      <c r="K21" s="741">
        <v>1</v>
      </c>
      <c r="L21" s="728">
        <v>9</v>
      </c>
      <c r="M21" s="729">
        <v>511.92107056522059</v>
      </c>
    </row>
    <row r="22" spans="1:13" ht="14.4" customHeight="1" x14ac:dyDescent="0.3">
      <c r="A22" s="724" t="s">
        <v>558</v>
      </c>
      <c r="B22" s="725" t="s">
        <v>1762</v>
      </c>
      <c r="C22" s="725" t="s">
        <v>779</v>
      </c>
      <c r="D22" s="725" t="s">
        <v>1765</v>
      </c>
      <c r="E22" s="725" t="s">
        <v>1767</v>
      </c>
      <c r="F22" s="728"/>
      <c r="G22" s="728"/>
      <c r="H22" s="741">
        <v>0</v>
      </c>
      <c r="I22" s="728">
        <v>24</v>
      </c>
      <c r="J22" s="728">
        <v>1365.1200000000003</v>
      </c>
      <c r="K22" s="741">
        <v>1</v>
      </c>
      <c r="L22" s="728">
        <v>24</v>
      </c>
      <c r="M22" s="729">
        <v>1365.1200000000003</v>
      </c>
    </row>
    <row r="23" spans="1:13" ht="14.4" customHeight="1" x14ac:dyDescent="0.3">
      <c r="A23" s="724" t="s">
        <v>558</v>
      </c>
      <c r="B23" s="725" t="s">
        <v>1768</v>
      </c>
      <c r="C23" s="725" t="s">
        <v>787</v>
      </c>
      <c r="D23" s="725" t="s">
        <v>788</v>
      </c>
      <c r="E23" s="725" t="s">
        <v>1769</v>
      </c>
      <c r="F23" s="728"/>
      <c r="G23" s="728"/>
      <c r="H23" s="741">
        <v>0</v>
      </c>
      <c r="I23" s="728">
        <v>2</v>
      </c>
      <c r="J23" s="728">
        <v>180.76000000000002</v>
      </c>
      <c r="K23" s="741">
        <v>1</v>
      </c>
      <c r="L23" s="728">
        <v>2</v>
      </c>
      <c r="M23" s="729">
        <v>180.76000000000002</v>
      </c>
    </row>
    <row r="24" spans="1:13" ht="14.4" customHeight="1" x14ac:dyDescent="0.3">
      <c r="A24" s="724" t="s">
        <v>563</v>
      </c>
      <c r="B24" s="725" t="s">
        <v>1770</v>
      </c>
      <c r="C24" s="725" t="s">
        <v>1041</v>
      </c>
      <c r="D24" s="725" t="s">
        <v>1042</v>
      </c>
      <c r="E24" s="725" t="s">
        <v>1771</v>
      </c>
      <c r="F24" s="728"/>
      <c r="G24" s="728"/>
      <c r="H24" s="741">
        <v>0</v>
      </c>
      <c r="I24" s="728">
        <v>1</v>
      </c>
      <c r="J24" s="728">
        <v>66.729928564801639</v>
      </c>
      <c r="K24" s="741">
        <v>1</v>
      </c>
      <c r="L24" s="728">
        <v>1</v>
      </c>
      <c r="M24" s="729">
        <v>66.729928564801639</v>
      </c>
    </row>
    <row r="25" spans="1:13" ht="14.4" customHeight="1" x14ac:dyDescent="0.3">
      <c r="A25" s="724" t="s">
        <v>563</v>
      </c>
      <c r="B25" s="725" t="s">
        <v>1772</v>
      </c>
      <c r="C25" s="725" t="s">
        <v>1034</v>
      </c>
      <c r="D25" s="725" t="s">
        <v>1035</v>
      </c>
      <c r="E25" s="725" t="s">
        <v>1773</v>
      </c>
      <c r="F25" s="728"/>
      <c r="G25" s="728"/>
      <c r="H25" s="741">
        <v>0</v>
      </c>
      <c r="I25" s="728">
        <v>1</v>
      </c>
      <c r="J25" s="728">
        <v>104.49999999999996</v>
      </c>
      <c r="K25" s="741">
        <v>1</v>
      </c>
      <c r="L25" s="728">
        <v>1</v>
      </c>
      <c r="M25" s="729">
        <v>104.49999999999996</v>
      </c>
    </row>
    <row r="26" spans="1:13" ht="14.4" customHeight="1" x14ac:dyDescent="0.3">
      <c r="A26" s="724" t="s">
        <v>563</v>
      </c>
      <c r="B26" s="725" t="s">
        <v>1743</v>
      </c>
      <c r="C26" s="725" t="s">
        <v>813</v>
      </c>
      <c r="D26" s="725" t="s">
        <v>814</v>
      </c>
      <c r="E26" s="725" t="s">
        <v>1744</v>
      </c>
      <c r="F26" s="728"/>
      <c r="G26" s="728"/>
      <c r="H26" s="741">
        <v>0</v>
      </c>
      <c r="I26" s="728">
        <v>5</v>
      </c>
      <c r="J26" s="728">
        <v>16500</v>
      </c>
      <c r="K26" s="741">
        <v>1</v>
      </c>
      <c r="L26" s="728">
        <v>5</v>
      </c>
      <c r="M26" s="729">
        <v>16500</v>
      </c>
    </row>
    <row r="27" spans="1:13" ht="14.4" customHeight="1" x14ac:dyDescent="0.3">
      <c r="A27" s="724" t="s">
        <v>563</v>
      </c>
      <c r="B27" s="725" t="s">
        <v>1743</v>
      </c>
      <c r="C27" s="725" t="s">
        <v>1056</v>
      </c>
      <c r="D27" s="725" t="s">
        <v>820</v>
      </c>
      <c r="E27" s="725" t="s">
        <v>1774</v>
      </c>
      <c r="F27" s="728"/>
      <c r="G27" s="728"/>
      <c r="H27" s="741">
        <v>0</v>
      </c>
      <c r="I27" s="728">
        <v>3</v>
      </c>
      <c r="J27" s="728">
        <v>1891.9784295836803</v>
      </c>
      <c r="K27" s="741">
        <v>1</v>
      </c>
      <c r="L27" s="728">
        <v>3</v>
      </c>
      <c r="M27" s="729">
        <v>1891.9784295836803</v>
      </c>
    </row>
    <row r="28" spans="1:13" ht="14.4" customHeight="1" x14ac:dyDescent="0.3">
      <c r="A28" s="724" t="s">
        <v>563</v>
      </c>
      <c r="B28" s="725" t="s">
        <v>1743</v>
      </c>
      <c r="C28" s="725" t="s">
        <v>1054</v>
      </c>
      <c r="D28" s="725" t="s">
        <v>820</v>
      </c>
      <c r="E28" s="725" t="s">
        <v>1775</v>
      </c>
      <c r="F28" s="728"/>
      <c r="G28" s="728"/>
      <c r="H28" s="741">
        <v>0</v>
      </c>
      <c r="I28" s="728">
        <v>15</v>
      </c>
      <c r="J28" s="728">
        <v>6134.245926668862</v>
      </c>
      <c r="K28" s="741">
        <v>1</v>
      </c>
      <c r="L28" s="728">
        <v>15</v>
      </c>
      <c r="M28" s="729">
        <v>6134.245926668862</v>
      </c>
    </row>
    <row r="29" spans="1:13" ht="14.4" customHeight="1" x14ac:dyDescent="0.3">
      <c r="A29" s="724" t="s">
        <v>563</v>
      </c>
      <c r="B29" s="725" t="s">
        <v>1743</v>
      </c>
      <c r="C29" s="725" t="s">
        <v>1013</v>
      </c>
      <c r="D29" s="725" t="s">
        <v>820</v>
      </c>
      <c r="E29" s="725" t="s">
        <v>1776</v>
      </c>
      <c r="F29" s="728"/>
      <c r="G29" s="728"/>
      <c r="H29" s="741">
        <v>0</v>
      </c>
      <c r="I29" s="728">
        <v>1</v>
      </c>
      <c r="J29" s="728">
        <v>721.2</v>
      </c>
      <c r="K29" s="741">
        <v>1</v>
      </c>
      <c r="L29" s="728">
        <v>1</v>
      </c>
      <c r="M29" s="729">
        <v>721.2</v>
      </c>
    </row>
    <row r="30" spans="1:13" ht="14.4" customHeight="1" x14ac:dyDescent="0.3">
      <c r="A30" s="724" t="s">
        <v>563</v>
      </c>
      <c r="B30" s="725" t="s">
        <v>1743</v>
      </c>
      <c r="C30" s="725" t="s">
        <v>1037</v>
      </c>
      <c r="D30" s="725" t="s">
        <v>1038</v>
      </c>
      <c r="E30" s="725" t="s">
        <v>1777</v>
      </c>
      <c r="F30" s="728"/>
      <c r="G30" s="728"/>
      <c r="H30" s="741">
        <v>0</v>
      </c>
      <c r="I30" s="728">
        <v>3</v>
      </c>
      <c r="J30" s="728">
        <v>818.58000000000015</v>
      </c>
      <c r="K30" s="741">
        <v>1</v>
      </c>
      <c r="L30" s="728">
        <v>3</v>
      </c>
      <c r="M30" s="729">
        <v>818.58000000000015</v>
      </c>
    </row>
    <row r="31" spans="1:13" ht="14.4" customHeight="1" x14ac:dyDescent="0.3">
      <c r="A31" s="724" t="s">
        <v>563</v>
      </c>
      <c r="B31" s="725" t="s">
        <v>1778</v>
      </c>
      <c r="C31" s="725" t="s">
        <v>1049</v>
      </c>
      <c r="D31" s="725" t="s">
        <v>1779</v>
      </c>
      <c r="E31" s="725" t="s">
        <v>1780</v>
      </c>
      <c r="F31" s="728"/>
      <c r="G31" s="728"/>
      <c r="H31" s="741">
        <v>0</v>
      </c>
      <c r="I31" s="728">
        <v>1</v>
      </c>
      <c r="J31" s="728">
        <v>70.039999999999992</v>
      </c>
      <c r="K31" s="741">
        <v>1</v>
      </c>
      <c r="L31" s="728">
        <v>1</v>
      </c>
      <c r="M31" s="729">
        <v>70.039999999999992</v>
      </c>
    </row>
    <row r="32" spans="1:13" ht="14.4" customHeight="1" x14ac:dyDescent="0.3">
      <c r="A32" s="724" t="s">
        <v>563</v>
      </c>
      <c r="B32" s="725" t="s">
        <v>1778</v>
      </c>
      <c r="C32" s="725" t="s">
        <v>1052</v>
      </c>
      <c r="D32" s="725" t="s">
        <v>1779</v>
      </c>
      <c r="E32" s="725" t="s">
        <v>1781</v>
      </c>
      <c r="F32" s="728"/>
      <c r="G32" s="728"/>
      <c r="H32" s="741">
        <v>0</v>
      </c>
      <c r="I32" s="728">
        <v>1</v>
      </c>
      <c r="J32" s="728">
        <v>140.08999999999995</v>
      </c>
      <c r="K32" s="741">
        <v>1</v>
      </c>
      <c r="L32" s="728">
        <v>1</v>
      </c>
      <c r="M32" s="729">
        <v>140.08999999999995</v>
      </c>
    </row>
    <row r="33" spans="1:13" ht="14.4" customHeight="1" x14ac:dyDescent="0.3">
      <c r="A33" s="724" t="s">
        <v>563</v>
      </c>
      <c r="B33" s="725" t="s">
        <v>1782</v>
      </c>
      <c r="C33" s="725" t="s">
        <v>1016</v>
      </c>
      <c r="D33" s="725" t="s">
        <v>1017</v>
      </c>
      <c r="E33" s="725" t="s">
        <v>1783</v>
      </c>
      <c r="F33" s="728"/>
      <c r="G33" s="728"/>
      <c r="H33" s="741">
        <v>0</v>
      </c>
      <c r="I33" s="728">
        <v>1</v>
      </c>
      <c r="J33" s="728">
        <v>39.479999999999976</v>
      </c>
      <c r="K33" s="741">
        <v>1</v>
      </c>
      <c r="L33" s="728">
        <v>1</v>
      </c>
      <c r="M33" s="729">
        <v>39.479999999999976</v>
      </c>
    </row>
    <row r="34" spans="1:13" ht="14.4" customHeight="1" x14ac:dyDescent="0.3">
      <c r="A34" s="724" t="s">
        <v>563</v>
      </c>
      <c r="B34" s="725" t="s">
        <v>1784</v>
      </c>
      <c r="C34" s="725" t="s">
        <v>1020</v>
      </c>
      <c r="D34" s="725" t="s">
        <v>1785</v>
      </c>
      <c r="E34" s="725" t="s">
        <v>1783</v>
      </c>
      <c r="F34" s="728"/>
      <c r="G34" s="728"/>
      <c r="H34" s="741">
        <v>0</v>
      </c>
      <c r="I34" s="728">
        <v>1</v>
      </c>
      <c r="J34" s="728">
        <v>44.120041843707398</v>
      </c>
      <c r="K34" s="741">
        <v>1</v>
      </c>
      <c r="L34" s="728">
        <v>1</v>
      </c>
      <c r="M34" s="729">
        <v>44.120041843707398</v>
      </c>
    </row>
    <row r="35" spans="1:13" ht="14.4" customHeight="1" x14ac:dyDescent="0.3">
      <c r="A35" s="724" t="s">
        <v>563</v>
      </c>
      <c r="B35" s="725" t="s">
        <v>1786</v>
      </c>
      <c r="C35" s="725" t="s">
        <v>1024</v>
      </c>
      <c r="D35" s="725" t="s">
        <v>1787</v>
      </c>
      <c r="E35" s="725" t="s">
        <v>1788</v>
      </c>
      <c r="F35" s="728"/>
      <c r="G35" s="728"/>
      <c r="H35" s="741">
        <v>0</v>
      </c>
      <c r="I35" s="728">
        <v>1</v>
      </c>
      <c r="J35" s="728">
        <v>107.46000000000002</v>
      </c>
      <c r="K35" s="741">
        <v>1</v>
      </c>
      <c r="L35" s="728">
        <v>1</v>
      </c>
      <c r="M35" s="729">
        <v>107.46000000000002</v>
      </c>
    </row>
    <row r="36" spans="1:13" ht="14.4" customHeight="1" x14ac:dyDescent="0.3">
      <c r="A36" s="724" t="s">
        <v>563</v>
      </c>
      <c r="B36" s="725" t="s">
        <v>1789</v>
      </c>
      <c r="C36" s="725" t="s">
        <v>1026</v>
      </c>
      <c r="D36" s="725" t="s">
        <v>1790</v>
      </c>
      <c r="E36" s="725" t="s">
        <v>1791</v>
      </c>
      <c r="F36" s="728"/>
      <c r="G36" s="728"/>
      <c r="H36" s="741">
        <v>0</v>
      </c>
      <c r="I36" s="728">
        <v>1</v>
      </c>
      <c r="J36" s="728">
        <v>92.839999999999989</v>
      </c>
      <c r="K36" s="741">
        <v>1</v>
      </c>
      <c r="L36" s="728">
        <v>1</v>
      </c>
      <c r="M36" s="729">
        <v>92.839999999999989</v>
      </c>
    </row>
    <row r="37" spans="1:13" ht="14.4" customHeight="1" x14ac:dyDescent="0.3">
      <c r="A37" s="724" t="s">
        <v>563</v>
      </c>
      <c r="B37" s="725" t="s">
        <v>1792</v>
      </c>
      <c r="C37" s="725" t="s">
        <v>1058</v>
      </c>
      <c r="D37" s="725" t="s">
        <v>1793</v>
      </c>
      <c r="E37" s="725" t="s">
        <v>1794</v>
      </c>
      <c r="F37" s="728">
        <v>16</v>
      </c>
      <c r="G37" s="728">
        <v>425.76</v>
      </c>
      <c r="H37" s="741">
        <v>1</v>
      </c>
      <c r="I37" s="728"/>
      <c r="J37" s="728"/>
      <c r="K37" s="741">
        <v>0</v>
      </c>
      <c r="L37" s="728">
        <v>16</v>
      </c>
      <c r="M37" s="729">
        <v>425.76</v>
      </c>
    </row>
    <row r="38" spans="1:13" ht="14.4" customHeight="1" x14ac:dyDescent="0.3">
      <c r="A38" s="724" t="s">
        <v>563</v>
      </c>
      <c r="B38" s="725" t="s">
        <v>1795</v>
      </c>
      <c r="C38" s="725" t="s">
        <v>1087</v>
      </c>
      <c r="D38" s="725" t="s">
        <v>1796</v>
      </c>
      <c r="E38" s="725" t="s">
        <v>1797</v>
      </c>
      <c r="F38" s="728"/>
      <c r="G38" s="728"/>
      <c r="H38" s="741">
        <v>0</v>
      </c>
      <c r="I38" s="728">
        <v>10</v>
      </c>
      <c r="J38" s="728">
        <v>561</v>
      </c>
      <c r="K38" s="741">
        <v>1</v>
      </c>
      <c r="L38" s="728">
        <v>10</v>
      </c>
      <c r="M38" s="729">
        <v>561</v>
      </c>
    </row>
    <row r="39" spans="1:13" ht="14.4" customHeight="1" x14ac:dyDescent="0.3">
      <c r="A39" s="724" t="s">
        <v>563</v>
      </c>
      <c r="B39" s="725" t="s">
        <v>1798</v>
      </c>
      <c r="C39" s="725" t="s">
        <v>1084</v>
      </c>
      <c r="D39" s="725" t="s">
        <v>1799</v>
      </c>
      <c r="E39" s="725" t="s">
        <v>1800</v>
      </c>
      <c r="F39" s="728"/>
      <c r="G39" s="728"/>
      <c r="H39" s="741">
        <v>0</v>
      </c>
      <c r="I39" s="728">
        <v>33</v>
      </c>
      <c r="J39" s="728">
        <v>969.21</v>
      </c>
      <c r="K39" s="741">
        <v>1</v>
      </c>
      <c r="L39" s="728">
        <v>33</v>
      </c>
      <c r="M39" s="729">
        <v>969.21</v>
      </c>
    </row>
    <row r="40" spans="1:13" ht="14.4" customHeight="1" x14ac:dyDescent="0.3">
      <c r="A40" s="724" t="s">
        <v>563</v>
      </c>
      <c r="B40" s="725" t="s">
        <v>1758</v>
      </c>
      <c r="C40" s="725" t="s">
        <v>577</v>
      </c>
      <c r="D40" s="725" t="s">
        <v>578</v>
      </c>
      <c r="E40" s="725" t="s">
        <v>1761</v>
      </c>
      <c r="F40" s="728">
        <v>3</v>
      </c>
      <c r="G40" s="728">
        <v>139.61999999999998</v>
      </c>
      <c r="H40" s="741">
        <v>1</v>
      </c>
      <c r="I40" s="728"/>
      <c r="J40" s="728"/>
      <c r="K40" s="741">
        <v>0</v>
      </c>
      <c r="L40" s="728">
        <v>3</v>
      </c>
      <c r="M40" s="729">
        <v>139.61999999999998</v>
      </c>
    </row>
    <row r="41" spans="1:13" ht="14.4" customHeight="1" x14ac:dyDescent="0.3">
      <c r="A41" s="724" t="s">
        <v>563</v>
      </c>
      <c r="B41" s="725" t="s">
        <v>1762</v>
      </c>
      <c r="C41" s="725" t="s">
        <v>791</v>
      </c>
      <c r="D41" s="725" t="s">
        <v>1763</v>
      </c>
      <c r="E41" s="725" t="s">
        <v>1764</v>
      </c>
      <c r="F41" s="728"/>
      <c r="G41" s="728"/>
      <c r="H41" s="741">
        <v>0</v>
      </c>
      <c r="I41" s="728">
        <v>70</v>
      </c>
      <c r="J41" s="728">
        <v>3121.3041962467641</v>
      </c>
      <c r="K41" s="741">
        <v>1</v>
      </c>
      <c r="L41" s="728">
        <v>70</v>
      </c>
      <c r="M41" s="729">
        <v>3121.3041962467641</v>
      </c>
    </row>
    <row r="42" spans="1:13" ht="14.4" customHeight="1" x14ac:dyDescent="0.3">
      <c r="A42" s="724" t="s">
        <v>563</v>
      </c>
      <c r="B42" s="725" t="s">
        <v>1762</v>
      </c>
      <c r="C42" s="725" t="s">
        <v>801</v>
      </c>
      <c r="D42" s="725" t="s">
        <v>1765</v>
      </c>
      <c r="E42" s="725" t="s">
        <v>1766</v>
      </c>
      <c r="F42" s="728"/>
      <c r="G42" s="728"/>
      <c r="H42" s="741">
        <v>0</v>
      </c>
      <c r="I42" s="728">
        <v>3</v>
      </c>
      <c r="J42" s="728">
        <v>170.64000000000001</v>
      </c>
      <c r="K42" s="741">
        <v>1</v>
      </c>
      <c r="L42" s="728">
        <v>3</v>
      </c>
      <c r="M42" s="729">
        <v>170.64000000000001</v>
      </c>
    </row>
    <row r="43" spans="1:13" ht="14.4" customHeight="1" x14ac:dyDescent="0.3">
      <c r="A43" s="724" t="s">
        <v>563</v>
      </c>
      <c r="B43" s="725" t="s">
        <v>1762</v>
      </c>
      <c r="C43" s="725" t="s">
        <v>779</v>
      </c>
      <c r="D43" s="725" t="s">
        <v>1765</v>
      </c>
      <c r="E43" s="725" t="s">
        <v>1767</v>
      </c>
      <c r="F43" s="728"/>
      <c r="G43" s="728"/>
      <c r="H43" s="741">
        <v>0</v>
      </c>
      <c r="I43" s="728">
        <v>19</v>
      </c>
      <c r="J43" s="728">
        <v>1080.7200000000003</v>
      </c>
      <c r="K43" s="741">
        <v>1</v>
      </c>
      <c r="L43" s="728">
        <v>19</v>
      </c>
      <c r="M43" s="729">
        <v>1080.7200000000003</v>
      </c>
    </row>
    <row r="44" spans="1:13" ht="14.4" customHeight="1" x14ac:dyDescent="0.3">
      <c r="A44" s="724" t="s">
        <v>563</v>
      </c>
      <c r="B44" s="725" t="s">
        <v>1801</v>
      </c>
      <c r="C44" s="725" t="s">
        <v>1030</v>
      </c>
      <c r="D44" s="725" t="s">
        <v>1802</v>
      </c>
      <c r="E44" s="725" t="s">
        <v>1803</v>
      </c>
      <c r="F44" s="728"/>
      <c r="G44" s="728"/>
      <c r="H44" s="741">
        <v>0</v>
      </c>
      <c r="I44" s="728">
        <v>1</v>
      </c>
      <c r="J44" s="728">
        <v>135.89000000000004</v>
      </c>
      <c r="K44" s="741">
        <v>1</v>
      </c>
      <c r="L44" s="728">
        <v>1</v>
      </c>
      <c r="M44" s="729">
        <v>135.89000000000004</v>
      </c>
    </row>
    <row r="45" spans="1:13" ht="14.4" customHeight="1" x14ac:dyDescent="0.3">
      <c r="A45" s="724" t="s">
        <v>563</v>
      </c>
      <c r="B45" s="725" t="s">
        <v>1804</v>
      </c>
      <c r="C45" s="725" t="s">
        <v>859</v>
      </c>
      <c r="D45" s="725" t="s">
        <v>1805</v>
      </c>
      <c r="E45" s="725" t="s">
        <v>1806</v>
      </c>
      <c r="F45" s="728">
        <v>1</v>
      </c>
      <c r="G45" s="728">
        <v>220.95</v>
      </c>
      <c r="H45" s="741">
        <v>1</v>
      </c>
      <c r="I45" s="728"/>
      <c r="J45" s="728"/>
      <c r="K45" s="741">
        <v>0</v>
      </c>
      <c r="L45" s="728">
        <v>1</v>
      </c>
      <c r="M45" s="729">
        <v>220.95</v>
      </c>
    </row>
    <row r="46" spans="1:13" ht="14.4" customHeight="1" x14ac:dyDescent="0.3">
      <c r="A46" s="724" t="s">
        <v>563</v>
      </c>
      <c r="B46" s="725" t="s">
        <v>1807</v>
      </c>
      <c r="C46" s="725" t="s">
        <v>1045</v>
      </c>
      <c r="D46" s="725" t="s">
        <v>1808</v>
      </c>
      <c r="E46" s="725" t="s">
        <v>1809</v>
      </c>
      <c r="F46" s="728"/>
      <c r="G46" s="728"/>
      <c r="H46" s="741">
        <v>0</v>
      </c>
      <c r="I46" s="728">
        <v>1</v>
      </c>
      <c r="J46" s="728">
        <v>253.51000000000022</v>
      </c>
      <c r="K46" s="741">
        <v>1</v>
      </c>
      <c r="L46" s="728">
        <v>1</v>
      </c>
      <c r="M46" s="729">
        <v>253.51000000000022</v>
      </c>
    </row>
    <row r="47" spans="1:13" ht="14.4" customHeight="1" x14ac:dyDescent="0.3">
      <c r="A47" s="724" t="s">
        <v>563</v>
      </c>
      <c r="B47" s="725" t="s">
        <v>1810</v>
      </c>
      <c r="C47" s="725" t="s">
        <v>856</v>
      </c>
      <c r="D47" s="725" t="s">
        <v>857</v>
      </c>
      <c r="E47" s="725" t="s">
        <v>1811</v>
      </c>
      <c r="F47" s="728">
        <v>1</v>
      </c>
      <c r="G47" s="728">
        <v>106.54000000000003</v>
      </c>
      <c r="H47" s="741">
        <v>1</v>
      </c>
      <c r="I47" s="728"/>
      <c r="J47" s="728"/>
      <c r="K47" s="741">
        <v>0</v>
      </c>
      <c r="L47" s="728">
        <v>1</v>
      </c>
      <c r="M47" s="729">
        <v>106.54000000000003</v>
      </c>
    </row>
    <row r="48" spans="1:13" ht="14.4" customHeight="1" x14ac:dyDescent="0.3">
      <c r="A48" s="724" t="s">
        <v>563</v>
      </c>
      <c r="B48" s="725" t="s">
        <v>1812</v>
      </c>
      <c r="C48" s="725" t="s">
        <v>1009</v>
      </c>
      <c r="D48" s="725" t="s">
        <v>1813</v>
      </c>
      <c r="E48" s="725" t="s">
        <v>1814</v>
      </c>
      <c r="F48" s="728"/>
      <c r="G48" s="728"/>
      <c r="H48" s="741">
        <v>0</v>
      </c>
      <c r="I48" s="728">
        <v>1</v>
      </c>
      <c r="J48" s="728">
        <v>60.430000000000021</v>
      </c>
      <c r="K48" s="741">
        <v>1</v>
      </c>
      <c r="L48" s="728">
        <v>1</v>
      </c>
      <c r="M48" s="729">
        <v>60.430000000000021</v>
      </c>
    </row>
    <row r="49" spans="1:13" ht="14.4" customHeight="1" x14ac:dyDescent="0.3">
      <c r="A49" s="724" t="s">
        <v>569</v>
      </c>
      <c r="B49" s="725" t="s">
        <v>1736</v>
      </c>
      <c r="C49" s="725" t="s">
        <v>816</v>
      </c>
      <c r="D49" s="725" t="s">
        <v>817</v>
      </c>
      <c r="E49" s="725" t="s">
        <v>1737</v>
      </c>
      <c r="F49" s="728"/>
      <c r="G49" s="728"/>
      <c r="H49" s="741">
        <v>0</v>
      </c>
      <c r="I49" s="728">
        <v>600</v>
      </c>
      <c r="J49" s="728">
        <v>40598.355397232364</v>
      </c>
      <c r="K49" s="741">
        <v>1</v>
      </c>
      <c r="L49" s="728">
        <v>600</v>
      </c>
      <c r="M49" s="729">
        <v>40598.355397232364</v>
      </c>
    </row>
    <row r="50" spans="1:13" ht="14.4" customHeight="1" x14ac:dyDescent="0.3">
      <c r="A50" s="724" t="s">
        <v>569</v>
      </c>
      <c r="B50" s="725" t="s">
        <v>1770</v>
      </c>
      <c r="C50" s="725" t="s">
        <v>1041</v>
      </c>
      <c r="D50" s="725" t="s">
        <v>1042</v>
      </c>
      <c r="E50" s="725" t="s">
        <v>1771</v>
      </c>
      <c r="F50" s="728"/>
      <c r="G50" s="728"/>
      <c r="H50" s="741">
        <v>0</v>
      </c>
      <c r="I50" s="728">
        <v>1</v>
      </c>
      <c r="J50" s="728">
        <v>66.730000000000047</v>
      </c>
      <c r="K50" s="741">
        <v>1</v>
      </c>
      <c r="L50" s="728">
        <v>1</v>
      </c>
      <c r="M50" s="729">
        <v>66.730000000000047</v>
      </c>
    </row>
    <row r="51" spans="1:13" ht="14.4" customHeight="1" x14ac:dyDescent="0.3">
      <c r="A51" s="724" t="s">
        <v>569</v>
      </c>
      <c r="B51" s="725" t="s">
        <v>1772</v>
      </c>
      <c r="C51" s="725" t="s">
        <v>1034</v>
      </c>
      <c r="D51" s="725" t="s">
        <v>1035</v>
      </c>
      <c r="E51" s="725" t="s">
        <v>1773</v>
      </c>
      <c r="F51" s="728"/>
      <c r="G51" s="728"/>
      <c r="H51" s="741">
        <v>0</v>
      </c>
      <c r="I51" s="728">
        <v>5</v>
      </c>
      <c r="J51" s="728">
        <v>522.49982866101982</v>
      </c>
      <c r="K51" s="741">
        <v>1</v>
      </c>
      <c r="L51" s="728">
        <v>5</v>
      </c>
      <c r="M51" s="729">
        <v>522.49982866101982</v>
      </c>
    </row>
    <row r="52" spans="1:13" ht="14.4" customHeight="1" x14ac:dyDescent="0.3">
      <c r="A52" s="724" t="s">
        <v>569</v>
      </c>
      <c r="B52" s="725" t="s">
        <v>1815</v>
      </c>
      <c r="C52" s="725" t="s">
        <v>1472</v>
      </c>
      <c r="D52" s="725" t="s">
        <v>1473</v>
      </c>
      <c r="E52" s="725" t="s">
        <v>1816</v>
      </c>
      <c r="F52" s="728"/>
      <c r="G52" s="728"/>
      <c r="H52" s="741">
        <v>0</v>
      </c>
      <c r="I52" s="728">
        <v>1</v>
      </c>
      <c r="J52" s="728">
        <v>93.070000000000007</v>
      </c>
      <c r="K52" s="741">
        <v>1</v>
      </c>
      <c r="L52" s="728">
        <v>1</v>
      </c>
      <c r="M52" s="729">
        <v>93.070000000000007</v>
      </c>
    </row>
    <row r="53" spans="1:13" ht="14.4" customHeight="1" x14ac:dyDescent="0.3">
      <c r="A53" s="724" t="s">
        <v>569</v>
      </c>
      <c r="B53" s="725" t="s">
        <v>1743</v>
      </c>
      <c r="C53" s="725" t="s">
        <v>813</v>
      </c>
      <c r="D53" s="725" t="s">
        <v>814</v>
      </c>
      <c r="E53" s="725" t="s">
        <v>1744</v>
      </c>
      <c r="F53" s="728"/>
      <c r="G53" s="728"/>
      <c r="H53" s="741">
        <v>0</v>
      </c>
      <c r="I53" s="728">
        <v>7</v>
      </c>
      <c r="J53" s="728">
        <v>23100</v>
      </c>
      <c r="K53" s="741">
        <v>1</v>
      </c>
      <c r="L53" s="728">
        <v>7</v>
      </c>
      <c r="M53" s="729">
        <v>23100</v>
      </c>
    </row>
    <row r="54" spans="1:13" ht="14.4" customHeight="1" x14ac:dyDescent="0.3">
      <c r="A54" s="724" t="s">
        <v>569</v>
      </c>
      <c r="B54" s="725" t="s">
        <v>1743</v>
      </c>
      <c r="C54" s="725" t="s">
        <v>819</v>
      </c>
      <c r="D54" s="725" t="s">
        <v>820</v>
      </c>
      <c r="E54" s="725" t="s">
        <v>1745</v>
      </c>
      <c r="F54" s="728"/>
      <c r="G54" s="728"/>
      <c r="H54" s="741">
        <v>0</v>
      </c>
      <c r="I54" s="728">
        <v>6</v>
      </c>
      <c r="J54" s="728">
        <v>1808.82</v>
      </c>
      <c r="K54" s="741">
        <v>1</v>
      </c>
      <c r="L54" s="728">
        <v>6</v>
      </c>
      <c r="M54" s="729">
        <v>1808.82</v>
      </c>
    </row>
    <row r="55" spans="1:13" ht="14.4" customHeight="1" x14ac:dyDescent="0.3">
      <c r="A55" s="724" t="s">
        <v>569</v>
      </c>
      <c r="B55" s="725" t="s">
        <v>1743</v>
      </c>
      <c r="C55" s="725" t="s">
        <v>1056</v>
      </c>
      <c r="D55" s="725" t="s">
        <v>820</v>
      </c>
      <c r="E55" s="725" t="s">
        <v>1774</v>
      </c>
      <c r="F55" s="728"/>
      <c r="G55" s="728"/>
      <c r="H55" s="741">
        <v>0</v>
      </c>
      <c r="I55" s="728">
        <v>5</v>
      </c>
      <c r="J55" s="728">
        <v>3153.3</v>
      </c>
      <c r="K55" s="741">
        <v>1</v>
      </c>
      <c r="L55" s="728">
        <v>5</v>
      </c>
      <c r="M55" s="729">
        <v>3153.3</v>
      </c>
    </row>
    <row r="56" spans="1:13" ht="14.4" customHeight="1" x14ac:dyDescent="0.3">
      <c r="A56" s="724" t="s">
        <v>569</v>
      </c>
      <c r="B56" s="725" t="s">
        <v>1743</v>
      </c>
      <c r="C56" s="725" t="s">
        <v>1054</v>
      </c>
      <c r="D56" s="725" t="s">
        <v>820</v>
      </c>
      <c r="E56" s="725" t="s">
        <v>1775</v>
      </c>
      <c r="F56" s="728"/>
      <c r="G56" s="728"/>
      <c r="H56" s="741">
        <v>0</v>
      </c>
      <c r="I56" s="728">
        <v>11</v>
      </c>
      <c r="J56" s="728">
        <v>4498.4469450016459</v>
      </c>
      <c r="K56" s="741">
        <v>1</v>
      </c>
      <c r="L56" s="728">
        <v>11</v>
      </c>
      <c r="M56" s="729">
        <v>4498.4469450016459</v>
      </c>
    </row>
    <row r="57" spans="1:13" ht="14.4" customHeight="1" x14ac:dyDescent="0.3">
      <c r="A57" s="724" t="s">
        <v>569</v>
      </c>
      <c r="B57" s="725" t="s">
        <v>1778</v>
      </c>
      <c r="C57" s="725" t="s">
        <v>1052</v>
      </c>
      <c r="D57" s="725" t="s">
        <v>1779</v>
      </c>
      <c r="E57" s="725" t="s">
        <v>1781</v>
      </c>
      <c r="F57" s="728"/>
      <c r="G57" s="728"/>
      <c r="H57" s="741">
        <v>0</v>
      </c>
      <c r="I57" s="728">
        <v>2</v>
      </c>
      <c r="J57" s="728">
        <v>280.18000000000012</v>
      </c>
      <c r="K57" s="741">
        <v>1</v>
      </c>
      <c r="L57" s="728">
        <v>2</v>
      </c>
      <c r="M57" s="729">
        <v>280.18000000000012</v>
      </c>
    </row>
    <row r="58" spans="1:13" ht="14.4" customHeight="1" x14ac:dyDescent="0.3">
      <c r="A58" s="724" t="s">
        <v>569</v>
      </c>
      <c r="B58" s="725" t="s">
        <v>1817</v>
      </c>
      <c r="C58" s="725" t="s">
        <v>1481</v>
      </c>
      <c r="D58" s="725" t="s">
        <v>1818</v>
      </c>
      <c r="E58" s="725" t="s">
        <v>1819</v>
      </c>
      <c r="F58" s="728"/>
      <c r="G58" s="728"/>
      <c r="H58" s="741">
        <v>0</v>
      </c>
      <c r="I58" s="728">
        <v>1</v>
      </c>
      <c r="J58" s="728">
        <v>352.82999999999976</v>
      </c>
      <c r="K58" s="741">
        <v>1</v>
      </c>
      <c r="L58" s="728">
        <v>1</v>
      </c>
      <c r="M58" s="729">
        <v>352.82999999999976</v>
      </c>
    </row>
    <row r="59" spans="1:13" ht="14.4" customHeight="1" x14ac:dyDescent="0.3">
      <c r="A59" s="724" t="s">
        <v>569</v>
      </c>
      <c r="B59" s="725" t="s">
        <v>1820</v>
      </c>
      <c r="C59" s="725" t="s">
        <v>1435</v>
      </c>
      <c r="D59" s="725" t="s">
        <v>1436</v>
      </c>
      <c r="E59" s="725" t="s">
        <v>1821</v>
      </c>
      <c r="F59" s="728"/>
      <c r="G59" s="728"/>
      <c r="H59" s="741">
        <v>0</v>
      </c>
      <c r="I59" s="728">
        <v>2</v>
      </c>
      <c r="J59" s="728">
        <v>258.66000000000014</v>
      </c>
      <c r="K59" s="741">
        <v>1</v>
      </c>
      <c r="L59" s="728">
        <v>2</v>
      </c>
      <c r="M59" s="729">
        <v>258.66000000000014</v>
      </c>
    </row>
    <row r="60" spans="1:13" ht="14.4" customHeight="1" x14ac:dyDescent="0.3">
      <c r="A60" s="724" t="s">
        <v>569</v>
      </c>
      <c r="B60" s="725" t="s">
        <v>1822</v>
      </c>
      <c r="C60" s="725" t="s">
        <v>1478</v>
      </c>
      <c r="D60" s="725" t="s">
        <v>1823</v>
      </c>
      <c r="E60" s="725" t="s">
        <v>1824</v>
      </c>
      <c r="F60" s="728"/>
      <c r="G60" s="728"/>
      <c r="H60" s="741">
        <v>0</v>
      </c>
      <c r="I60" s="728">
        <v>1</v>
      </c>
      <c r="J60" s="728">
        <v>98.439999999999955</v>
      </c>
      <c r="K60" s="741">
        <v>1</v>
      </c>
      <c r="L60" s="728">
        <v>1</v>
      </c>
      <c r="M60" s="729">
        <v>98.439999999999955</v>
      </c>
    </row>
    <row r="61" spans="1:13" ht="14.4" customHeight="1" x14ac:dyDescent="0.3">
      <c r="A61" s="724" t="s">
        <v>569</v>
      </c>
      <c r="B61" s="725" t="s">
        <v>1825</v>
      </c>
      <c r="C61" s="725" t="s">
        <v>1427</v>
      </c>
      <c r="D61" s="725" t="s">
        <v>1826</v>
      </c>
      <c r="E61" s="725" t="s">
        <v>1827</v>
      </c>
      <c r="F61" s="728"/>
      <c r="G61" s="728"/>
      <c r="H61" s="741">
        <v>0</v>
      </c>
      <c r="I61" s="728">
        <v>2</v>
      </c>
      <c r="J61" s="728">
        <v>85.16</v>
      </c>
      <c r="K61" s="741">
        <v>1</v>
      </c>
      <c r="L61" s="728">
        <v>2</v>
      </c>
      <c r="M61" s="729">
        <v>85.16</v>
      </c>
    </row>
    <row r="62" spans="1:13" ht="14.4" customHeight="1" x14ac:dyDescent="0.3">
      <c r="A62" s="724" t="s">
        <v>569</v>
      </c>
      <c r="B62" s="725" t="s">
        <v>1828</v>
      </c>
      <c r="C62" s="725" t="s">
        <v>1417</v>
      </c>
      <c r="D62" s="725" t="s">
        <v>1829</v>
      </c>
      <c r="E62" s="725" t="s">
        <v>1830</v>
      </c>
      <c r="F62" s="728"/>
      <c r="G62" s="728"/>
      <c r="H62" s="741">
        <v>0</v>
      </c>
      <c r="I62" s="728">
        <v>2</v>
      </c>
      <c r="J62" s="728">
        <v>24.119999999999997</v>
      </c>
      <c r="K62" s="741">
        <v>1</v>
      </c>
      <c r="L62" s="728">
        <v>2</v>
      </c>
      <c r="M62" s="729">
        <v>24.119999999999997</v>
      </c>
    </row>
    <row r="63" spans="1:13" ht="14.4" customHeight="1" x14ac:dyDescent="0.3">
      <c r="A63" s="724" t="s">
        <v>569</v>
      </c>
      <c r="B63" s="725" t="s">
        <v>1831</v>
      </c>
      <c r="C63" s="725" t="s">
        <v>1451</v>
      </c>
      <c r="D63" s="725" t="s">
        <v>1832</v>
      </c>
      <c r="E63" s="725" t="s">
        <v>1833</v>
      </c>
      <c r="F63" s="728"/>
      <c r="G63" s="728"/>
      <c r="H63" s="741">
        <v>0</v>
      </c>
      <c r="I63" s="728">
        <v>1</v>
      </c>
      <c r="J63" s="728">
        <v>158.97999999999999</v>
      </c>
      <c r="K63" s="741">
        <v>1</v>
      </c>
      <c r="L63" s="728">
        <v>1</v>
      </c>
      <c r="M63" s="729">
        <v>158.97999999999999</v>
      </c>
    </row>
    <row r="64" spans="1:13" ht="14.4" customHeight="1" x14ac:dyDescent="0.3">
      <c r="A64" s="724" t="s">
        <v>569</v>
      </c>
      <c r="B64" s="725" t="s">
        <v>1748</v>
      </c>
      <c r="C64" s="725" t="s">
        <v>1458</v>
      </c>
      <c r="D64" s="725" t="s">
        <v>784</v>
      </c>
      <c r="E64" s="725" t="s">
        <v>1834</v>
      </c>
      <c r="F64" s="728"/>
      <c r="G64" s="728"/>
      <c r="H64" s="741">
        <v>0</v>
      </c>
      <c r="I64" s="728">
        <v>20</v>
      </c>
      <c r="J64" s="728">
        <v>4662.6000000000004</v>
      </c>
      <c r="K64" s="741">
        <v>1</v>
      </c>
      <c r="L64" s="728">
        <v>20</v>
      </c>
      <c r="M64" s="729">
        <v>4662.6000000000004</v>
      </c>
    </row>
    <row r="65" spans="1:13" ht="14.4" customHeight="1" x14ac:dyDescent="0.3">
      <c r="A65" s="724" t="s">
        <v>569</v>
      </c>
      <c r="B65" s="725" t="s">
        <v>1789</v>
      </c>
      <c r="C65" s="725" t="s">
        <v>1443</v>
      </c>
      <c r="D65" s="725" t="s">
        <v>1790</v>
      </c>
      <c r="E65" s="725" t="s">
        <v>1835</v>
      </c>
      <c r="F65" s="728"/>
      <c r="G65" s="728"/>
      <c r="H65" s="741">
        <v>0</v>
      </c>
      <c r="I65" s="728">
        <v>2</v>
      </c>
      <c r="J65" s="728">
        <v>123.05999999999997</v>
      </c>
      <c r="K65" s="741">
        <v>1</v>
      </c>
      <c r="L65" s="728">
        <v>2</v>
      </c>
      <c r="M65" s="729">
        <v>123.05999999999997</v>
      </c>
    </row>
    <row r="66" spans="1:13" ht="14.4" customHeight="1" x14ac:dyDescent="0.3">
      <c r="A66" s="724" t="s">
        <v>569</v>
      </c>
      <c r="B66" s="725" t="s">
        <v>1836</v>
      </c>
      <c r="C66" s="725" t="s">
        <v>1592</v>
      </c>
      <c r="D66" s="725" t="s">
        <v>1837</v>
      </c>
      <c r="E66" s="725" t="s">
        <v>1838</v>
      </c>
      <c r="F66" s="728"/>
      <c r="G66" s="728"/>
      <c r="H66" s="741">
        <v>0</v>
      </c>
      <c r="I66" s="728">
        <v>8</v>
      </c>
      <c r="J66" s="728">
        <v>99303.600262560314</v>
      </c>
      <c r="K66" s="741">
        <v>1</v>
      </c>
      <c r="L66" s="728">
        <v>8</v>
      </c>
      <c r="M66" s="729">
        <v>99303.600262560314</v>
      </c>
    </row>
    <row r="67" spans="1:13" ht="14.4" customHeight="1" x14ac:dyDescent="0.3">
      <c r="A67" s="724" t="s">
        <v>569</v>
      </c>
      <c r="B67" s="725" t="s">
        <v>1750</v>
      </c>
      <c r="C67" s="725" t="s">
        <v>1475</v>
      </c>
      <c r="D67" s="725" t="s">
        <v>1476</v>
      </c>
      <c r="E67" s="725" t="s">
        <v>1839</v>
      </c>
      <c r="F67" s="728"/>
      <c r="G67" s="728"/>
      <c r="H67" s="741">
        <v>0</v>
      </c>
      <c r="I67" s="728">
        <v>3</v>
      </c>
      <c r="J67" s="728">
        <v>502.68</v>
      </c>
      <c r="K67" s="741">
        <v>1</v>
      </c>
      <c r="L67" s="728">
        <v>3</v>
      </c>
      <c r="M67" s="729">
        <v>502.68</v>
      </c>
    </row>
    <row r="68" spans="1:13" ht="14.4" customHeight="1" x14ac:dyDescent="0.3">
      <c r="A68" s="724" t="s">
        <v>569</v>
      </c>
      <c r="B68" s="725" t="s">
        <v>1750</v>
      </c>
      <c r="C68" s="725" t="s">
        <v>844</v>
      </c>
      <c r="D68" s="725" t="s">
        <v>1476</v>
      </c>
      <c r="E68" s="725" t="s">
        <v>1751</v>
      </c>
      <c r="F68" s="728"/>
      <c r="G68" s="728"/>
      <c r="H68" s="741">
        <v>0</v>
      </c>
      <c r="I68" s="728">
        <v>2</v>
      </c>
      <c r="J68" s="728">
        <v>229.86000000000004</v>
      </c>
      <c r="K68" s="741">
        <v>1</v>
      </c>
      <c r="L68" s="728">
        <v>2</v>
      </c>
      <c r="M68" s="729">
        <v>229.86000000000004</v>
      </c>
    </row>
    <row r="69" spans="1:13" ht="14.4" customHeight="1" x14ac:dyDescent="0.3">
      <c r="A69" s="724" t="s">
        <v>569</v>
      </c>
      <c r="B69" s="725" t="s">
        <v>1792</v>
      </c>
      <c r="C69" s="725" t="s">
        <v>826</v>
      </c>
      <c r="D69" s="725" t="s">
        <v>1840</v>
      </c>
      <c r="E69" s="725" t="s">
        <v>1841</v>
      </c>
      <c r="F69" s="728">
        <v>8</v>
      </c>
      <c r="G69" s="728">
        <v>2528.2399999999998</v>
      </c>
      <c r="H69" s="741">
        <v>1</v>
      </c>
      <c r="I69" s="728"/>
      <c r="J69" s="728"/>
      <c r="K69" s="741">
        <v>0</v>
      </c>
      <c r="L69" s="728">
        <v>8</v>
      </c>
      <c r="M69" s="729">
        <v>2528.2399999999998</v>
      </c>
    </row>
    <row r="70" spans="1:13" ht="14.4" customHeight="1" x14ac:dyDescent="0.3">
      <c r="A70" s="724" t="s">
        <v>569</v>
      </c>
      <c r="B70" s="725" t="s">
        <v>1842</v>
      </c>
      <c r="C70" s="725" t="s">
        <v>1598</v>
      </c>
      <c r="D70" s="725" t="s">
        <v>1843</v>
      </c>
      <c r="E70" s="725" t="s">
        <v>1844</v>
      </c>
      <c r="F70" s="728"/>
      <c r="G70" s="728"/>
      <c r="H70" s="741">
        <v>0</v>
      </c>
      <c r="I70" s="728">
        <v>7</v>
      </c>
      <c r="J70" s="728">
        <v>6675.9</v>
      </c>
      <c r="K70" s="741">
        <v>1</v>
      </c>
      <c r="L70" s="728">
        <v>7</v>
      </c>
      <c r="M70" s="729">
        <v>6675.9</v>
      </c>
    </row>
    <row r="71" spans="1:13" ht="14.4" customHeight="1" x14ac:dyDescent="0.3">
      <c r="A71" s="724" t="s">
        <v>569</v>
      </c>
      <c r="B71" s="725" t="s">
        <v>1795</v>
      </c>
      <c r="C71" s="725" t="s">
        <v>1595</v>
      </c>
      <c r="D71" s="725" t="s">
        <v>1796</v>
      </c>
      <c r="E71" s="725" t="s">
        <v>1845</v>
      </c>
      <c r="F71" s="728"/>
      <c r="G71" s="728"/>
      <c r="H71" s="741">
        <v>0</v>
      </c>
      <c r="I71" s="728">
        <v>10</v>
      </c>
      <c r="J71" s="728">
        <v>359</v>
      </c>
      <c r="K71" s="741">
        <v>1</v>
      </c>
      <c r="L71" s="728">
        <v>10</v>
      </c>
      <c r="M71" s="729">
        <v>359</v>
      </c>
    </row>
    <row r="72" spans="1:13" ht="14.4" customHeight="1" x14ac:dyDescent="0.3">
      <c r="A72" s="724" t="s">
        <v>569</v>
      </c>
      <c r="B72" s="725" t="s">
        <v>1795</v>
      </c>
      <c r="C72" s="725" t="s">
        <v>1087</v>
      </c>
      <c r="D72" s="725" t="s">
        <v>1796</v>
      </c>
      <c r="E72" s="725" t="s">
        <v>1797</v>
      </c>
      <c r="F72" s="728"/>
      <c r="G72" s="728"/>
      <c r="H72" s="741">
        <v>0</v>
      </c>
      <c r="I72" s="728">
        <v>3</v>
      </c>
      <c r="J72" s="728">
        <v>168.3</v>
      </c>
      <c r="K72" s="741">
        <v>1</v>
      </c>
      <c r="L72" s="728">
        <v>3</v>
      </c>
      <c r="M72" s="729">
        <v>168.3</v>
      </c>
    </row>
    <row r="73" spans="1:13" ht="14.4" customHeight="1" x14ac:dyDescent="0.3">
      <c r="A73" s="724" t="s">
        <v>569</v>
      </c>
      <c r="B73" s="725" t="s">
        <v>1798</v>
      </c>
      <c r="C73" s="725" t="s">
        <v>1084</v>
      </c>
      <c r="D73" s="725" t="s">
        <v>1799</v>
      </c>
      <c r="E73" s="725" t="s">
        <v>1800</v>
      </c>
      <c r="F73" s="728"/>
      <c r="G73" s="728"/>
      <c r="H73" s="741">
        <v>0</v>
      </c>
      <c r="I73" s="728">
        <v>80</v>
      </c>
      <c r="J73" s="728">
        <v>2344.3199999999997</v>
      </c>
      <c r="K73" s="741">
        <v>1</v>
      </c>
      <c r="L73" s="728">
        <v>80</v>
      </c>
      <c r="M73" s="729">
        <v>2344.3199999999997</v>
      </c>
    </row>
    <row r="74" spans="1:13" ht="14.4" customHeight="1" x14ac:dyDescent="0.3">
      <c r="A74" s="724" t="s">
        <v>569</v>
      </c>
      <c r="B74" s="725" t="s">
        <v>1752</v>
      </c>
      <c r="C74" s="725" t="s">
        <v>1605</v>
      </c>
      <c r="D74" s="725" t="s">
        <v>1846</v>
      </c>
      <c r="E74" s="725" t="s">
        <v>1847</v>
      </c>
      <c r="F74" s="728"/>
      <c r="G74" s="728"/>
      <c r="H74" s="741">
        <v>0</v>
      </c>
      <c r="I74" s="728">
        <v>3</v>
      </c>
      <c r="J74" s="728">
        <v>478.5</v>
      </c>
      <c r="K74" s="741">
        <v>1</v>
      </c>
      <c r="L74" s="728">
        <v>3</v>
      </c>
      <c r="M74" s="729">
        <v>478.5</v>
      </c>
    </row>
    <row r="75" spans="1:13" ht="14.4" customHeight="1" x14ac:dyDescent="0.3">
      <c r="A75" s="724" t="s">
        <v>569</v>
      </c>
      <c r="B75" s="725" t="s">
        <v>1752</v>
      </c>
      <c r="C75" s="725" t="s">
        <v>1608</v>
      </c>
      <c r="D75" s="725" t="s">
        <v>1846</v>
      </c>
      <c r="E75" s="725" t="s">
        <v>1848</v>
      </c>
      <c r="F75" s="728"/>
      <c r="G75" s="728"/>
      <c r="H75" s="741">
        <v>0</v>
      </c>
      <c r="I75" s="728">
        <v>6</v>
      </c>
      <c r="J75" s="728">
        <v>1848</v>
      </c>
      <c r="K75" s="741">
        <v>1</v>
      </c>
      <c r="L75" s="728">
        <v>6</v>
      </c>
      <c r="M75" s="729">
        <v>1848</v>
      </c>
    </row>
    <row r="76" spans="1:13" ht="14.4" customHeight="1" x14ac:dyDescent="0.3">
      <c r="A76" s="724" t="s">
        <v>569</v>
      </c>
      <c r="B76" s="725" t="s">
        <v>1755</v>
      </c>
      <c r="C76" s="725" t="s">
        <v>1425</v>
      </c>
      <c r="D76" s="725" t="s">
        <v>581</v>
      </c>
      <c r="E76" s="725" t="s">
        <v>1757</v>
      </c>
      <c r="F76" s="728"/>
      <c r="G76" s="728"/>
      <c r="H76" s="741">
        <v>0</v>
      </c>
      <c r="I76" s="728">
        <v>4</v>
      </c>
      <c r="J76" s="728">
        <v>416.75999999999993</v>
      </c>
      <c r="K76" s="741">
        <v>1</v>
      </c>
      <c r="L76" s="728">
        <v>4</v>
      </c>
      <c r="M76" s="729">
        <v>416.75999999999993</v>
      </c>
    </row>
    <row r="77" spans="1:13" ht="14.4" customHeight="1" x14ac:dyDescent="0.3">
      <c r="A77" s="724" t="s">
        <v>569</v>
      </c>
      <c r="B77" s="725" t="s">
        <v>1755</v>
      </c>
      <c r="C77" s="725" t="s">
        <v>580</v>
      </c>
      <c r="D77" s="725" t="s">
        <v>581</v>
      </c>
      <c r="E77" s="725" t="s">
        <v>1757</v>
      </c>
      <c r="F77" s="728">
        <v>4</v>
      </c>
      <c r="G77" s="728">
        <v>413.27999999999986</v>
      </c>
      <c r="H77" s="741">
        <v>1</v>
      </c>
      <c r="I77" s="728"/>
      <c r="J77" s="728"/>
      <c r="K77" s="741">
        <v>0</v>
      </c>
      <c r="L77" s="728">
        <v>4</v>
      </c>
      <c r="M77" s="729">
        <v>413.27999999999986</v>
      </c>
    </row>
    <row r="78" spans="1:13" ht="14.4" customHeight="1" x14ac:dyDescent="0.3">
      <c r="A78" s="724" t="s">
        <v>569</v>
      </c>
      <c r="B78" s="725" t="s">
        <v>1849</v>
      </c>
      <c r="C78" s="725" t="s">
        <v>1102</v>
      </c>
      <c r="D78" s="725" t="s">
        <v>1103</v>
      </c>
      <c r="E78" s="725" t="s">
        <v>1850</v>
      </c>
      <c r="F78" s="728">
        <v>20</v>
      </c>
      <c r="G78" s="728">
        <v>1362.9976839182793</v>
      </c>
      <c r="H78" s="741">
        <v>1</v>
      </c>
      <c r="I78" s="728"/>
      <c r="J78" s="728"/>
      <c r="K78" s="741">
        <v>0</v>
      </c>
      <c r="L78" s="728">
        <v>20</v>
      </c>
      <c r="M78" s="729">
        <v>1362.9976839182793</v>
      </c>
    </row>
    <row r="79" spans="1:13" ht="14.4" customHeight="1" x14ac:dyDescent="0.3">
      <c r="A79" s="724" t="s">
        <v>569</v>
      </c>
      <c r="B79" s="725" t="s">
        <v>1849</v>
      </c>
      <c r="C79" s="725" t="s">
        <v>1498</v>
      </c>
      <c r="D79" s="725" t="s">
        <v>1851</v>
      </c>
      <c r="E79" s="725" t="s">
        <v>1852</v>
      </c>
      <c r="F79" s="728"/>
      <c r="G79" s="728"/>
      <c r="H79" s="741">
        <v>0</v>
      </c>
      <c r="I79" s="728">
        <v>2</v>
      </c>
      <c r="J79" s="728">
        <v>914.28000000000009</v>
      </c>
      <c r="K79" s="741">
        <v>1</v>
      </c>
      <c r="L79" s="728">
        <v>2</v>
      </c>
      <c r="M79" s="729">
        <v>914.28000000000009</v>
      </c>
    </row>
    <row r="80" spans="1:13" ht="14.4" customHeight="1" x14ac:dyDescent="0.3">
      <c r="A80" s="724" t="s">
        <v>569</v>
      </c>
      <c r="B80" s="725" t="s">
        <v>1849</v>
      </c>
      <c r="C80" s="725" t="s">
        <v>1495</v>
      </c>
      <c r="D80" s="725" t="s">
        <v>1851</v>
      </c>
      <c r="E80" s="725" t="s">
        <v>1841</v>
      </c>
      <c r="F80" s="728"/>
      <c r="G80" s="728"/>
      <c r="H80" s="741">
        <v>0</v>
      </c>
      <c r="I80" s="728">
        <v>2</v>
      </c>
      <c r="J80" s="728">
        <v>1059.6799999999998</v>
      </c>
      <c r="K80" s="741">
        <v>1</v>
      </c>
      <c r="L80" s="728">
        <v>2</v>
      </c>
      <c r="M80" s="729">
        <v>1059.6799999999998</v>
      </c>
    </row>
    <row r="81" spans="1:13" ht="14.4" customHeight="1" x14ac:dyDescent="0.3">
      <c r="A81" s="724" t="s">
        <v>569</v>
      </c>
      <c r="B81" s="725" t="s">
        <v>1853</v>
      </c>
      <c r="C81" s="725" t="s">
        <v>1465</v>
      </c>
      <c r="D81" s="725" t="s">
        <v>1854</v>
      </c>
      <c r="E81" s="725" t="s">
        <v>1855</v>
      </c>
      <c r="F81" s="728"/>
      <c r="G81" s="728"/>
      <c r="H81" s="741">
        <v>0</v>
      </c>
      <c r="I81" s="728">
        <v>66</v>
      </c>
      <c r="J81" s="728">
        <v>45236.4</v>
      </c>
      <c r="K81" s="741">
        <v>1</v>
      </c>
      <c r="L81" s="728">
        <v>66</v>
      </c>
      <c r="M81" s="729">
        <v>45236.4</v>
      </c>
    </row>
    <row r="82" spans="1:13" ht="14.4" customHeight="1" x14ac:dyDescent="0.3">
      <c r="A82" s="724" t="s">
        <v>569</v>
      </c>
      <c r="B82" s="725" t="s">
        <v>1856</v>
      </c>
      <c r="C82" s="725" t="s">
        <v>1098</v>
      </c>
      <c r="D82" s="725" t="s">
        <v>1099</v>
      </c>
      <c r="E82" s="725" t="s">
        <v>1857</v>
      </c>
      <c r="F82" s="728">
        <v>2</v>
      </c>
      <c r="G82" s="728">
        <v>1702.8</v>
      </c>
      <c r="H82" s="741">
        <v>1</v>
      </c>
      <c r="I82" s="728"/>
      <c r="J82" s="728"/>
      <c r="K82" s="741">
        <v>0</v>
      </c>
      <c r="L82" s="728">
        <v>2</v>
      </c>
      <c r="M82" s="729">
        <v>1702.8</v>
      </c>
    </row>
    <row r="83" spans="1:13" ht="14.4" customHeight="1" x14ac:dyDescent="0.3">
      <c r="A83" s="724" t="s">
        <v>569</v>
      </c>
      <c r="B83" s="725" t="s">
        <v>1758</v>
      </c>
      <c r="C83" s="725" t="s">
        <v>577</v>
      </c>
      <c r="D83" s="725" t="s">
        <v>578</v>
      </c>
      <c r="E83" s="725" t="s">
        <v>1761</v>
      </c>
      <c r="F83" s="728">
        <v>3</v>
      </c>
      <c r="G83" s="728">
        <v>139.61999999999998</v>
      </c>
      <c r="H83" s="741">
        <v>1</v>
      </c>
      <c r="I83" s="728"/>
      <c r="J83" s="728"/>
      <c r="K83" s="741">
        <v>0</v>
      </c>
      <c r="L83" s="728">
        <v>3</v>
      </c>
      <c r="M83" s="729">
        <v>139.61999999999998</v>
      </c>
    </row>
    <row r="84" spans="1:13" ht="14.4" customHeight="1" x14ac:dyDescent="0.3">
      <c r="A84" s="724" t="s">
        <v>569</v>
      </c>
      <c r="B84" s="725" t="s">
        <v>1762</v>
      </c>
      <c r="C84" s="725" t="s">
        <v>791</v>
      </c>
      <c r="D84" s="725" t="s">
        <v>1763</v>
      </c>
      <c r="E84" s="725" t="s">
        <v>1764</v>
      </c>
      <c r="F84" s="728"/>
      <c r="G84" s="728"/>
      <c r="H84" s="741">
        <v>0</v>
      </c>
      <c r="I84" s="728">
        <v>7</v>
      </c>
      <c r="J84" s="728">
        <v>312.13191763227132</v>
      </c>
      <c r="K84" s="741">
        <v>1</v>
      </c>
      <c r="L84" s="728">
        <v>7</v>
      </c>
      <c r="M84" s="729">
        <v>312.13191763227132</v>
      </c>
    </row>
    <row r="85" spans="1:13" ht="14.4" customHeight="1" x14ac:dyDescent="0.3">
      <c r="A85" s="724" t="s">
        <v>569</v>
      </c>
      <c r="B85" s="725" t="s">
        <v>1762</v>
      </c>
      <c r="C85" s="725" t="s">
        <v>801</v>
      </c>
      <c r="D85" s="725" t="s">
        <v>1765</v>
      </c>
      <c r="E85" s="725" t="s">
        <v>1766</v>
      </c>
      <c r="F85" s="728"/>
      <c r="G85" s="728"/>
      <c r="H85" s="741">
        <v>0</v>
      </c>
      <c r="I85" s="728">
        <v>20</v>
      </c>
      <c r="J85" s="728">
        <v>1137.6026764130515</v>
      </c>
      <c r="K85" s="741">
        <v>1</v>
      </c>
      <c r="L85" s="728">
        <v>20</v>
      </c>
      <c r="M85" s="729">
        <v>1137.6026764130515</v>
      </c>
    </row>
    <row r="86" spans="1:13" ht="14.4" customHeight="1" x14ac:dyDescent="0.3">
      <c r="A86" s="724" t="s">
        <v>569</v>
      </c>
      <c r="B86" s="725" t="s">
        <v>1762</v>
      </c>
      <c r="C86" s="725" t="s">
        <v>779</v>
      </c>
      <c r="D86" s="725" t="s">
        <v>1765</v>
      </c>
      <c r="E86" s="725" t="s">
        <v>1767</v>
      </c>
      <c r="F86" s="728"/>
      <c r="G86" s="728"/>
      <c r="H86" s="741">
        <v>0</v>
      </c>
      <c r="I86" s="728">
        <v>6</v>
      </c>
      <c r="J86" s="728">
        <v>341.28000000000009</v>
      </c>
      <c r="K86" s="741">
        <v>1</v>
      </c>
      <c r="L86" s="728">
        <v>6</v>
      </c>
      <c r="M86" s="729">
        <v>341.28000000000009</v>
      </c>
    </row>
    <row r="87" spans="1:13" ht="14.4" customHeight="1" x14ac:dyDescent="0.3">
      <c r="A87" s="724" t="s">
        <v>569</v>
      </c>
      <c r="B87" s="725" t="s">
        <v>1858</v>
      </c>
      <c r="C87" s="725" t="s">
        <v>1461</v>
      </c>
      <c r="D87" s="725" t="s">
        <v>1859</v>
      </c>
      <c r="E87" s="725" t="s">
        <v>1860</v>
      </c>
      <c r="F87" s="728"/>
      <c r="G87" s="728"/>
      <c r="H87" s="741">
        <v>0</v>
      </c>
      <c r="I87" s="728">
        <v>9</v>
      </c>
      <c r="J87" s="728">
        <v>2926.4399999999996</v>
      </c>
      <c r="K87" s="741">
        <v>1</v>
      </c>
      <c r="L87" s="728">
        <v>9</v>
      </c>
      <c r="M87" s="729">
        <v>2926.4399999999996</v>
      </c>
    </row>
    <row r="88" spans="1:13" ht="14.4" customHeight="1" x14ac:dyDescent="0.3">
      <c r="A88" s="724" t="s">
        <v>569</v>
      </c>
      <c r="B88" s="725" t="s">
        <v>1801</v>
      </c>
      <c r="C88" s="725" t="s">
        <v>1469</v>
      </c>
      <c r="D88" s="725" t="s">
        <v>1470</v>
      </c>
      <c r="E88" s="725" t="s">
        <v>1861</v>
      </c>
      <c r="F88" s="728"/>
      <c r="G88" s="728"/>
      <c r="H88" s="741">
        <v>0</v>
      </c>
      <c r="I88" s="728">
        <v>86</v>
      </c>
      <c r="J88" s="728">
        <v>82581.306755383586</v>
      </c>
      <c r="K88" s="741">
        <v>1</v>
      </c>
      <c r="L88" s="728">
        <v>86</v>
      </c>
      <c r="M88" s="729">
        <v>82581.306755383586</v>
      </c>
    </row>
    <row r="89" spans="1:13" ht="14.4" customHeight="1" x14ac:dyDescent="0.3">
      <c r="A89" s="724" t="s">
        <v>569</v>
      </c>
      <c r="B89" s="725" t="s">
        <v>1801</v>
      </c>
      <c r="C89" s="725" t="s">
        <v>1030</v>
      </c>
      <c r="D89" s="725" t="s">
        <v>1802</v>
      </c>
      <c r="E89" s="725" t="s">
        <v>1803</v>
      </c>
      <c r="F89" s="728"/>
      <c r="G89" s="728"/>
      <c r="H89" s="741">
        <v>0</v>
      </c>
      <c r="I89" s="728">
        <v>3</v>
      </c>
      <c r="J89" s="728">
        <v>407.66999999999996</v>
      </c>
      <c r="K89" s="741">
        <v>1</v>
      </c>
      <c r="L89" s="728">
        <v>3</v>
      </c>
      <c r="M89" s="729">
        <v>407.66999999999996</v>
      </c>
    </row>
    <row r="90" spans="1:13" ht="14.4" customHeight="1" x14ac:dyDescent="0.3">
      <c r="A90" s="724" t="s">
        <v>569</v>
      </c>
      <c r="B90" s="725" t="s">
        <v>1804</v>
      </c>
      <c r="C90" s="725" t="s">
        <v>1487</v>
      </c>
      <c r="D90" s="725" t="s">
        <v>1862</v>
      </c>
      <c r="E90" s="725" t="s">
        <v>1863</v>
      </c>
      <c r="F90" s="728"/>
      <c r="G90" s="728"/>
      <c r="H90" s="741">
        <v>0</v>
      </c>
      <c r="I90" s="728">
        <v>1</v>
      </c>
      <c r="J90" s="728">
        <v>952.22000000000048</v>
      </c>
      <c r="K90" s="741">
        <v>1</v>
      </c>
      <c r="L90" s="728">
        <v>1</v>
      </c>
      <c r="M90" s="729">
        <v>952.22000000000048</v>
      </c>
    </row>
    <row r="91" spans="1:13" ht="14.4" customHeight="1" x14ac:dyDescent="0.3">
      <c r="A91" s="724" t="s">
        <v>569</v>
      </c>
      <c r="B91" s="725" t="s">
        <v>1864</v>
      </c>
      <c r="C91" s="725" t="s">
        <v>1490</v>
      </c>
      <c r="D91" s="725" t="s">
        <v>1865</v>
      </c>
      <c r="E91" s="725" t="s">
        <v>1866</v>
      </c>
      <c r="F91" s="728"/>
      <c r="G91" s="728"/>
      <c r="H91" s="741">
        <v>0</v>
      </c>
      <c r="I91" s="728">
        <v>2</v>
      </c>
      <c r="J91" s="728">
        <v>224.09798811362086</v>
      </c>
      <c r="K91" s="741">
        <v>1</v>
      </c>
      <c r="L91" s="728">
        <v>2</v>
      </c>
      <c r="M91" s="729">
        <v>224.09798811362086</v>
      </c>
    </row>
    <row r="92" spans="1:13" ht="14.4" customHeight="1" x14ac:dyDescent="0.3">
      <c r="A92" s="724" t="s">
        <v>569</v>
      </c>
      <c r="B92" s="725" t="s">
        <v>1864</v>
      </c>
      <c r="C92" s="725" t="s">
        <v>1493</v>
      </c>
      <c r="D92" s="725" t="s">
        <v>1865</v>
      </c>
      <c r="E92" s="725" t="s">
        <v>1867</v>
      </c>
      <c r="F92" s="728"/>
      <c r="G92" s="728"/>
      <c r="H92" s="741">
        <v>0</v>
      </c>
      <c r="I92" s="728">
        <v>1</v>
      </c>
      <c r="J92" s="728">
        <v>457.42000000000013</v>
      </c>
      <c r="K92" s="741">
        <v>1</v>
      </c>
      <c r="L92" s="728">
        <v>1</v>
      </c>
      <c r="M92" s="729">
        <v>457.42000000000013</v>
      </c>
    </row>
    <row r="93" spans="1:13" ht="14.4" customHeight="1" x14ac:dyDescent="0.3">
      <c r="A93" s="724" t="s">
        <v>569</v>
      </c>
      <c r="B93" s="725" t="s">
        <v>1864</v>
      </c>
      <c r="C93" s="725" t="s">
        <v>1094</v>
      </c>
      <c r="D93" s="725" t="s">
        <v>1868</v>
      </c>
      <c r="E93" s="725" t="s">
        <v>1866</v>
      </c>
      <c r="F93" s="728">
        <v>1</v>
      </c>
      <c r="G93" s="728">
        <v>107.45</v>
      </c>
      <c r="H93" s="741">
        <v>1</v>
      </c>
      <c r="I93" s="728"/>
      <c r="J93" s="728"/>
      <c r="K93" s="741">
        <v>0</v>
      </c>
      <c r="L93" s="728">
        <v>1</v>
      </c>
      <c r="M93" s="729">
        <v>107.45</v>
      </c>
    </row>
    <row r="94" spans="1:13" ht="14.4" customHeight="1" x14ac:dyDescent="0.3">
      <c r="A94" s="724" t="s">
        <v>569</v>
      </c>
      <c r="B94" s="725" t="s">
        <v>1812</v>
      </c>
      <c r="C94" s="725" t="s">
        <v>1484</v>
      </c>
      <c r="D94" s="725" t="s">
        <v>1869</v>
      </c>
      <c r="E94" s="725" t="s">
        <v>1870</v>
      </c>
      <c r="F94" s="728"/>
      <c r="G94" s="728"/>
      <c r="H94" s="741">
        <v>0</v>
      </c>
      <c r="I94" s="728">
        <v>40</v>
      </c>
      <c r="J94" s="728">
        <v>3814.8000204998129</v>
      </c>
      <c r="K94" s="741">
        <v>1</v>
      </c>
      <c r="L94" s="728">
        <v>40</v>
      </c>
      <c r="M94" s="729">
        <v>3814.8000204998129</v>
      </c>
    </row>
    <row r="95" spans="1:13" ht="14.4" customHeight="1" x14ac:dyDescent="0.3">
      <c r="A95" s="724" t="s">
        <v>569</v>
      </c>
      <c r="B95" s="725" t="s">
        <v>1871</v>
      </c>
      <c r="C95" s="725" t="s">
        <v>1439</v>
      </c>
      <c r="D95" s="725" t="s">
        <v>1440</v>
      </c>
      <c r="E95" s="725" t="s">
        <v>1783</v>
      </c>
      <c r="F95" s="728"/>
      <c r="G95" s="728"/>
      <c r="H95" s="741">
        <v>0</v>
      </c>
      <c r="I95" s="728">
        <v>2</v>
      </c>
      <c r="J95" s="728">
        <v>40.120000000000005</v>
      </c>
      <c r="K95" s="741">
        <v>1</v>
      </c>
      <c r="L95" s="728">
        <v>2</v>
      </c>
      <c r="M95" s="729">
        <v>40.120000000000005</v>
      </c>
    </row>
    <row r="96" spans="1:13" ht="14.4" customHeight="1" x14ac:dyDescent="0.3">
      <c r="A96" s="724" t="s">
        <v>569</v>
      </c>
      <c r="B96" s="725" t="s">
        <v>1872</v>
      </c>
      <c r="C96" s="725" t="s">
        <v>1431</v>
      </c>
      <c r="D96" s="725" t="s">
        <v>1873</v>
      </c>
      <c r="E96" s="725" t="s">
        <v>1874</v>
      </c>
      <c r="F96" s="728"/>
      <c r="G96" s="728"/>
      <c r="H96" s="741">
        <v>0</v>
      </c>
      <c r="I96" s="728">
        <v>6</v>
      </c>
      <c r="J96" s="728">
        <v>487.34000000000003</v>
      </c>
      <c r="K96" s="741">
        <v>1</v>
      </c>
      <c r="L96" s="728">
        <v>6</v>
      </c>
      <c r="M96" s="729">
        <v>487.34000000000003</v>
      </c>
    </row>
    <row r="97" spans="1:13" ht="14.4" customHeight="1" x14ac:dyDescent="0.3">
      <c r="A97" s="724" t="s">
        <v>569</v>
      </c>
      <c r="B97" s="725" t="s">
        <v>1875</v>
      </c>
      <c r="C97" s="725" t="s">
        <v>1421</v>
      </c>
      <c r="D97" s="725" t="s">
        <v>1422</v>
      </c>
      <c r="E97" s="725" t="s">
        <v>1876</v>
      </c>
      <c r="F97" s="728"/>
      <c r="G97" s="728"/>
      <c r="H97" s="741">
        <v>0</v>
      </c>
      <c r="I97" s="728">
        <v>1</v>
      </c>
      <c r="J97" s="728">
        <v>75.919999999999987</v>
      </c>
      <c r="K97" s="741">
        <v>1</v>
      </c>
      <c r="L97" s="728">
        <v>1</v>
      </c>
      <c r="M97" s="729">
        <v>75.919999999999987</v>
      </c>
    </row>
    <row r="98" spans="1:13" ht="14.4" customHeight="1" x14ac:dyDescent="0.3">
      <c r="A98" s="724" t="s">
        <v>569</v>
      </c>
      <c r="B98" s="725" t="s">
        <v>1877</v>
      </c>
      <c r="C98" s="725" t="s">
        <v>1454</v>
      </c>
      <c r="D98" s="725" t="s">
        <v>1878</v>
      </c>
      <c r="E98" s="725" t="s">
        <v>1879</v>
      </c>
      <c r="F98" s="728"/>
      <c r="G98" s="728"/>
      <c r="H98" s="741">
        <v>0</v>
      </c>
      <c r="I98" s="728">
        <v>1</v>
      </c>
      <c r="J98" s="728">
        <v>155.52000000000007</v>
      </c>
      <c r="K98" s="741">
        <v>1</v>
      </c>
      <c r="L98" s="728">
        <v>1</v>
      </c>
      <c r="M98" s="729">
        <v>155.52000000000007</v>
      </c>
    </row>
    <row r="99" spans="1:13" ht="14.4" customHeight="1" x14ac:dyDescent="0.3">
      <c r="A99" s="724" t="s">
        <v>569</v>
      </c>
      <c r="B99" s="725" t="s">
        <v>1880</v>
      </c>
      <c r="C99" s="725" t="s">
        <v>1509</v>
      </c>
      <c r="D99" s="725" t="s">
        <v>1510</v>
      </c>
      <c r="E99" s="725" t="s">
        <v>1511</v>
      </c>
      <c r="F99" s="728"/>
      <c r="G99" s="728"/>
      <c r="H99" s="741">
        <v>0</v>
      </c>
      <c r="I99" s="728">
        <v>6</v>
      </c>
      <c r="J99" s="728">
        <v>245.52</v>
      </c>
      <c r="K99" s="741">
        <v>1</v>
      </c>
      <c r="L99" s="728">
        <v>6</v>
      </c>
      <c r="M99" s="729">
        <v>245.52</v>
      </c>
    </row>
    <row r="100" spans="1:13" ht="14.4" customHeight="1" x14ac:dyDescent="0.3">
      <c r="A100" s="724" t="s">
        <v>569</v>
      </c>
      <c r="B100" s="725" t="s">
        <v>1880</v>
      </c>
      <c r="C100" s="725" t="s">
        <v>1513</v>
      </c>
      <c r="D100" s="725" t="s">
        <v>1514</v>
      </c>
      <c r="E100" s="725" t="s">
        <v>1511</v>
      </c>
      <c r="F100" s="728"/>
      <c r="G100" s="728"/>
      <c r="H100" s="741">
        <v>0</v>
      </c>
      <c r="I100" s="728">
        <v>7</v>
      </c>
      <c r="J100" s="728">
        <v>286.44</v>
      </c>
      <c r="K100" s="741">
        <v>1</v>
      </c>
      <c r="L100" s="728">
        <v>7</v>
      </c>
      <c r="M100" s="729">
        <v>286.44</v>
      </c>
    </row>
    <row r="101" spans="1:13" ht="14.4" customHeight="1" x14ac:dyDescent="0.3">
      <c r="A101" s="724" t="s">
        <v>569</v>
      </c>
      <c r="B101" s="725" t="s">
        <v>1880</v>
      </c>
      <c r="C101" s="725" t="s">
        <v>1519</v>
      </c>
      <c r="D101" s="725" t="s">
        <v>1520</v>
      </c>
      <c r="E101" s="725" t="s">
        <v>1881</v>
      </c>
      <c r="F101" s="728"/>
      <c r="G101" s="728"/>
      <c r="H101" s="741">
        <v>0</v>
      </c>
      <c r="I101" s="728">
        <v>16</v>
      </c>
      <c r="J101" s="728">
        <v>2503.8400000000006</v>
      </c>
      <c r="K101" s="741">
        <v>1</v>
      </c>
      <c r="L101" s="728">
        <v>16</v>
      </c>
      <c r="M101" s="729">
        <v>2503.8400000000006</v>
      </c>
    </row>
    <row r="102" spans="1:13" ht="14.4" customHeight="1" x14ac:dyDescent="0.3">
      <c r="A102" s="724" t="s">
        <v>569</v>
      </c>
      <c r="B102" s="725" t="s">
        <v>1880</v>
      </c>
      <c r="C102" s="725" t="s">
        <v>1534</v>
      </c>
      <c r="D102" s="725" t="s">
        <v>1535</v>
      </c>
      <c r="E102" s="725" t="s">
        <v>1536</v>
      </c>
      <c r="F102" s="728"/>
      <c r="G102" s="728"/>
      <c r="H102" s="741">
        <v>0</v>
      </c>
      <c r="I102" s="728">
        <v>8</v>
      </c>
      <c r="J102" s="728">
        <v>2228.1502737611672</v>
      </c>
      <c r="K102" s="741">
        <v>1</v>
      </c>
      <c r="L102" s="728">
        <v>8</v>
      </c>
      <c r="M102" s="729">
        <v>2228.1502737611672</v>
      </c>
    </row>
    <row r="103" spans="1:13" ht="14.4" customHeight="1" x14ac:dyDescent="0.3">
      <c r="A103" s="724" t="s">
        <v>569</v>
      </c>
      <c r="B103" s="725" t="s">
        <v>1880</v>
      </c>
      <c r="C103" s="725" t="s">
        <v>1515</v>
      </c>
      <c r="D103" s="725" t="s">
        <v>1516</v>
      </c>
      <c r="E103" s="725" t="s">
        <v>1517</v>
      </c>
      <c r="F103" s="728"/>
      <c r="G103" s="728"/>
      <c r="H103" s="741">
        <v>0</v>
      </c>
      <c r="I103" s="728">
        <v>1</v>
      </c>
      <c r="J103" s="728">
        <v>148.95999999999998</v>
      </c>
      <c r="K103" s="741">
        <v>1</v>
      </c>
      <c r="L103" s="728">
        <v>1</v>
      </c>
      <c r="M103" s="729">
        <v>148.95999999999998</v>
      </c>
    </row>
    <row r="104" spans="1:13" ht="14.4" customHeight="1" x14ac:dyDescent="0.3">
      <c r="A104" s="724" t="s">
        <v>569</v>
      </c>
      <c r="B104" s="725" t="s">
        <v>1880</v>
      </c>
      <c r="C104" s="725" t="s">
        <v>1532</v>
      </c>
      <c r="D104" s="725" t="s">
        <v>1533</v>
      </c>
      <c r="E104" s="725" t="s">
        <v>1882</v>
      </c>
      <c r="F104" s="728"/>
      <c r="G104" s="728"/>
      <c r="H104" s="741">
        <v>0</v>
      </c>
      <c r="I104" s="728">
        <v>1</v>
      </c>
      <c r="J104" s="728">
        <v>111.95000000000003</v>
      </c>
      <c r="K104" s="741">
        <v>1</v>
      </c>
      <c r="L104" s="728">
        <v>1</v>
      </c>
      <c r="M104" s="729">
        <v>111.95000000000003</v>
      </c>
    </row>
    <row r="105" spans="1:13" ht="14.4" customHeight="1" x14ac:dyDescent="0.3">
      <c r="A105" s="724" t="s">
        <v>569</v>
      </c>
      <c r="B105" s="725" t="s">
        <v>1880</v>
      </c>
      <c r="C105" s="725" t="s">
        <v>1522</v>
      </c>
      <c r="D105" s="725" t="s">
        <v>1523</v>
      </c>
      <c r="E105" s="725" t="s">
        <v>1882</v>
      </c>
      <c r="F105" s="728"/>
      <c r="G105" s="728"/>
      <c r="H105" s="741">
        <v>0</v>
      </c>
      <c r="I105" s="728">
        <v>5</v>
      </c>
      <c r="J105" s="728">
        <v>559.75</v>
      </c>
      <c r="K105" s="741">
        <v>1</v>
      </c>
      <c r="L105" s="728">
        <v>5</v>
      </c>
      <c r="M105" s="729">
        <v>559.75</v>
      </c>
    </row>
    <row r="106" spans="1:13" ht="14.4" customHeight="1" x14ac:dyDescent="0.3">
      <c r="A106" s="724" t="s">
        <v>569</v>
      </c>
      <c r="B106" s="725" t="s">
        <v>1880</v>
      </c>
      <c r="C106" s="725" t="s">
        <v>1525</v>
      </c>
      <c r="D106" s="725" t="s">
        <v>1526</v>
      </c>
      <c r="E106" s="725" t="s">
        <v>1882</v>
      </c>
      <c r="F106" s="728"/>
      <c r="G106" s="728"/>
      <c r="H106" s="741">
        <v>0</v>
      </c>
      <c r="I106" s="728">
        <v>3</v>
      </c>
      <c r="J106" s="728">
        <v>335.85</v>
      </c>
      <c r="K106" s="741">
        <v>1</v>
      </c>
      <c r="L106" s="728">
        <v>3</v>
      </c>
      <c r="M106" s="729">
        <v>335.85</v>
      </c>
    </row>
    <row r="107" spans="1:13" ht="14.4" customHeight="1" x14ac:dyDescent="0.3">
      <c r="A107" s="724" t="s">
        <v>569</v>
      </c>
      <c r="B107" s="725" t="s">
        <v>1880</v>
      </c>
      <c r="C107" s="725" t="s">
        <v>1528</v>
      </c>
      <c r="D107" s="725" t="s">
        <v>1883</v>
      </c>
      <c r="E107" s="725" t="s">
        <v>1882</v>
      </c>
      <c r="F107" s="728"/>
      <c r="G107" s="728"/>
      <c r="H107" s="741">
        <v>0</v>
      </c>
      <c r="I107" s="728">
        <v>3</v>
      </c>
      <c r="J107" s="728">
        <v>335.84999999999997</v>
      </c>
      <c r="K107" s="741">
        <v>1</v>
      </c>
      <c r="L107" s="728">
        <v>3</v>
      </c>
      <c r="M107" s="729">
        <v>335.84999999999997</v>
      </c>
    </row>
    <row r="108" spans="1:13" ht="14.4" customHeight="1" x14ac:dyDescent="0.3">
      <c r="A108" s="724" t="s">
        <v>569</v>
      </c>
      <c r="B108" s="725" t="s">
        <v>1880</v>
      </c>
      <c r="C108" s="725" t="s">
        <v>1537</v>
      </c>
      <c r="D108" s="725" t="s">
        <v>1538</v>
      </c>
      <c r="E108" s="725" t="s">
        <v>1539</v>
      </c>
      <c r="F108" s="728"/>
      <c r="G108" s="728"/>
      <c r="H108" s="741">
        <v>0</v>
      </c>
      <c r="I108" s="728">
        <v>2</v>
      </c>
      <c r="J108" s="728">
        <v>327.33999999999997</v>
      </c>
      <c r="K108" s="741">
        <v>1</v>
      </c>
      <c r="L108" s="728">
        <v>2</v>
      </c>
      <c r="M108" s="729">
        <v>327.33999999999997</v>
      </c>
    </row>
    <row r="109" spans="1:13" ht="14.4" customHeight="1" x14ac:dyDescent="0.3">
      <c r="A109" s="724" t="s">
        <v>569</v>
      </c>
      <c r="B109" s="725" t="s">
        <v>1880</v>
      </c>
      <c r="C109" s="725" t="s">
        <v>1542</v>
      </c>
      <c r="D109" s="725" t="s">
        <v>1543</v>
      </c>
      <c r="E109" s="725" t="s">
        <v>1539</v>
      </c>
      <c r="F109" s="728"/>
      <c r="G109" s="728"/>
      <c r="H109" s="741">
        <v>0</v>
      </c>
      <c r="I109" s="728">
        <v>1</v>
      </c>
      <c r="J109" s="728">
        <v>145.49999999999997</v>
      </c>
      <c r="K109" s="741">
        <v>1</v>
      </c>
      <c r="L109" s="728">
        <v>1</v>
      </c>
      <c r="M109" s="729">
        <v>145.49999999999997</v>
      </c>
    </row>
    <row r="110" spans="1:13" ht="14.4" customHeight="1" x14ac:dyDescent="0.3">
      <c r="A110" s="724" t="s">
        <v>569</v>
      </c>
      <c r="B110" s="725" t="s">
        <v>1880</v>
      </c>
      <c r="C110" s="725" t="s">
        <v>1544</v>
      </c>
      <c r="D110" s="725" t="s">
        <v>1545</v>
      </c>
      <c r="E110" s="725" t="s">
        <v>1539</v>
      </c>
      <c r="F110" s="728"/>
      <c r="G110" s="728"/>
      <c r="H110" s="741">
        <v>0</v>
      </c>
      <c r="I110" s="728">
        <v>1</v>
      </c>
      <c r="J110" s="728">
        <v>129.97000000000003</v>
      </c>
      <c r="K110" s="741">
        <v>1</v>
      </c>
      <c r="L110" s="728">
        <v>1</v>
      </c>
      <c r="M110" s="729">
        <v>129.97000000000003</v>
      </c>
    </row>
    <row r="111" spans="1:13" ht="14.4" customHeight="1" x14ac:dyDescent="0.3">
      <c r="A111" s="724" t="s">
        <v>569</v>
      </c>
      <c r="B111" s="725" t="s">
        <v>1880</v>
      </c>
      <c r="C111" s="725" t="s">
        <v>1540</v>
      </c>
      <c r="D111" s="725" t="s">
        <v>1541</v>
      </c>
      <c r="E111" s="725" t="s">
        <v>1539</v>
      </c>
      <c r="F111" s="728"/>
      <c r="G111" s="728"/>
      <c r="H111" s="741">
        <v>0</v>
      </c>
      <c r="I111" s="728">
        <v>1</v>
      </c>
      <c r="J111" s="728">
        <v>129.97</v>
      </c>
      <c r="K111" s="741">
        <v>1</v>
      </c>
      <c r="L111" s="728">
        <v>1</v>
      </c>
      <c r="M111" s="729">
        <v>129.97</v>
      </c>
    </row>
    <row r="112" spans="1:13" ht="14.4" customHeight="1" x14ac:dyDescent="0.3">
      <c r="A112" s="724" t="s">
        <v>569</v>
      </c>
      <c r="B112" s="725" t="s">
        <v>1880</v>
      </c>
      <c r="C112" s="725" t="s">
        <v>1546</v>
      </c>
      <c r="D112" s="725" t="s">
        <v>1547</v>
      </c>
      <c r="E112" s="725" t="s">
        <v>1517</v>
      </c>
      <c r="F112" s="728"/>
      <c r="G112" s="728"/>
      <c r="H112" s="741">
        <v>0</v>
      </c>
      <c r="I112" s="728">
        <v>1</v>
      </c>
      <c r="J112" s="728">
        <v>135.6</v>
      </c>
      <c r="K112" s="741">
        <v>1</v>
      </c>
      <c r="L112" s="728">
        <v>1</v>
      </c>
      <c r="M112" s="729">
        <v>135.6</v>
      </c>
    </row>
    <row r="113" spans="1:13" ht="14.4" customHeight="1" thickBot="1" x14ac:dyDescent="0.35">
      <c r="A113" s="730" t="s">
        <v>572</v>
      </c>
      <c r="B113" s="731" t="s">
        <v>1743</v>
      </c>
      <c r="C113" s="731" t="s">
        <v>1054</v>
      </c>
      <c r="D113" s="731" t="s">
        <v>820</v>
      </c>
      <c r="E113" s="731" t="s">
        <v>1775</v>
      </c>
      <c r="F113" s="734"/>
      <c r="G113" s="734"/>
      <c r="H113" s="742">
        <v>0</v>
      </c>
      <c r="I113" s="734">
        <v>6</v>
      </c>
      <c r="J113" s="734">
        <v>2453.6819999999998</v>
      </c>
      <c r="K113" s="742">
        <v>1</v>
      </c>
      <c r="L113" s="734">
        <v>6</v>
      </c>
      <c r="M113" s="735">
        <v>2453.6819999999998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6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43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65" t="s">
        <v>255</v>
      </c>
      <c r="B1" s="565"/>
      <c r="C1" s="565"/>
      <c r="D1" s="565"/>
      <c r="E1" s="565"/>
      <c r="F1" s="527"/>
      <c r="G1" s="527"/>
      <c r="H1" s="527"/>
      <c r="I1" s="527"/>
      <c r="J1" s="558"/>
      <c r="K1" s="558"/>
      <c r="L1" s="558"/>
      <c r="M1" s="558"/>
      <c r="N1" s="558"/>
      <c r="O1" s="558"/>
      <c r="P1" s="558"/>
      <c r="Q1" s="558"/>
    </row>
    <row r="2" spans="1:17" ht="14.4" customHeight="1" thickBot="1" x14ac:dyDescent="0.35">
      <c r="A2" s="374" t="s">
        <v>323</v>
      </c>
      <c r="B2" s="336"/>
      <c r="C2" s="336"/>
      <c r="D2" s="336"/>
      <c r="E2" s="336"/>
    </row>
    <row r="3" spans="1:17" ht="14.4" customHeight="1" thickBot="1" x14ac:dyDescent="0.35">
      <c r="A3" s="432" t="s">
        <v>3</v>
      </c>
      <c r="B3" s="436">
        <f>SUM(B6:B1048576)</f>
        <v>1016</v>
      </c>
      <c r="C3" s="437">
        <f>SUM(C6:C1048576)</f>
        <v>530</v>
      </c>
      <c r="D3" s="437">
        <f>SUM(D6:D1048576)</f>
        <v>491</v>
      </c>
      <c r="E3" s="438">
        <f>SUM(E6:E1048576)</f>
        <v>0</v>
      </c>
      <c r="F3" s="435">
        <f>IF(SUM($B3:$E3)=0,"",B3/SUM($B3:$E3))</f>
        <v>0.49877270495827197</v>
      </c>
      <c r="G3" s="433">
        <f t="shared" ref="G3:I3" si="0">IF(SUM($B3:$E3)=0,"",C3/SUM($B3:$E3))</f>
        <v>0.26018654884634268</v>
      </c>
      <c r="H3" s="433">
        <f t="shared" si="0"/>
        <v>0.24104074619538537</v>
      </c>
      <c r="I3" s="434">
        <f t="shared" si="0"/>
        <v>0</v>
      </c>
      <c r="J3" s="437">
        <f>SUM(J6:J1048576)</f>
        <v>150</v>
      </c>
      <c r="K3" s="437">
        <f>SUM(K6:K1048576)</f>
        <v>209</v>
      </c>
      <c r="L3" s="437">
        <f>SUM(L6:L1048576)</f>
        <v>491</v>
      </c>
      <c r="M3" s="438">
        <f>SUM(M6:M1048576)</f>
        <v>0</v>
      </c>
      <c r="N3" s="435">
        <f>IF(SUM($J3:$M3)=0,"",J3/SUM($J3:$M3))</f>
        <v>0.17647058823529413</v>
      </c>
      <c r="O3" s="433">
        <f t="shared" ref="O3:Q3" si="1">IF(SUM($J3:$M3)=0,"",K3/SUM($J3:$M3))</f>
        <v>0.24588235294117647</v>
      </c>
      <c r="P3" s="433">
        <f t="shared" si="1"/>
        <v>0.5776470588235294</v>
      </c>
      <c r="Q3" s="434">
        <f t="shared" si="1"/>
        <v>0</v>
      </c>
    </row>
    <row r="4" spans="1:17" ht="14.4" customHeight="1" thickBot="1" x14ac:dyDescent="0.35">
      <c r="A4" s="431"/>
      <c r="B4" s="578" t="s">
        <v>257</v>
      </c>
      <c r="C4" s="579"/>
      <c r="D4" s="579"/>
      <c r="E4" s="580"/>
      <c r="F4" s="575" t="s">
        <v>262</v>
      </c>
      <c r="G4" s="576"/>
      <c r="H4" s="576"/>
      <c r="I4" s="577"/>
      <c r="J4" s="578" t="s">
        <v>263</v>
      </c>
      <c r="K4" s="579"/>
      <c r="L4" s="579"/>
      <c r="M4" s="580"/>
      <c r="N4" s="575" t="s">
        <v>264</v>
      </c>
      <c r="O4" s="576"/>
      <c r="P4" s="576"/>
      <c r="Q4" s="577"/>
    </row>
    <row r="5" spans="1:17" ht="14.4" customHeight="1" thickBot="1" x14ac:dyDescent="0.35">
      <c r="A5" s="757" t="s">
        <v>256</v>
      </c>
      <c r="B5" s="758" t="s">
        <v>258</v>
      </c>
      <c r="C5" s="758" t="s">
        <v>259</v>
      </c>
      <c r="D5" s="758" t="s">
        <v>260</v>
      </c>
      <c r="E5" s="759" t="s">
        <v>261</v>
      </c>
      <c r="F5" s="760" t="s">
        <v>258</v>
      </c>
      <c r="G5" s="761" t="s">
        <v>259</v>
      </c>
      <c r="H5" s="761" t="s">
        <v>260</v>
      </c>
      <c r="I5" s="762" t="s">
        <v>261</v>
      </c>
      <c r="J5" s="758" t="s">
        <v>258</v>
      </c>
      <c r="K5" s="758" t="s">
        <v>259</v>
      </c>
      <c r="L5" s="758" t="s">
        <v>260</v>
      </c>
      <c r="M5" s="759" t="s">
        <v>261</v>
      </c>
      <c r="N5" s="760" t="s">
        <v>258</v>
      </c>
      <c r="O5" s="761" t="s">
        <v>259</v>
      </c>
      <c r="P5" s="761" t="s">
        <v>260</v>
      </c>
      <c r="Q5" s="762" t="s">
        <v>261</v>
      </c>
    </row>
    <row r="6" spans="1:17" ht="14.4" customHeight="1" x14ac:dyDescent="0.3">
      <c r="A6" s="766" t="s">
        <v>1885</v>
      </c>
      <c r="B6" s="772"/>
      <c r="C6" s="722"/>
      <c r="D6" s="722"/>
      <c r="E6" s="723"/>
      <c r="F6" s="769"/>
      <c r="G6" s="740"/>
      <c r="H6" s="740"/>
      <c r="I6" s="775"/>
      <c r="J6" s="772"/>
      <c r="K6" s="722"/>
      <c r="L6" s="722"/>
      <c r="M6" s="723"/>
      <c r="N6" s="769"/>
      <c r="O6" s="740"/>
      <c r="P6" s="740"/>
      <c r="Q6" s="763"/>
    </row>
    <row r="7" spans="1:17" ht="14.4" customHeight="1" x14ac:dyDescent="0.3">
      <c r="A7" s="767" t="s">
        <v>1886</v>
      </c>
      <c r="B7" s="773">
        <v>160</v>
      </c>
      <c r="C7" s="728">
        <v>154</v>
      </c>
      <c r="D7" s="728">
        <v>205</v>
      </c>
      <c r="E7" s="729"/>
      <c r="F7" s="770">
        <v>0.30828516377649323</v>
      </c>
      <c r="G7" s="741">
        <v>0.29672447013487474</v>
      </c>
      <c r="H7" s="741">
        <v>0.39499036608863197</v>
      </c>
      <c r="I7" s="776">
        <v>0</v>
      </c>
      <c r="J7" s="773">
        <v>28</v>
      </c>
      <c r="K7" s="728">
        <v>61</v>
      </c>
      <c r="L7" s="728">
        <v>205</v>
      </c>
      <c r="M7" s="729"/>
      <c r="N7" s="770">
        <v>9.5238095238095233E-2</v>
      </c>
      <c r="O7" s="741">
        <v>0.20748299319727892</v>
      </c>
      <c r="P7" s="741">
        <v>0.69727891156462585</v>
      </c>
      <c r="Q7" s="764">
        <v>0</v>
      </c>
    </row>
    <row r="8" spans="1:17" ht="14.4" customHeight="1" x14ac:dyDescent="0.3">
      <c r="A8" s="767" t="s">
        <v>1887</v>
      </c>
      <c r="B8" s="773">
        <v>109</v>
      </c>
      <c r="C8" s="728">
        <v>136</v>
      </c>
      <c r="D8" s="728">
        <v>128</v>
      </c>
      <c r="E8" s="729"/>
      <c r="F8" s="770">
        <v>0.29222520107238603</v>
      </c>
      <c r="G8" s="741">
        <v>0.36461126005361932</v>
      </c>
      <c r="H8" s="741">
        <v>0.34316353887399464</v>
      </c>
      <c r="I8" s="776">
        <v>0</v>
      </c>
      <c r="J8" s="773">
        <v>24</v>
      </c>
      <c r="K8" s="728">
        <v>52</v>
      </c>
      <c r="L8" s="728">
        <v>128</v>
      </c>
      <c r="M8" s="729"/>
      <c r="N8" s="770">
        <v>0.11764705882352941</v>
      </c>
      <c r="O8" s="741">
        <v>0.25490196078431371</v>
      </c>
      <c r="P8" s="741">
        <v>0.62745098039215685</v>
      </c>
      <c r="Q8" s="764">
        <v>0</v>
      </c>
    </row>
    <row r="9" spans="1:17" ht="14.4" customHeight="1" x14ac:dyDescent="0.3">
      <c r="A9" s="767" t="s">
        <v>1888</v>
      </c>
      <c r="B9" s="773">
        <v>16</v>
      </c>
      <c r="C9" s="728"/>
      <c r="D9" s="728"/>
      <c r="E9" s="729"/>
      <c r="F9" s="770">
        <v>1</v>
      </c>
      <c r="G9" s="741">
        <v>0</v>
      </c>
      <c r="H9" s="741">
        <v>0</v>
      </c>
      <c r="I9" s="776">
        <v>0</v>
      </c>
      <c r="J9" s="773">
        <v>4</v>
      </c>
      <c r="K9" s="728"/>
      <c r="L9" s="728"/>
      <c r="M9" s="729"/>
      <c r="N9" s="770">
        <v>1</v>
      </c>
      <c r="O9" s="741">
        <v>0</v>
      </c>
      <c r="P9" s="741">
        <v>0</v>
      </c>
      <c r="Q9" s="764">
        <v>0</v>
      </c>
    </row>
    <row r="10" spans="1:17" ht="14.4" customHeight="1" x14ac:dyDescent="0.3">
      <c r="A10" s="767" t="s">
        <v>1889</v>
      </c>
      <c r="B10" s="773">
        <v>492</v>
      </c>
      <c r="C10" s="728">
        <v>215</v>
      </c>
      <c r="D10" s="728">
        <v>158</v>
      </c>
      <c r="E10" s="729"/>
      <c r="F10" s="770">
        <v>0.56878612716763011</v>
      </c>
      <c r="G10" s="741">
        <v>0.24855491329479767</v>
      </c>
      <c r="H10" s="741">
        <v>0.18265895953757225</v>
      </c>
      <c r="I10" s="776">
        <v>0</v>
      </c>
      <c r="J10" s="773">
        <v>48</v>
      </c>
      <c r="K10" s="728">
        <v>80</v>
      </c>
      <c r="L10" s="728">
        <v>158</v>
      </c>
      <c r="M10" s="729"/>
      <c r="N10" s="770">
        <v>0.16783216783216784</v>
      </c>
      <c r="O10" s="741">
        <v>0.27972027972027974</v>
      </c>
      <c r="P10" s="741">
        <v>0.55244755244755239</v>
      </c>
      <c r="Q10" s="764">
        <v>0</v>
      </c>
    </row>
    <row r="11" spans="1:17" ht="14.4" customHeight="1" thickBot="1" x14ac:dyDescent="0.35">
      <c r="A11" s="768" t="s">
        <v>1890</v>
      </c>
      <c r="B11" s="774">
        <v>239</v>
      </c>
      <c r="C11" s="734">
        <v>25</v>
      </c>
      <c r="D11" s="734"/>
      <c r="E11" s="735"/>
      <c r="F11" s="771">
        <v>0.90530303030303028</v>
      </c>
      <c r="G11" s="742">
        <v>9.4696969696969696E-2</v>
      </c>
      <c r="H11" s="742">
        <v>0</v>
      </c>
      <c r="I11" s="777">
        <v>0</v>
      </c>
      <c r="J11" s="774">
        <v>46</v>
      </c>
      <c r="K11" s="734">
        <v>16</v>
      </c>
      <c r="L11" s="734"/>
      <c r="M11" s="735"/>
      <c r="N11" s="771">
        <v>0.74193548387096775</v>
      </c>
      <c r="O11" s="742">
        <v>0.25806451612903225</v>
      </c>
      <c r="P11" s="742">
        <v>0</v>
      </c>
      <c r="Q11" s="76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6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1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65" t="s">
        <v>177</v>
      </c>
      <c r="B1" s="565"/>
      <c r="C1" s="565"/>
      <c r="D1" s="565"/>
      <c r="E1" s="565"/>
      <c r="F1" s="565"/>
      <c r="G1" s="565"/>
      <c r="H1" s="565"/>
      <c r="I1" s="527"/>
      <c r="J1" s="527"/>
      <c r="K1" s="527"/>
      <c r="L1" s="527"/>
    </row>
    <row r="2" spans="1:14" ht="14.4" customHeight="1" thickBot="1" x14ac:dyDescent="0.35">
      <c r="A2" s="374" t="s">
        <v>323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82" t="s">
        <v>15</v>
      </c>
      <c r="D3" s="581"/>
      <c r="E3" s="581" t="s">
        <v>16</v>
      </c>
      <c r="F3" s="581"/>
      <c r="G3" s="581"/>
      <c r="H3" s="581"/>
      <c r="I3" s="581" t="s">
        <v>190</v>
      </c>
      <c r="J3" s="581"/>
      <c r="K3" s="581"/>
      <c r="L3" s="583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08">
        <v>6</v>
      </c>
      <c r="B5" s="709" t="s">
        <v>1679</v>
      </c>
      <c r="C5" s="712">
        <v>236770.93999999997</v>
      </c>
      <c r="D5" s="712">
        <v>228</v>
      </c>
      <c r="E5" s="712">
        <v>210428.31999999998</v>
      </c>
      <c r="F5" s="778">
        <v>0.88874217418742352</v>
      </c>
      <c r="G5" s="712">
        <v>188</v>
      </c>
      <c r="H5" s="778">
        <v>0.82456140350877194</v>
      </c>
      <c r="I5" s="712">
        <v>26342.62</v>
      </c>
      <c r="J5" s="778">
        <v>0.1112578258125765</v>
      </c>
      <c r="K5" s="712">
        <v>40</v>
      </c>
      <c r="L5" s="778">
        <v>0.17543859649122806</v>
      </c>
      <c r="M5" s="712" t="s">
        <v>74</v>
      </c>
      <c r="N5" s="270"/>
    </row>
    <row r="6" spans="1:14" ht="14.4" customHeight="1" x14ac:dyDescent="0.3">
      <c r="A6" s="708">
        <v>6</v>
      </c>
      <c r="B6" s="709" t="s">
        <v>1891</v>
      </c>
      <c r="C6" s="712">
        <v>12177.460000000001</v>
      </c>
      <c r="D6" s="712">
        <v>54</v>
      </c>
      <c r="E6" s="712">
        <v>7138.15</v>
      </c>
      <c r="F6" s="778">
        <v>0.58617724878587152</v>
      </c>
      <c r="G6" s="712">
        <v>32</v>
      </c>
      <c r="H6" s="778">
        <v>0.59259259259259256</v>
      </c>
      <c r="I6" s="712">
        <v>5039.3100000000013</v>
      </c>
      <c r="J6" s="778">
        <v>0.41382275121412848</v>
      </c>
      <c r="K6" s="712">
        <v>22</v>
      </c>
      <c r="L6" s="778">
        <v>0.40740740740740738</v>
      </c>
      <c r="M6" s="712" t="s">
        <v>1</v>
      </c>
      <c r="N6" s="270"/>
    </row>
    <row r="7" spans="1:14" ht="14.4" customHeight="1" x14ac:dyDescent="0.3">
      <c r="A7" s="708">
        <v>6</v>
      </c>
      <c r="B7" s="709" t="s">
        <v>1892</v>
      </c>
      <c r="C7" s="712">
        <v>224593.47999999998</v>
      </c>
      <c r="D7" s="712">
        <v>174</v>
      </c>
      <c r="E7" s="712">
        <v>203290.16999999998</v>
      </c>
      <c r="F7" s="778">
        <v>0.90514724648284539</v>
      </c>
      <c r="G7" s="712">
        <v>156</v>
      </c>
      <c r="H7" s="778">
        <v>0.89655172413793105</v>
      </c>
      <c r="I7" s="712">
        <v>21303.309999999998</v>
      </c>
      <c r="J7" s="778">
        <v>9.4852753517154637E-2</v>
      </c>
      <c r="K7" s="712">
        <v>18</v>
      </c>
      <c r="L7" s="778">
        <v>0.10344827586206896</v>
      </c>
      <c r="M7" s="712" t="s">
        <v>1</v>
      </c>
      <c r="N7" s="270"/>
    </row>
    <row r="8" spans="1:14" ht="14.4" customHeight="1" x14ac:dyDescent="0.3">
      <c r="A8" s="708" t="s">
        <v>1893</v>
      </c>
      <c r="B8" s="709" t="s">
        <v>3</v>
      </c>
      <c r="C8" s="712">
        <v>236770.93999999997</v>
      </c>
      <c r="D8" s="712">
        <v>228</v>
      </c>
      <c r="E8" s="712">
        <v>210428.31999999998</v>
      </c>
      <c r="F8" s="778">
        <v>0.88874217418742352</v>
      </c>
      <c r="G8" s="712">
        <v>188</v>
      </c>
      <c r="H8" s="778">
        <v>0.82456140350877194</v>
      </c>
      <c r="I8" s="712">
        <v>26342.62</v>
      </c>
      <c r="J8" s="778">
        <v>0.1112578258125765</v>
      </c>
      <c r="K8" s="712">
        <v>40</v>
      </c>
      <c r="L8" s="778">
        <v>0.17543859649122806</v>
      </c>
      <c r="M8" s="712" t="s">
        <v>557</v>
      </c>
      <c r="N8" s="270"/>
    </row>
    <row r="10" spans="1:14" ht="14.4" customHeight="1" x14ac:dyDescent="0.3">
      <c r="A10" s="708">
        <v>6</v>
      </c>
      <c r="B10" s="709" t="s">
        <v>1679</v>
      </c>
      <c r="C10" s="712" t="s">
        <v>554</v>
      </c>
      <c r="D10" s="712" t="s">
        <v>554</v>
      </c>
      <c r="E10" s="712" t="s">
        <v>554</v>
      </c>
      <c r="F10" s="778" t="s">
        <v>554</v>
      </c>
      <c r="G10" s="712" t="s">
        <v>554</v>
      </c>
      <c r="H10" s="778" t="s">
        <v>554</v>
      </c>
      <c r="I10" s="712" t="s">
        <v>554</v>
      </c>
      <c r="J10" s="778" t="s">
        <v>554</v>
      </c>
      <c r="K10" s="712" t="s">
        <v>554</v>
      </c>
      <c r="L10" s="778" t="s">
        <v>554</v>
      </c>
      <c r="M10" s="712" t="s">
        <v>74</v>
      </c>
      <c r="N10" s="270"/>
    </row>
    <row r="11" spans="1:14" ht="14.4" customHeight="1" x14ac:dyDescent="0.3">
      <c r="A11" s="708" t="s">
        <v>1894</v>
      </c>
      <c r="B11" s="709" t="s">
        <v>1891</v>
      </c>
      <c r="C11" s="712">
        <v>736.33</v>
      </c>
      <c r="D11" s="712">
        <v>1</v>
      </c>
      <c r="E11" s="712" t="s">
        <v>554</v>
      </c>
      <c r="F11" s="778">
        <v>0</v>
      </c>
      <c r="G11" s="712" t="s">
        <v>554</v>
      </c>
      <c r="H11" s="778">
        <v>0</v>
      </c>
      <c r="I11" s="712">
        <v>736.33</v>
      </c>
      <c r="J11" s="778">
        <v>1</v>
      </c>
      <c r="K11" s="712">
        <v>1</v>
      </c>
      <c r="L11" s="778">
        <v>1</v>
      </c>
      <c r="M11" s="712" t="s">
        <v>1</v>
      </c>
      <c r="N11" s="270"/>
    </row>
    <row r="12" spans="1:14" ht="14.4" customHeight="1" x14ac:dyDescent="0.3">
      <c r="A12" s="708" t="s">
        <v>1894</v>
      </c>
      <c r="B12" s="709" t="s">
        <v>1895</v>
      </c>
      <c r="C12" s="712">
        <v>736.33</v>
      </c>
      <c r="D12" s="712">
        <v>1</v>
      </c>
      <c r="E12" s="712" t="s">
        <v>554</v>
      </c>
      <c r="F12" s="778">
        <v>0</v>
      </c>
      <c r="G12" s="712" t="s">
        <v>554</v>
      </c>
      <c r="H12" s="778">
        <v>0</v>
      </c>
      <c r="I12" s="712">
        <v>736.33</v>
      </c>
      <c r="J12" s="778">
        <v>1</v>
      </c>
      <c r="K12" s="712">
        <v>1</v>
      </c>
      <c r="L12" s="778">
        <v>1</v>
      </c>
      <c r="M12" s="712" t="s">
        <v>561</v>
      </c>
      <c r="N12" s="270"/>
    </row>
    <row r="13" spans="1:14" ht="14.4" customHeight="1" x14ac:dyDescent="0.3">
      <c r="A13" s="708" t="s">
        <v>554</v>
      </c>
      <c r="B13" s="709" t="s">
        <v>554</v>
      </c>
      <c r="C13" s="712" t="s">
        <v>554</v>
      </c>
      <c r="D13" s="712" t="s">
        <v>554</v>
      </c>
      <c r="E13" s="712" t="s">
        <v>554</v>
      </c>
      <c r="F13" s="778" t="s">
        <v>554</v>
      </c>
      <c r="G13" s="712" t="s">
        <v>554</v>
      </c>
      <c r="H13" s="778" t="s">
        <v>554</v>
      </c>
      <c r="I13" s="712" t="s">
        <v>554</v>
      </c>
      <c r="J13" s="778" t="s">
        <v>554</v>
      </c>
      <c r="K13" s="712" t="s">
        <v>554</v>
      </c>
      <c r="L13" s="778" t="s">
        <v>554</v>
      </c>
      <c r="M13" s="712" t="s">
        <v>562</v>
      </c>
      <c r="N13" s="270"/>
    </row>
    <row r="14" spans="1:14" ht="14.4" customHeight="1" x14ac:dyDescent="0.3">
      <c r="A14" s="708" t="s">
        <v>1896</v>
      </c>
      <c r="B14" s="709" t="s">
        <v>1891</v>
      </c>
      <c r="C14" s="712">
        <v>11441.130000000001</v>
      </c>
      <c r="D14" s="712">
        <v>53</v>
      </c>
      <c r="E14" s="712">
        <v>7138.15</v>
      </c>
      <c r="F14" s="778">
        <v>0.62390253410283769</v>
      </c>
      <c r="G14" s="712">
        <v>32</v>
      </c>
      <c r="H14" s="778">
        <v>0.60377358490566035</v>
      </c>
      <c r="I14" s="712">
        <v>4302.9800000000005</v>
      </c>
      <c r="J14" s="778">
        <v>0.37609746589716225</v>
      </c>
      <c r="K14" s="712">
        <v>21</v>
      </c>
      <c r="L14" s="778">
        <v>0.39622641509433965</v>
      </c>
      <c r="M14" s="712" t="s">
        <v>1</v>
      </c>
      <c r="N14" s="270"/>
    </row>
    <row r="15" spans="1:14" ht="14.4" customHeight="1" x14ac:dyDescent="0.3">
      <c r="A15" s="708" t="s">
        <v>1896</v>
      </c>
      <c r="B15" s="709" t="s">
        <v>1892</v>
      </c>
      <c r="C15" s="712">
        <v>224593.47999999998</v>
      </c>
      <c r="D15" s="712">
        <v>174</v>
      </c>
      <c r="E15" s="712">
        <v>203290.16999999998</v>
      </c>
      <c r="F15" s="778">
        <v>0.90514724648284539</v>
      </c>
      <c r="G15" s="712">
        <v>156</v>
      </c>
      <c r="H15" s="778">
        <v>0.89655172413793105</v>
      </c>
      <c r="I15" s="712">
        <v>21303.309999999998</v>
      </c>
      <c r="J15" s="778">
        <v>9.4852753517154637E-2</v>
      </c>
      <c r="K15" s="712">
        <v>18</v>
      </c>
      <c r="L15" s="778">
        <v>0.10344827586206896</v>
      </c>
      <c r="M15" s="712" t="s">
        <v>1</v>
      </c>
      <c r="N15" s="270"/>
    </row>
    <row r="16" spans="1:14" ht="14.4" customHeight="1" x14ac:dyDescent="0.3">
      <c r="A16" s="708" t="s">
        <v>1896</v>
      </c>
      <c r="B16" s="709" t="s">
        <v>1897</v>
      </c>
      <c r="C16" s="712">
        <v>236034.61</v>
      </c>
      <c r="D16" s="712">
        <v>227</v>
      </c>
      <c r="E16" s="712">
        <v>210428.31999999998</v>
      </c>
      <c r="F16" s="778">
        <v>0.89151468083430641</v>
      </c>
      <c r="G16" s="712">
        <v>188</v>
      </c>
      <c r="H16" s="778">
        <v>0.82819383259911894</v>
      </c>
      <c r="I16" s="712">
        <v>25606.289999999997</v>
      </c>
      <c r="J16" s="778">
        <v>0.10848531916569354</v>
      </c>
      <c r="K16" s="712">
        <v>39</v>
      </c>
      <c r="L16" s="778">
        <v>0.17180616740088106</v>
      </c>
      <c r="M16" s="712" t="s">
        <v>561</v>
      </c>
      <c r="N16" s="270"/>
    </row>
    <row r="17" spans="1:14" ht="14.4" customHeight="1" x14ac:dyDescent="0.3">
      <c r="A17" s="708" t="s">
        <v>554</v>
      </c>
      <c r="B17" s="709" t="s">
        <v>554</v>
      </c>
      <c r="C17" s="712" t="s">
        <v>554</v>
      </c>
      <c r="D17" s="712" t="s">
        <v>554</v>
      </c>
      <c r="E17" s="712" t="s">
        <v>554</v>
      </c>
      <c r="F17" s="778" t="s">
        <v>554</v>
      </c>
      <c r="G17" s="712" t="s">
        <v>554</v>
      </c>
      <c r="H17" s="778" t="s">
        <v>554</v>
      </c>
      <c r="I17" s="712" t="s">
        <v>554</v>
      </c>
      <c r="J17" s="778" t="s">
        <v>554</v>
      </c>
      <c r="K17" s="712" t="s">
        <v>554</v>
      </c>
      <c r="L17" s="778" t="s">
        <v>554</v>
      </c>
      <c r="M17" s="712" t="s">
        <v>562</v>
      </c>
      <c r="N17" s="270"/>
    </row>
    <row r="18" spans="1:14" ht="14.4" customHeight="1" x14ac:dyDescent="0.3">
      <c r="A18" s="708" t="s">
        <v>1893</v>
      </c>
      <c r="B18" s="709" t="s">
        <v>1898</v>
      </c>
      <c r="C18" s="712">
        <v>236770.93999999997</v>
      </c>
      <c r="D18" s="712">
        <v>228</v>
      </c>
      <c r="E18" s="712">
        <v>210428.31999999998</v>
      </c>
      <c r="F18" s="778">
        <v>0.88874217418742352</v>
      </c>
      <c r="G18" s="712">
        <v>188</v>
      </c>
      <c r="H18" s="778">
        <v>0.82456140350877194</v>
      </c>
      <c r="I18" s="712">
        <v>26342.62</v>
      </c>
      <c r="J18" s="778">
        <v>0.1112578258125765</v>
      </c>
      <c r="K18" s="712">
        <v>40</v>
      </c>
      <c r="L18" s="778">
        <v>0.17543859649122806</v>
      </c>
      <c r="M18" s="712" t="s">
        <v>557</v>
      </c>
      <c r="N18" s="270"/>
    </row>
    <row r="19" spans="1:14" ht="14.4" customHeight="1" x14ac:dyDescent="0.3">
      <c r="A19" s="779" t="s">
        <v>1899</v>
      </c>
    </row>
    <row r="20" spans="1:14" ht="14.4" customHeight="1" x14ac:dyDescent="0.3">
      <c r="A20" s="780" t="s">
        <v>1900</v>
      </c>
    </row>
    <row r="21" spans="1:14" ht="14.4" customHeight="1" x14ac:dyDescent="0.3">
      <c r="A21" s="779" t="s">
        <v>1901</v>
      </c>
    </row>
  </sheetData>
  <autoFilter ref="A4:M4"/>
  <mergeCells count="4">
    <mergeCell ref="E3:H3"/>
    <mergeCell ref="C3:D3"/>
    <mergeCell ref="I3:L3"/>
    <mergeCell ref="A1:L1"/>
  </mergeCells>
  <conditionalFormatting sqref="F4 F9 F19:F1048576">
    <cfRule type="cellIs" dxfId="61" priority="15" stopIfTrue="1" operator="lessThan">
      <formula>0.6</formula>
    </cfRule>
  </conditionalFormatting>
  <conditionalFormatting sqref="B5:B8">
    <cfRule type="expression" dxfId="60" priority="10">
      <formula>AND(LEFT(M5,6)&lt;&gt;"mezera",M5&lt;&gt;"")</formula>
    </cfRule>
  </conditionalFormatting>
  <conditionalFormatting sqref="A5:A8">
    <cfRule type="expression" dxfId="59" priority="8">
      <formula>AND(M5&lt;&gt;"",M5&lt;&gt;"mezeraKL")</formula>
    </cfRule>
  </conditionalFormatting>
  <conditionalFormatting sqref="F5:F8">
    <cfRule type="cellIs" dxfId="58" priority="7" operator="lessThan">
      <formula>0.6</formula>
    </cfRule>
  </conditionalFormatting>
  <conditionalFormatting sqref="B5:L8">
    <cfRule type="expression" dxfId="57" priority="9">
      <formula>OR($M5="KL",$M5="SumaKL")</formula>
    </cfRule>
    <cfRule type="expression" dxfId="56" priority="11">
      <formula>$M5="SumaNS"</formula>
    </cfRule>
  </conditionalFormatting>
  <conditionalFormatting sqref="A5:L8">
    <cfRule type="expression" dxfId="55" priority="12">
      <formula>$M5&lt;&gt;""</formula>
    </cfRule>
  </conditionalFormatting>
  <conditionalFormatting sqref="B10:B18">
    <cfRule type="expression" dxfId="54" priority="4">
      <formula>AND(LEFT(M10,6)&lt;&gt;"mezera",M10&lt;&gt;"")</formula>
    </cfRule>
  </conditionalFormatting>
  <conditionalFormatting sqref="A10:A18">
    <cfRule type="expression" dxfId="53" priority="2">
      <formula>AND(M10&lt;&gt;"",M10&lt;&gt;"mezeraKL")</formula>
    </cfRule>
  </conditionalFormatting>
  <conditionalFormatting sqref="F10:F18">
    <cfRule type="cellIs" dxfId="52" priority="1" operator="lessThan">
      <formula>0.6</formula>
    </cfRule>
  </conditionalFormatting>
  <conditionalFormatting sqref="B10:L18">
    <cfRule type="expression" dxfId="51" priority="3">
      <formula>OR($M10="KL",$M10="SumaKL")</formula>
    </cfRule>
    <cfRule type="expression" dxfId="50" priority="5">
      <formula>$M10="SumaNS"</formula>
    </cfRule>
  </conditionalFormatting>
  <conditionalFormatting sqref="A10:L18">
    <cfRule type="expression" dxfId="49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65" t="s">
        <v>191</v>
      </c>
      <c r="B1" s="565"/>
      <c r="C1" s="565"/>
      <c r="D1" s="565"/>
      <c r="E1" s="565"/>
      <c r="F1" s="565"/>
      <c r="G1" s="565"/>
      <c r="H1" s="565"/>
      <c r="I1" s="565"/>
      <c r="J1" s="527"/>
      <c r="K1" s="527"/>
      <c r="L1" s="527"/>
      <c r="M1" s="527"/>
    </row>
    <row r="2" spans="1:13" ht="14.4" customHeight="1" thickBot="1" x14ac:dyDescent="0.35">
      <c r="A2" s="374" t="s">
        <v>323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82" t="s">
        <v>15</v>
      </c>
      <c r="C3" s="584"/>
      <c r="D3" s="581"/>
      <c r="E3" s="261"/>
      <c r="F3" s="581" t="s">
        <v>16</v>
      </c>
      <c r="G3" s="581"/>
      <c r="H3" s="581"/>
      <c r="I3" s="581"/>
      <c r="J3" s="581" t="s">
        <v>190</v>
      </c>
      <c r="K3" s="581"/>
      <c r="L3" s="581"/>
      <c r="M3" s="583"/>
    </row>
    <row r="4" spans="1:13" ht="14.4" customHeight="1" thickBot="1" x14ac:dyDescent="0.35">
      <c r="A4" s="757" t="s">
        <v>167</v>
      </c>
      <c r="B4" s="758" t="s">
        <v>19</v>
      </c>
      <c r="C4" s="784"/>
      <c r="D4" s="758" t="s">
        <v>20</v>
      </c>
      <c r="E4" s="784"/>
      <c r="F4" s="758" t="s">
        <v>19</v>
      </c>
      <c r="G4" s="761" t="s">
        <v>2</v>
      </c>
      <c r="H4" s="758" t="s">
        <v>20</v>
      </c>
      <c r="I4" s="761" t="s">
        <v>2</v>
      </c>
      <c r="J4" s="758" t="s">
        <v>19</v>
      </c>
      <c r="K4" s="761" t="s">
        <v>2</v>
      </c>
      <c r="L4" s="758" t="s">
        <v>20</v>
      </c>
      <c r="M4" s="762" t="s">
        <v>2</v>
      </c>
    </row>
    <row r="5" spans="1:13" ht="14.4" customHeight="1" x14ac:dyDescent="0.3">
      <c r="A5" s="781" t="s">
        <v>1902</v>
      </c>
      <c r="B5" s="772">
        <v>6364.22</v>
      </c>
      <c r="C5" s="719">
        <v>1</v>
      </c>
      <c r="D5" s="785">
        <v>8</v>
      </c>
      <c r="E5" s="788" t="s">
        <v>1902</v>
      </c>
      <c r="F5" s="772">
        <v>6209.8600000000006</v>
      </c>
      <c r="G5" s="740">
        <v>0.97574565304153538</v>
      </c>
      <c r="H5" s="722">
        <v>6</v>
      </c>
      <c r="I5" s="763">
        <v>0.75</v>
      </c>
      <c r="J5" s="791">
        <v>154.36000000000001</v>
      </c>
      <c r="K5" s="740">
        <v>2.4254346958464668E-2</v>
      </c>
      <c r="L5" s="722">
        <v>2</v>
      </c>
      <c r="M5" s="763">
        <v>0.25</v>
      </c>
    </row>
    <row r="6" spans="1:13" ht="14.4" customHeight="1" x14ac:dyDescent="0.3">
      <c r="A6" s="782" t="s">
        <v>1903</v>
      </c>
      <c r="B6" s="773">
        <v>599.67999999999995</v>
      </c>
      <c r="C6" s="725">
        <v>1</v>
      </c>
      <c r="D6" s="786">
        <v>3</v>
      </c>
      <c r="E6" s="789" t="s">
        <v>1903</v>
      </c>
      <c r="F6" s="773">
        <v>599.67999999999995</v>
      </c>
      <c r="G6" s="741">
        <v>1</v>
      </c>
      <c r="H6" s="728">
        <v>3</v>
      </c>
      <c r="I6" s="764">
        <v>1</v>
      </c>
      <c r="J6" s="792"/>
      <c r="K6" s="741">
        <v>0</v>
      </c>
      <c r="L6" s="728"/>
      <c r="M6" s="764">
        <v>0</v>
      </c>
    </row>
    <row r="7" spans="1:13" ht="14.4" customHeight="1" x14ac:dyDescent="0.3">
      <c r="A7" s="782" t="s">
        <v>1904</v>
      </c>
      <c r="B7" s="773">
        <v>27978.49</v>
      </c>
      <c r="C7" s="725">
        <v>1</v>
      </c>
      <c r="D7" s="786">
        <v>19</v>
      </c>
      <c r="E7" s="789" t="s">
        <v>1904</v>
      </c>
      <c r="F7" s="773">
        <v>23156.22</v>
      </c>
      <c r="G7" s="741">
        <v>0.82764366482966023</v>
      </c>
      <c r="H7" s="728">
        <v>15</v>
      </c>
      <c r="I7" s="764">
        <v>0.78947368421052633</v>
      </c>
      <c r="J7" s="792">
        <v>4822.2700000000004</v>
      </c>
      <c r="K7" s="741">
        <v>0.1723563351703398</v>
      </c>
      <c r="L7" s="728">
        <v>4</v>
      </c>
      <c r="M7" s="764">
        <v>0.21052631578947367</v>
      </c>
    </row>
    <row r="8" spans="1:13" ht="14.4" customHeight="1" x14ac:dyDescent="0.3">
      <c r="A8" s="782" t="s">
        <v>1905</v>
      </c>
      <c r="B8" s="773">
        <v>22345.33</v>
      </c>
      <c r="C8" s="725">
        <v>1</v>
      </c>
      <c r="D8" s="786">
        <v>17</v>
      </c>
      <c r="E8" s="789" t="s">
        <v>1905</v>
      </c>
      <c r="F8" s="773">
        <v>19347.640000000003</v>
      </c>
      <c r="G8" s="741">
        <v>0.86584713673953362</v>
      </c>
      <c r="H8" s="728">
        <v>14</v>
      </c>
      <c r="I8" s="764">
        <v>0.82352941176470584</v>
      </c>
      <c r="J8" s="792">
        <v>2997.69</v>
      </c>
      <c r="K8" s="741">
        <v>0.13415286326046649</v>
      </c>
      <c r="L8" s="728">
        <v>3</v>
      </c>
      <c r="M8" s="764">
        <v>0.17647058823529413</v>
      </c>
    </row>
    <row r="9" spans="1:13" ht="14.4" customHeight="1" x14ac:dyDescent="0.3">
      <c r="A9" s="782" t="s">
        <v>1906</v>
      </c>
      <c r="B9" s="773">
        <v>241.54</v>
      </c>
      <c r="C9" s="725">
        <v>1</v>
      </c>
      <c r="D9" s="786">
        <v>1</v>
      </c>
      <c r="E9" s="789" t="s">
        <v>1906</v>
      </c>
      <c r="F9" s="773">
        <v>241.54</v>
      </c>
      <c r="G9" s="741">
        <v>1</v>
      </c>
      <c r="H9" s="728">
        <v>1</v>
      </c>
      <c r="I9" s="764">
        <v>1</v>
      </c>
      <c r="J9" s="792"/>
      <c r="K9" s="741">
        <v>0</v>
      </c>
      <c r="L9" s="728"/>
      <c r="M9" s="764">
        <v>0</v>
      </c>
    </row>
    <row r="10" spans="1:13" ht="14.4" customHeight="1" x14ac:dyDescent="0.3">
      <c r="A10" s="782" t="s">
        <v>1907</v>
      </c>
      <c r="B10" s="773">
        <v>211.18000000000004</v>
      </c>
      <c r="C10" s="725">
        <v>1</v>
      </c>
      <c r="D10" s="786">
        <v>2</v>
      </c>
      <c r="E10" s="789" t="s">
        <v>1907</v>
      </c>
      <c r="F10" s="773"/>
      <c r="G10" s="741">
        <v>0</v>
      </c>
      <c r="H10" s="728"/>
      <c r="I10" s="764">
        <v>0</v>
      </c>
      <c r="J10" s="792">
        <v>211.18000000000004</v>
      </c>
      <c r="K10" s="741">
        <v>1</v>
      </c>
      <c r="L10" s="728">
        <v>2</v>
      </c>
      <c r="M10" s="764">
        <v>1</v>
      </c>
    </row>
    <row r="11" spans="1:13" ht="14.4" customHeight="1" x14ac:dyDescent="0.3">
      <c r="A11" s="782" t="s">
        <v>1908</v>
      </c>
      <c r="B11" s="773">
        <v>59161.3</v>
      </c>
      <c r="C11" s="725">
        <v>1</v>
      </c>
      <c r="D11" s="786">
        <v>46</v>
      </c>
      <c r="E11" s="789" t="s">
        <v>1908</v>
      </c>
      <c r="F11" s="773">
        <v>52008.15</v>
      </c>
      <c r="G11" s="741">
        <v>0.8790907231585513</v>
      </c>
      <c r="H11" s="728">
        <v>38</v>
      </c>
      <c r="I11" s="764">
        <v>0.82608695652173914</v>
      </c>
      <c r="J11" s="792">
        <v>7153.15</v>
      </c>
      <c r="K11" s="741">
        <v>0.1209092768414487</v>
      </c>
      <c r="L11" s="728">
        <v>8</v>
      </c>
      <c r="M11" s="764">
        <v>0.17391304347826086</v>
      </c>
    </row>
    <row r="12" spans="1:13" ht="14.4" customHeight="1" x14ac:dyDescent="0.3">
      <c r="A12" s="782" t="s">
        <v>1909</v>
      </c>
      <c r="B12" s="773">
        <v>56842.089999999982</v>
      </c>
      <c r="C12" s="725">
        <v>1</v>
      </c>
      <c r="D12" s="786">
        <v>55</v>
      </c>
      <c r="E12" s="789" t="s">
        <v>1909</v>
      </c>
      <c r="F12" s="773">
        <v>52966.699999999983</v>
      </c>
      <c r="G12" s="741">
        <v>0.93182182428548987</v>
      </c>
      <c r="H12" s="728">
        <v>46</v>
      </c>
      <c r="I12" s="764">
        <v>0.83636363636363631</v>
      </c>
      <c r="J12" s="792">
        <v>3875.3900000000003</v>
      </c>
      <c r="K12" s="741">
        <v>6.8178175714510167E-2</v>
      </c>
      <c r="L12" s="728">
        <v>9</v>
      </c>
      <c r="M12" s="764">
        <v>0.16363636363636364</v>
      </c>
    </row>
    <row r="13" spans="1:13" ht="14.4" customHeight="1" x14ac:dyDescent="0.3">
      <c r="A13" s="782" t="s">
        <v>1910</v>
      </c>
      <c r="B13" s="773">
        <v>9324.16</v>
      </c>
      <c r="C13" s="725">
        <v>1</v>
      </c>
      <c r="D13" s="786">
        <v>13</v>
      </c>
      <c r="E13" s="789" t="s">
        <v>1910</v>
      </c>
      <c r="F13" s="773">
        <v>7542.32</v>
      </c>
      <c r="G13" s="741">
        <v>0.80890074816390967</v>
      </c>
      <c r="H13" s="728">
        <v>9</v>
      </c>
      <c r="I13" s="764">
        <v>0.69230769230769229</v>
      </c>
      <c r="J13" s="792">
        <v>1781.8400000000001</v>
      </c>
      <c r="K13" s="741">
        <v>0.19109925183609033</v>
      </c>
      <c r="L13" s="728">
        <v>4</v>
      </c>
      <c r="M13" s="764">
        <v>0.30769230769230771</v>
      </c>
    </row>
    <row r="14" spans="1:13" ht="14.4" customHeight="1" x14ac:dyDescent="0.3">
      <c r="A14" s="782" t="s">
        <v>1911</v>
      </c>
      <c r="B14" s="773">
        <v>53434.28</v>
      </c>
      <c r="C14" s="725">
        <v>1</v>
      </c>
      <c r="D14" s="786">
        <v>63</v>
      </c>
      <c r="E14" s="789" t="s">
        <v>1911</v>
      </c>
      <c r="F14" s="773">
        <v>48356.21</v>
      </c>
      <c r="G14" s="741">
        <v>0.9049660629842865</v>
      </c>
      <c r="H14" s="728">
        <v>56</v>
      </c>
      <c r="I14" s="764">
        <v>0.88888888888888884</v>
      </c>
      <c r="J14" s="792">
        <v>5078.07</v>
      </c>
      <c r="K14" s="741">
        <v>9.5033937015713499E-2</v>
      </c>
      <c r="L14" s="728">
        <v>7</v>
      </c>
      <c r="M14" s="764">
        <v>0.1111111111111111</v>
      </c>
    </row>
    <row r="15" spans="1:13" ht="14.4" customHeight="1" thickBot="1" x14ac:dyDescent="0.35">
      <c r="A15" s="783" t="s">
        <v>1912</v>
      </c>
      <c r="B15" s="774">
        <v>268.67</v>
      </c>
      <c r="C15" s="731">
        <v>1</v>
      </c>
      <c r="D15" s="787">
        <v>1</v>
      </c>
      <c r="E15" s="790" t="s">
        <v>1912</v>
      </c>
      <c r="F15" s="774"/>
      <c r="G15" s="742">
        <v>0</v>
      </c>
      <c r="H15" s="734"/>
      <c r="I15" s="765">
        <v>0</v>
      </c>
      <c r="J15" s="793">
        <v>268.67</v>
      </c>
      <c r="K15" s="742">
        <v>1</v>
      </c>
      <c r="L15" s="734">
        <v>1</v>
      </c>
      <c r="M15" s="765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8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56" t="s">
        <v>2087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</row>
    <row r="2" spans="1:21" ht="14.4" customHeight="1" thickBot="1" x14ac:dyDescent="0.35">
      <c r="A2" s="374" t="s">
        <v>323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88"/>
      <c r="B3" s="589"/>
      <c r="C3" s="589"/>
      <c r="D3" s="589"/>
      <c r="E3" s="589"/>
      <c r="F3" s="589"/>
      <c r="G3" s="589"/>
      <c r="H3" s="589"/>
      <c r="I3" s="589"/>
      <c r="J3" s="589"/>
      <c r="K3" s="590" t="s">
        <v>159</v>
      </c>
      <c r="L3" s="591"/>
      <c r="M3" s="70">
        <f>SUBTOTAL(9,M7:M1048576)</f>
        <v>236770.93999999986</v>
      </c>
      <c r="N3" s="70">
        <f>SUBTOTAL(9,N7:N1048576)</f>
        <v>272</v>
      </c>
      <c r="O3" s="70">
        <f>SUBTOTAL(9,O7:O1048576)</f>
        <v>228</v>
      </c>
      <c r="P3" s="70">
        <f>SUBTOTAL(9,P7:P1048576)</f>
        <v>210428.31999999995</v>
      </c>
      <c r="Q3" s="71">
        <f>IF(M3=0,0,P3/M3)</f>
        <v>0.88874217418742385</v>
      </c>
      <c r="R3" s="70">
        <f>SUBTOTAL(9,R7:R1048576)</f>
        <v>218</v>
      </c>
      <c r="S3" s="71">
        <f>IF(N3=0,0,R3/N3)</f>
        <v>0.80147058823529416</v>
      </c>
      <c r="T3" s="70">
        <f>SUBTOTAL(9,T7:T1048576)</f>
        <v>188</v>
      </c>
      <c r="U3" s="72">
        <f>IF(O3=0,0,T3/O3)</f>
        <v>0.82456140350877194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92" t="s">
        <v>15</v>
      </c>
      <c r="N4" s="593"/>
      <c r="O4" s="593"/>
      <c r="P4" s="594" t="s">
        <v>21</v>
      </c>
      <c r="Q4" s="593"/>
      <c r="R4" s="593"/>
      <c r="S4" s="593"/>
      <c r="T4" s="593"/>
      <c r="U4" s="595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85" t="s">
        <v>22</v>
      </c>
      <c r="Q5" s="586"/>
      <c r="R5" s="585" t="s">
        <v>13</v>
      </c>
      <c r="S5" s="586"/>
      <c r="T5" s="585" t="s">
        <v>20</v>
      </c>
      <c r="U5" s="587"/>
    </row>
    <row r="6" spans="1:21" s="330" customFormat="1" ht="14.4" customHeight="1" thickBot="1" x14ac:dyDescent="0.35">
      <c r="A6" s="794" t="s">
        <v>23</v>
      </c>
      <c r="B6" s="795" t="s">
        <v>5</v>
      </c>
      <c r="C6" s="794" t="s">
        <v>24</v>
      </c>
      <c r="D6" s="795" t="s">
        <v>6</v>
      </c>
      <c r="E6" s="795" t="s">
        <v>193</v>
      </c>
      <c r="F6" s="795" t="s">
        <v>25</v>
      </c>
      <c r="G6" s="795" t="s">
        <v>26</v>
      </c>
      <c r="H6" s="795" t="s">
        <v>8</v>
      </c>
      <c r="I6" s="795" t="s">
        <v>10</v>
      </c>
      <c r="J6" s="795" t="s">
        <v>11</v>
      </c>
      <c r="K6" s="795" t="s">
        <v>12</v>
      </c>
      <c r="L6" s="795" t="s">
        <v>27</v>
      </c>
      <c r="M6" s="796" t="s">
        <v>14</v>
      </c>
      <c r="N6" s="797" t="s">
        <v>28</v>
      </c>
      <c r="O6" s="797" t="s">
        <v>28</v>
      </c>
      <c r="P6" s="797" t="s">
        <v>14</v>
      </c>
      <c r="Q6" s="797" t="s">
        <v>2</v>
      </c>
      <c r="R6" s="797" t="s">
        <v>28</v>
      </c>
      <c r="S6" s="797" t="s">
        <v>2</v>
      </c>
      <c r="T6" s="797" t="s">
        <v>28</v>
      </c>
      <c r="U6" s="798" t="s">
        <v>2</v>
      </c>
    </row>
    <row r="7" spans="1:21" ht="14.4" customHeight="1" x14ac:dyDescent="0.3">
      <c r="A7" s="799">
        <v>6</v>
      </c>
      <c r="B7" s="800" t="s">
        <v>1679</v>
      </c>
      <c r="C7" s="800" t="s">
        <v>1896</v>
      </c>
      <c r="D7" s="801" t="s">
        <v>2085</v>
      </c>
      <c r="E7" s="802" t="s">
        <v>1902</v>
      </c>
      <c r="F7" s="800" t="s">
        <v>1891</v>
      </c>
      <c r="G7" s="800" t="s">
        <v>1913</v>
      </c>
      <c r="H7" s="800" t="s">
        <v>554</v>
      </c>
      <c r="I7" s="800" t="s">
        <v>1914</v>
      </c>
      <c r="J7" s="800" t="s">
        <v>1915</v>
      </c>
      <c r="K7" s="800" t="s">
        <v>1916</v>
      </c>
      <c r="L7" s="803">
        <v>154.36000000000001</v>
      </c>
      <c r="M7" s="803">
        <v>154.36000000000001</v>
      </c>
      <c r="N7" s="800">
        <v>1</v>
      </c>
      <c r="O7" s="804">
        <v>1</v>
      </c>
      <c r="P7" s="803"/>
      <c r="Q7" s="805">
        <v>0</v>
      </c>
      <c r="R7" s="800"/>
      <c r="S7" s="805">
        <v>0</v>
      </c>
      <c r="T7" s="804"/>
      <c r="U7" s="231">
        <v>0</v>
      </c>
    </row>
    <row r="8" spans="1:21" ht="14.4" customHeight="1" x14ac:dyDescent="0.3">
      <c r="A8" s="724">
        <v>6</v>
      </c>
      <c r="B8" s="725" t="s">
        <v>1679</v>
      </c>
      <c r="C8" s="725" t="s">
        <v>1896</v>
      </c>
      <c r="D8" s="806" t="s">
        <v>2085</v>
      </c>
      <c r="E8" s="807" t="s">
        <v>1902</v>
      </c>
      <c r="F8" s="725" t="s">
        <v>1891</v>
      </c>
      <c r="G8" s="725" t="s">
        <v>1917</v>
      </c>
      <c r="H8" s="725" t="s">
        <v>554</v>
      </c>
      <c r="I8" s="725" t="s">
        <v>696</v>
      </c>
      <c r="J8" s="725" t="s">
        <v>697</v>
      </c>
      <c r="K8" s="725" t="s">
        <v>1918</v>
      </c>
      <c r="L8" s="726">
        <v>344</v>
      </c>
      <c r="M8" s="726">
        <v>344</v>
      </c>
      <c r="N8" s="725">
        <v>1</v>
      </c>
      <c r="O8" s="808">
        <v>1</v>
      </c>
      <c r="P8" s="726">
        <v>344</v>
      </c>
      <c r="Q8" s="741">
        <v>1</v>
      </c>
      <c r="R8" s="725">
        <v>1</v>
      </c>
      <c r="S8" s="741">
        <v>1</v>
      </c>
      <c r="T8" s="808">
        <v>1</v>
      </c>
      <c r="U8" s="764">
        <v>1</v>
      </c>
    </row>
    <row r="9" spans="1:21" ht="14.4" customHeight="1" x14ac:dyDescent="0.3">
      <c r="A9" s="724">
        <v>6</v>
      </c>
      <c r="B9" s="725" t="s">
        <v>1679</v>
      </c>
      <c r="C9" s="725" t="s">
        <v>1896</v>
      </c>
      <c r="D9" s="806" t="s">
        <v>2085</v>
      </c>
      <c r="E9" s="807" t="s">
        <v>1902</v>
      </c>
      <c r="F9" s="725" t="s">
        <v>1892</v>
      </c>
      <c r="G9" s="725" t="s">
        <v>1919</v>
      </c>
      <c r="H9" s="725" t="s">
        <v>554</v>
      </c>
      <c r="I9" s="725" t="s">
        <v>1920</v>
      </c>
      <c r="J9" s="725" t="s">
        <v>1921</v>
      </c>
      <c r="K9" s="725" t="s">
        <v>1922</v>
      </c>
      <c r="L9" s="726">
        <v>179.2</v>
      </c>
      <c r="M9" s="726">
        <v>179.2</v>
      </c>
      <c r="N9" s="725">
        <v>1</v>
      </c>
      <c r="O9" s="808">
        <v>1</v>
      </c>
      <c r="P9" s="726">
        <v>179.2</v>
      </c>
      <c r="Q9" s="741">
        <v>1</v>
      </c>
      <c r="R9" s="725">
        <v>1</v>
      </c>
      <c r="S9" s="741">
        <v>1</v>
      </c>
      <c r="T9" s="808">
        <v>1</v>
      </c>
      <c r="U9" s="764">
        <v>1</v>
      </c>
    </row>
    <row r="10" spans="1:21" ht="14.4" customHeight="1" x14ac:dyDescent="0.3">
      <c r="A10" s="724">
        <v>6</v>
      </c>
      <c r="B10" s="725" t="s">
        <v>1679</v>
      </c>
      <c r="C10" s="725" t="s">
        <v>1896</v>
      </c>
      <c r="D10" s="806" t="s">
        <v>2085</v>
      </c>
      <c r="E10" s="807" t="s">
        <v>1902</v>
      </c>
      <c r="F10" s="725" t="s">
        <v>1892</v>
      </c>
      <c r="G10" s="725" t="s">
        <v>1919</v>
      </c>
      <c r="H10" s="725" t="s">
        <v>554</v>
      </c>
      <c r="I10" s="725" t="s">
        <v>1923</v>
      </c>
      <c r="J10" s="725" t="s">
        <v>1924</v>
      </c>
      <c r="K10" s="725" t="s">
        <v>1925</v>
      </c>
      <c r="L10" s="726">
        <v>864.39</v>
      </c>
      <c r="M10" s="726">
        <v>1728.78</v>
      </c>
      <c r="N10" s="725">
        <v>2</v>
      </c>
      <c r="O10" s="808">
        <v>2</v>
      </c>
      <c r="P10" s="726">
        <v>1728.78</v>
      </c>
      <c r="Q10" s="741">
        <v>1</v>
      </c>
      <c r="R10" s="725">
        <v>2</v>
      </c>
      <c r="S10" s="741">
        <v>1</v>
      </c>
      <c r="T10" s="808">
        <v>2</v>
      </c>
      <c r="U10" s="764">
        <v>1</v>
      </c>
    </row>
    <row r="11" spans="1:21" ht="14.4" customHeight="1" x14ac:dyDescent="0.3">
      <c r="A11" s="724">
        <v>6</v>
      </c>
      <c r="B11" s="725" t="s">
        <v>1679</v>
      </c>
      <c r="C11" s="725" t="s">
        <v>1896</v>
      </c>
      <c r="D11" s="806" t="s">
        <v>2085</v>
      </c>
      <c r="E11" s="807" t="s">
        <v>1902</v>
      </c>
      <c r="F11" s="725" t="s">
        <v>1892</v>
      </c>
      <c r="G11" s="725" t="s">
        <v>1919</v>
      </c>
      <c r="H11" s="725" t="s">
        <v>554</v>
      </c>
      <c r="I11" s="725" t="s">
        <v>1926</v>
      </c>
      <c r="J11" s="725" t="s">
        <v>1927</v>
      </c>
      <c r="K11" s="725" t="s">
        <v>1928</v>
      </c>
      <c r="L11" s="726">
        <v>1978.94</v>
      </c>
      <c r="M11" s="726">
        <v>3957.88</v>
      </c>
      <c r="N11" s="725">
        <v>2</v>
      </c>
      <c r="O11" s="808">
        <v>2</v>
      </c>
      <c r="P11" s="726">
        <v>3957.88</v>
      </c>
      <c r="Q11" s="741">
        <v>1</v>
      </c>
      <c r="R11" s="725">
        <v>2</v>
      </c>
      <c r="S11" s="741">
        <v>1</v>
      </c>
      <c r="T11" s="808">
        <v>2</v>
      </c>
      <c r="U11" s="764">
        <v>1</v>
      </c>
    </row>
    <row r="12" spans="1:21" ht="14.4" customHeight="1" x14ac:dyDescent="0.3">
      <c r="A12" s="724">
        <v>6</v>
      </c>
      <c r="B12" s="725" t="s">
        <v>1679</v>
      </c>
      <c r="C12" s="725" t="s">
        <v>1896</v>
      </c>
      <c r="D12" s="806" t="s">
        <v>2085</v>
      </c>
      <c r="E12" s="807" t="s">
        <v>1902</v>
      </c>
      <c r="F12" s="725" t="s">
        <v>1892</v>
      </c>
      <c r="G12" s="725" t="s">
        <v>1929</v>
      </c>
      <c r="H12" s="725" t="s">
        <v>554</v>
      </c>
      <c r="I12" s="725" t="s">
        <v>1930</v>
      </c>
      <c r="J12" s="725" t="s">
        <v>1931</v>
      </c>
      <c r="K12" s="725" t="s">
        <v>1932</v>
      </c>
      <c r="L12" s="726">
        <v>0</v>
      </c>
      <c r="M12" s="726">
        <v>0</v>
      </c>
      <c r="N12" s="725">
        <v>1</v>
      </c>
      <c r="O12" s="808">
        <v>1</v>
      </c>
      <c r="P12" s="726"/>
      <c r="Q12" s="741"/>
      <c r="R12" s="725"/>
      <c r="S12" s="741">
        <v>0</v>
      </c>
      <c r="T12" s="808"/>
      <c r="U12" s="764">
        <v>0</v>
      </c>
    </row>
    <row r="13" spans="1:21" ht="14.4" customHeight="1" x14ac:dyDescent="0.3">
      <c r="A13" s="724">
        <v>6</v>
      </c>
      <c r="B13" s="725" t="s">
        <v>1679</v>
      </c>
      <c r="C13" s="725" t="s">
        <v>1896</v>
      </c>
      <c r="D13" s="806" t="s">
        <v>2085</v>
      </c>
      <c r="E13" s="807" t="s">
        <v>1906</v>
      </c>
      <c r="F13" s="725" t="s">
        <v>1891</v>
      </c>
      <c r="G13" s="725" t="s">
        <v>1933</v>
      </c>
      <c r="H13" s="725" t="s">
        <v>777</v>
      </c>
      <c r="I13" s="725" t="s">
        <v>1934</v>
      </c>
      <c r="J13" s="725" t="s">
        <v>1935</v>
      </c>
      <c r="K13" s="725" t="s">
        <v>1936</v>
      </c>
      <c r="L13" s="726">
        <v>120.77</v>
      </c>
      <c r="M13" s="726">
        <v>241.54</v>
      </c>
      <c r="N13" s="725">
        <v>2</v>
      </c>
      <c r="O13" s="808">
        <v>1</v>
      </c>
      <c r="P13" s="726">
        <v>241.54</v>
      </c>
      <c r="Q13" s="741">
        <v>1</v>
      </c>
      <c r="R13" s="725">
        <v>2</v>
      </c>
      <c r="S13" s="741">
        <v>1</v>
      </c>
      <c r="T13" s="808">
        <v>1</v>
      </c>
      <c r="U13" s="764">
        <v>1</v>
      </c>
    </row>
    <row r="14" spans="1:21" ht="14.4" customHeight="1" x14ac:dyDescent="0.3">
      <c r="A14" s="724">
        <v>6</v>
      </c>
      <c r="B14" s="725" t="s">
        <v>1679</v>
      </c>
      <c r="C14" s="725" t="s">
        <v>1896</v>
      </c>
      <c r="D14" s="806" t="s">
        <v>2085</v>
      </c>
      <c r="E14" s="807" t="s">
        <v>1908</v>
      </c>
      <c r="F14" s="725" t="s">
        <v>1891</v>
      </c>
      <c r="G14" s="725" t="s">
        <v>1937</v>
      </c>
      <c r="H14" s="725" t="s">
        <v>554</v>
      </c>
      <c r="I14" s="725" t="s">
        <v>1938</v>
      </c>
      <c r="J14" s="725" t="s">
        <v>1939</v>
      </c>
      <c r="K14" s="725" t="s">
        <v>1940</v>
      </c>
      <c r="L14" s="726">
        <v>0</v>
      </c>
      <c r="M14" s="726">
        <v>0</v>
      </c>
      <c r="N14" s="725">
        <v>1</v>
      </c>
      <c r="O14" s="808">
        <v>1</v>
      </c>
      <c r="P14" s="726"/>
      <c r="Q14" s="741"/>
      <c r="R14" s="725"/>
      <c r="S14" s="741">
        <v>0</v>
      </c>
      <c r="T14" s="808"/>
      <c r="U14" s="764">
        <v>0</v>
      </c>
    </row>
    <row r="15" spans="1:21" ht="14.4" customHeight="1" x14ac:dyDescent="0.3">
      <c r="A15" s="724">
        <v>6</v>
      </c>
      <c r="B15" s="725" t="s">
        <v>1679</v>
      </c>
      <c r="C15" s="725" t="s">
        <v>1896</v>
      </c>
      <c r="D15" s="806" t="s">
        <v>2085</v>
      </c>
      <c r="E15" s="807" t="s">
        <v>1908</v>
      </c>
      <c r="F15" s="725" t="s">
        <v>1891</v>
      </c>
      <c r="G15" s="725" t="s">
        <v>1941</v>
      </c>
      <c r="H15" s="725" t="s">
        <v>554</v>
      </c>
      <c r="I15" s="725" t="s">
        <v>904</v>
      </c>
      <c r="J15" s="725" t="s">
        <v>905</v>
      </c>
      <c r="K15" s="725" t="s">
        <v>1942</v>
      </c>
      <c r="L15" s="726">
        <v>107.27</v>
      </c>
      <c r="M15" s="726">
        <v>321.81</v>
      </c>
      <c r="N15" s="725">
        <v>3</v>
      </c>
      <c r="O15" s="808">
        <v>1</v>
      </c>
      <c r="P15" s="726"/>
      <c r="Q15" s="741">
        <v>0</v>
      </c>
      <c r="R15" s="725"/>
      <c r="S15" s="741">
        <v>0</v>
      </c>
      <c r="T15" s="808"/>
      <c r="U15" s="764">
        <v>0</v>
      </c>
    </row>
    <row r="16" spans="1:21" ht="14.4" customHeight="1" x14ac:dyDescent="0.3">
      <c r="A16" s="724">
        <v>6</v>
      </c>
      <c r="B16" s="725" t="s">
        <v>1679</v>
      </c>
      <c r="C16" s="725" t="s">
        <v>1896</v>
      </c>
      <c r="D16" s="806" t="s">
        <v>2085</v>
      </c>
      <c r="E16" s="807" t="s">
        <v>1908</v>
      </c>
      <c r="F16" s="725" t="s">
        <v>1891</v>
      </c>
      <c r="G16" s="725" t="s">
        <v>1943</v>
      </c>
      <c r="H16" s="725" t="s">
        <v>777</v>
      </c>
      <c r="I16" s="725" t="s">
        <v>1049</v>
      </c>
      <c r="J16" s="725" t="s">
        <v>1779</v>
      </c>
      <c r="K16" s="725" t="s">
        <v>1780</v>
      </c>
      <c r="L16" s="726">
        <v>93.43</v>
      </c>
      <c r="M16" s="726">
        <v>280.29000000000002</v>
      </c>
      <c r="N16" s="725">
        <v>3</v>
      </c>
      <c r="O16" s="808">
        <v>1</v>
      </c>
      <c r="P16" s="726"/>
      <c r="Q16" s="741">
        <v>0</v>
      </c>
      <c r="R16" s="725"/>
      <c r="S16" s="741">
        <v>0</v>
      </c>
      <c r="T16" s="808"/>
      <c r="U16" s="764">
        <v>0</v>
      </c>
    </row>
    <row r="17" spans="1:21" ht="14.4" customHeight="1" x14ac:dyDescent="0.3">
      <c r="A17" s="724">
        <v>6</v>
      </c>
      <c r="B17" s="725" t="s">
        <v>1679</v>
      </c>
      <c r="C17" s="725" t="s">
        <v>1896</v>
      </c>
      <c r="D17" s="806" t="s">
        <v>2085</v>
      </c>
      <c r="E17" s="807" t="s">
        <v>1908</v>
      </c>
      <c r="F17" s="725" t="s">
        <v>1891</v>
      </c>
      <c r="G17" s="725" t="s">
        <v>1944</v>
      </c>
      <c r="H17" s="725" t="s">
        <v>554</v>
      </c>
      <c r="I17" s="725" t="s">
        <v>1945</v>
      </c>
      <c r="J17" s="725" t="s">
        <v>1242</v>
      </c>
      <c r="K17" s="725" t="s">
        <v>1946</v>
      </c>
      <c r="L17" s="726">
        <v>0</v>
      </c>
      <c r="M17" s="726">
        <v>0</v>
      </c>
      <c r="N17" s="725">
        <v>5</v>
      </c>
      <c r="O17" s="808">
        <v>1</v>
      </c>
      <c r="P17" s="726">
        <v>0</v>
      </c>
      <c r="Q17" s="741"/>
      <c r="R17" s="725">
        <v>5</v>
      </c>
      <c r="S17" s="741">
        <v>1</v>
      </c>
      <c r="T17" s="808">
        <v>1</v>
      </c>
      <c r="U17" s="764">
        <v>1</v>
      </c>
    </row>
    <row r="18" spans="1:21" ht="14.4" customHeight="1" x14ac:dyDescent="0.3">
      <c r="A18" s="724">
        <v>6</v>
      </c>
      <c r="B18" s="725" t="s">
        <v>1679</v>
      </c>
      <c r="C18" s="725" t="s">
        <v>1896</v>
      </c>
      <c r="D18" s="806" t="s">
        <v>2085</v>
      </c>
      <c r="E18" s="807" t="s">
        <v>1908</v>
      </c>
      <c r="F18" s="725" t="s">
        <v>1892</v>
      </c>
      <c r="G18" s="725" t="s">
        <v>1919</v>
      </c>
      <c r="H18" s="725" t="s">
        <v>554</v>
      </c>
      <c r="I18" s="725" t="s">
        <v>1923</v>
      </c>
      <c r="J18" s="725" t="s">
        <v>1924</v>
      </c>
      <c r="K18" s="725" t="s">
        <v>1925</v>
      </c>
      <c r="L18" s="726">
        <v>864.39</v>
      </c>
      <c r="M18" s="726">
        <v>12101.460000000001</v>
      </c>
      <c r="N18" s="725">
        <v>14</v>
      </c>
      <c r="O18" s="808">
        <v>14</v>
      </c>
      <c r="P18" s="726">
        <v>9508.2900000000009</v>
      </c>
      <c r="Q18" s="741">
        <v>0.7857142857142857</v>
      </c>
      <c r="R18" s="725">
        <v>11</v>
      </c>
      <c r="S18" s="741">
        <v>0.7857142857142857</v>
      </c>
      <c r="T18" s="808">
        <v>11</v>
      </c>
      <c r="U18" s="764">
        <v>0.7857142857142857</v>
      </c>
    </row>
    <row r="19" spans="1:21" ht="14.4" customHeight="1" x14ac:dyDescent="0.3">
      <c r="A19" s="724">
        <v>6</v>
      </c>
      <c r="B19" s="725" t="s">
        <v>1679</v>
      </c>
      <c r="C19" s="725" t="s">
        <v>1896</v>
      </c>
      <c r="D19" s="806" t="s">
        <v>2085</v>
      </c>
      <c r="E19" s="807" t="s">
        <v>1908</v>
      </c>
      <c r="F19" s="725" t="s">
        <v>1892</v>
      </c>
      <c r="G19" s="725" t="s">
        <v>1919</v>
      </c>
      <c r="H19" s="725" t="s">
        <v>554</v>
      </c>
      <c r="I19" s="725" t="s">
        <v>1926</v>
      </c>
      <c r="J19" s="725" t="s">
        <v>1927</v>
      </c>
      <c r="K19" s="725" t="s">
        <v>1928</v>
      </c>
      <c r="L19" s="726">
        <v>1978.94</v>
      </c>
      <c r="M19" s="726">
        <v>41557.74</v>
      </c>
      <c r="N19" s="725">
        <v>21</v>
      </c>
      <c r="O19" s="808">
        <v>21</v>
      </c>
      <c r="P19" s="726">
        <v>37599.86</v>
      </c>
      <c r="Q19" s="741">
        <v>0.90476190476190477</v>
      </c>
      <c r="R19" s="725">
        <v>19</v>
      </c>
      <c r="S19" s="741">
        <v>0.90476190476190477</v>
      </c>
      <c r="T19" s="808">
        <v>19</v>
      </c>
      <c r="U19" s="764">
        <v>0.90476190476190477</v>
      </c>
    </row>
    <row r="20" spans="1:21" ht="14.4" customHeight="1" x14ac:dyDescent="0.3">
      <c r="A20" s="724">
        <v>6</v>
      </c>
      <c r="B20" s="725" t="s">
        <v>1679</v>
      </c>
      <c r="C20" s="725" t="s">
        <v>1896</v>
      </c>
      <c r="D20" s="806" t="s">
        <v>2085</v>
      </c>
      <c r="E20" s="807" t="s">
        <v>1908</v>
      </c>
      <c r="F20" s="725" t="s">
        <v>1892</v>
      </c>
      <c r="G20" s="725" t="s">
        <v>1919</v>
      </c>
      <c r="H20" s="725" t="s">
        <v>554</v>
      </c>
      <c r="I20" s="725" t="s">
        <v>1947</v>
      </c>
      <c r="J20" s="725" t="s">
        <v>1948</v>
      </c>
      <c r="K20" s="725" t="s">
        <v>1949</v>
      </c>
      <c r="L20" s="726">
        <v>700</v>
      </c>
      <c r="M20" s="726">
        <v>2800</v>
      </c>
      <c r="N20" s="725">
        <v>4</v>
      </c>
      <c r="O20" s="808">
        <v>4</v>
      </c>
      <c r="P20" s="726">
        <v>2800</v>
      </c>
      <c r="Q20" s="741">
        <v>1</v>
      </c>
      <c r="R20" s="725">
        <v>4</v>
      </c>
      <c r="S20" s="741">
        <v>1</v>
      </c>
      <c r="T20" s="808">
        <v>4</v>
      </c>
      <c r="U20" s="764">
        <v>1</v>
      </c>
    </row>
    <row r="21" spans="1:21" ht="14.4" customHeight="1" x14ac:dyDescent="0.3">
      <c r="A21" s="724">
        <v>6</v>
      </c>
      <c r="B21" s="725" t="s">
        <v>1679</v>
      </c>
      <c r="C21" s="725" t="s">
        <v>1896</v>
      </c>
      <c r="D21" s="806" t="s">
        <v>2085</v>
      </c>
      <c r="E21" s="807" t="s">
        <v>1908</v>
      </c>
      <c r="F21" s="725" t="s">
        <v>1892</v>
      </c>
      <c r="G21" s="725" t="s">
        <v>1919</v>
      </c>
      <c r="H21" s="725" t="s">
        <v>554</v>
      </c>
      <c r="I21" s="725" t="s">
        <v>1950</v>
      </c>
      <c r="J21" s="725" t="s">
        <v>1951</v>
      </c>
      <c r="K21" s="725" t="s">
        <v>1952</v>
      </c>
      <c r="L21" s="726">
        <v>700</v>
      </c>
      <c r="M21" s="726">
        <v>2100</v>
      </c>
      <c r="N21" s="725">
        <v>3</v>
      </c>
      <c r="O21" s="808">
        <v>3</v>
      </c>
      <c r="P21" s="726">
        <v>2100</v>
      </c>
      <c r="Q21" s="741">
        <v>1</v>
      </c>
      <c r="R21" s="725">
        <v>3</v>
      </c>
      <c r="S21" s="741">
        <v>1</v>
      </c>
      <c r="T21" s="808">
        <v>3</v>
      </c>
      <c r="U21" s="764">
        <v>1</v>
      </c>
    </row>
    <row r="22" spans="1:21" ht="14.4" customHeight="1" x14ac:dyDescent="0.3">
      <c r="A22" s="724">
        <v>6</v>
      </c>
      <c r="B22" s="725" t="s">
        <v>1679</v>
      </c>
      <c r="C22" s="725" t="s">
        <v>1896</v>
      </c>
      <c r="D22" s="806" t="s">
        <v>2085</v>
      </c>
      <c r="E22" s="807" t="s">
        <v>1909</v>
      </c>
      <c r="F22" s="725" t="s">
        <v>1891</v>
      </c>
      <c r="G22" s="725" t="s">
        <v>1953</v>
      </c>
      <c r="H22" s="725" t="s">
        <v>554</v>
      </c>
      <c r="I22" s="725" t="s">
        <v>1954</v>
      </c>
      <c r="J22" s="725" t="s">
        <v>1590</v>
      </c>
      <c r="K22" s="725" t="s">
        <v>1955</v>
      </c>
      <c r="L22" s="726">
        <v>391.67</v>
      </c>
      <c r="M22" s="726">
        <v>391.67</v>
      </c>
      <c r="N22" s="725">
        <v>1</v>
      </c>
      <c r="O22" s="808">
        <v>0.5</v>
      </c>
      <c r="P22" s="726">
        <v>391.67</v>
      </c>
      <c r="Q22" s="741">
        <v>1</v>
      </c>
      <c r="R22" s="725">
        <v>1</v>
      </c>
      <c r="S22" s="741">
        <v>1</v>
      </c>
      <c r="T22" s="808">
        <v>0.5</v>
      </c>
      <c r="U22" s="764">
        <v>1</v>
      </c>
    </row>
    <row r="23" spans="1:21" ht="14.4" customHeight="1" x14ac:dyDescent="0.3">
      <c r="A23" s="724">
        <v>6</v>
      </c>
      <c r="B23" s="725" t="s">
        <v>1679</v>
      </c>
      <c r="C23" s="725" t="s">
        <v>1896</v>
      </c>
      <c r="D23" s="806" t="s">
        <v>2085</v>
      </c>
      <c r="E23" s="807" t="s">
        <v>1909</v>
      </c>
      <c r="F23" s="725" t="s">
        <v>1891</v>
      </c>
      <c r="G23" s="725" t="s">
        <v>1953</v>
      </c>
      <c r="H23" s="725" t="s">
        <v>554</v>
      </c>
      <c r="I23" s="725" t="s">
        <v>1956</v>
      </c>
      <c r="J23" s="725" t="s">
        <v>1957</v>
      </c>
      <c r="K23" s="725" t="s">
        <v>1806</v>
      </c>
      <c r="L23" s="726">
        <v>195.83</v>
      </c>
      <c r="M23" s="726">
        <v>195.83</v>
      </c>
      <c r="N23" s="725">
        <v>1</v>
      </c>
      <c r="O23" s="808">
        <v>0.5</v>
      </c>
      <c r="P23" s="726">
        <v>195.83</v>
      </c>
      <c r="Q23" s="741">
        <v>1</v>
      </c>
      <c r="R23" s="725">
        <v>1</v>
      </c>
      <c r="S23" s="741">
        <v>1</v>
      </c>
      <c r="T23" s="808">
        <v>0.5</v>
      </c>
      <c r="U23" s="764">
        <v>1</v>
      </c>
    </row>
    <row r="24" spans="1:21" ht="14.4" customHeight="1" x14ac:dyDescent="0.3">
      <c r="A24" s="724">
        <v>6</v>
      </c>
      <c r="B24" s="725" t="s">
        <v>1679</v>
      </c>
      <c r="C24" s="725" t="s">
        <v>1896</v>
      </c>
      <c r="D24" s="806" t="s">
        <v>2085</v>
      </c>
      <c r="E24" s="807" t="s">
        <v>1909</v>
      </c>
      <c r="F24" s="725" t="s">
        <v>1891</v>
      </c>
      <c r="G24" s="725" t="s">
        <v>1958</v>
      </c>
      <c r="H24" s="725" t="s">
        <v>554</v>
      </c>
      <c r="I24" s="725" t="s">
        <v>1959</v>
      </c>
      <c r="J24" s="725" t="s">
        <v>1960</v>
      </c>
      <c r="K24" s="725" t="s">
        <v>1961</v>
      </c>
      <c r="L24" s="726">
        <v>207.45</v>
      </c>
      <c r="M24" s="726">
        <v>207.45</v>
      </c>
      <c r="N24" s="725">
        <v>1</v>
      </c>
      <c r="O24" s="808">
        <v>0.5</v>
      </c>
      <c r="P24" s="726">
        <v>207.45</v>
      </c>
      <c r="Q24" s="741">
        <v>1</v>
      </c>
      <c r="R24" s="725">
        <v>1</v>
      </c>
      <c r="S24" s="741">
        <v>1</v>
      </c>
      <c r="T24" s="808">
        <v>0.5</v>
      </c>
      <c r="U24" s="764">
        <v>1</v>
      </c>
    </row>
    <row r="25" spans="1:21" ht="14.4" customHeight="1" x14ac:dyDescent="0.3">
      <c r="A25" s="724">
        <v>6</v>
      </c>
      <c r="B25" s="725" t="s">
        <v>1679</v>
      </c>
      <c r="C25" s="725" t="s">
        <v>1896</v>
      </c>
      <c r="D25" s="806" t="s">
        <v>2085</v>
      </c>
      <c r="E25" s="807" t="s">
        <v>1909</v>
      </c>
      <c r="F25" s="725" t="s">
        <v>1891</v>
      </c>
      <c r="G25" s="725" t="s">
        <v>1962</v>
      </c>
      <c r="H25" s="725" t="s">
        <v>554</v>
      </c>
      <c r="I25" s="725" t="s">
        <v>1963</v>
      </c>
      <c r="J25" s="725" t="s">
        <v>1964</v>
      </c>
      <c r="K25" s="725" t="s">
        <v>1965</v>
      </c>
      <c r="L25" s="726">
        <v>161.4</v>
      </c>
      <c r="M25" s="726">
        <v>161.4</v>
      </c>
      <c r="N25" s="725">
        <v>1</v>
      </c>
      <c r="O25" s="808">
        <v>0.5</v>
      </c>
      <c r="P25" s="726">
        <v>161.4</v>
      </c>
      <c r="Q25" s="741">
        <v>1</v>
      </c>
      <c r="R25" s="725">
        <v>1</v>
      </c>
      <c r="S25" s="741">
        <v>1</v>
      </c>
      <c r="T25" s="808">
        <v>0.5</v>
      </c>
      <c r="U25" s="764">
        <v>1</v>
      </c>
    </row>
    <row r="26" spans="1:21" ht="14.4" customHeight="1" x14ac:dyDescent="0.3">
      <c r="A26" s="724">
        <v>6</v>
      </c>
      <c r="B26" s="725" t="s">
        <v>1679</v>
      </c>
      <c r="C26" s="725" t="s">
        <v>1896</v>
      </c>
      <c r="D26" s="806" t="s">
        <v>2085</v>
      </c>
      <c r="E26" s="807" t="s">
        <v>1909</v>
      </c>
      <c r="F26" s="725" t="s">
        <v>1891</v>
      </c>
      <c r="G26" s="725" t="s">
        <v>1962</v>
      </c>
      <c r="H26" s="725" t="s">
        <v>554</v>
      </c>
      <c r="I26" s="725" t="s">
        <v>1966</v>
      </c>
      <c r="J26" s="725" t="s">
        <v>1967</v>
      </c>
      <c r="K26" s="725" t="s">
        <v>1968</v>
      </c>
      <c r="L26" s="726">
        <v>161.4</v>
      </c>
      <c r="M26" s="726">
        <v>161.4</v>
      </c>
      <c r="N26" s="725">
        <v>1</v>
      </c>
      <c r="O26" s="808">
        <v>0.5</v>
      </c>
      <c r="P26" s="726">
        <v>161.4</v>
      </c>
      <c r="Q26" s="741">
        <v>1</v>
      </c>
      <c r="R26" s="725">
        <v>1</v>
      </c>
      <c r="S26" s="741">
        <v>1</v>
      </c>
      <c r="T26" s="808">
        <v>0.5</v>
      </c>
      <c r="U26" s="764">
        <v>1</v>
      </c>
    </row>
    <row r="27" spans="1:21" ht="14.4" customHeight="1" x14ac:dyDescent="0.3">
      <c r="A27" s="724">
        <v>6</v>
      </c>
      <c r="B27" s="725" t="s">
        <v>1679</v>
      </c>
      <c r="C27" s="725" t="s">
        <v>1896</v>
      </c>
      <c r="D27" s="806" t="s">
        <v>2085</v>
      </c>
      <c r="E27" s="807" t="s">
        <v>1909</v>
      </c>
      <c r="F27" s="725" t="s">
        <v>1891</v>
      </c>
      <c r="G27" s="725" t="s">
        <v>1969</v>
      </c>
      <c r="H27" s="725" t="s">
        <v>554</v>
      </c>
      <c r="I27" s="725" t="s">
        <v>1398</v>
      </c>
      <c r="J27" s="725" t="s">
        <v>1399</v>
      </c>
      <c r="K27" s="725" t="s">
        <v>1970</v>
      </c>
      <c r="L27" s="726">
        <v>182.22</v>
      </c>
      <c r="M27" s="726">
        <v>182.22</v>
      </c>
      <c r="N27" s="725">
        <v>1</v>
      </c>
      <c r="O27" s="808">
        <v>1</v>
      </c>
      <c r="P27" s="726"/>
      <c r="Q27" s="741">
        <v>0</v>
      </c>
      <c r="R27" s="725"/>
      <c r="S27" s="741">
        <v>0</v>
      </c>
      <c r="T27" s="808"/>
      <c r="U27" s="764">
        <v>0</v>
      </c>
    </row>
    <row r="28" spans="1:21" ht="14.4" customHeight="1" x14ac:dyDescent="0.3">
      <c r="A28" s="724">
        <v>6</v>
      </c>
      <c r="B28" s="725" t="s">
        <v>1679</v>
      </c>
      <c r="C28" s="725" t="s">
        <v>1896</v>
      </c>
      <c r="D28" s="806" t="s">
        <v>2085</v>
      </c>
      <c r="E28" s="807" t="s">
        <v>1909</v>
      </c>
      <c r="F28" s="725" t="s">
        <v>1891</v>
      </c>
      <c r="G28" s="725" t="s">
        <v>1941</v>
      </c>
      <c r="H28" s="725" t="s">
        <v>554</v>
      </c>
      <c r="I28" s="725" t="s">
        <v>1971</v>
      </c>
      <c r="J28" s="725" t="s">
        <v>905</v>
      </c>
      <c r="K28" s="725" t="s">
        <v>1942</v>
      </c>
      <c r="L28" s="726">
        <v>107.27</v>
      </c>
      <c r="M28" s="726">
        <v>321.81</v>
      </c>
      <c r="N28" s="725">
        <v>3</v>
      </c>
      <c r="O28" s="808">
        <v>1</v>
      </c>
      <c r="P28" s="726">
        <v>321.81</v>
      </c>
      <c r="Q28" s="741">
        <v>1</v>
      </c>
      <c r="R28" s="725">
        <v>3</v>
      </c>
      <c r="S28" s="741">
        <v>1</v>
      </c>
      <c r="T28" s="808">
        <v>1</v>
      </c>
      <c r="U28" s="764">
        <v>1</v>
      </c>
    </row>
    <row r="29" spans="1:21" ht="14.4" customHeight="1" x14ac:dyDescent="0.3">
      <c r="A29" s="724">
        <v>6</v>
      </c>
      <c r="B29" s="725" t="s">
        <v>1679</v>
      </c>
      <c r="C29" s="725" t="s">
        <v>1896</v>
      </c>
      <c r="D29" s="806" t="s">
        <v>2085</v>
      </c>
      <c r="E29" s="807" t="s">
        <v>1909</v>
      </c>
      <c r="F29" s="725" t="s">
        <v>1891</v>
      </c>
      <c r="G29" s="725" t="s">
        <v>1972</v>
      </c>
      <c r="H29" s="725" t="s">
        <v>554</v>
      </c>
      <c r="I29" s="725" t="s">
        <v>1973</v>
      </c>
      <c r="J29" s="725" t="s">
        <v>1974</v>
      </c>
      <c r="K29" s="725" t="s">
        <v>1975</v>
      </c>
      <c r="L29" s="726">
        <v>0</v>
      </c>
      <c r="M29" s="726">
        <v>0</v>
      </c>
      <c r="N29" s="725">
        <v>2</v>
      </c>
      <c r="O29" s="808">
        <v>1</v>
      </c>
      <c r="P29" s="726"/>
      <c r="Q29" s="741"/>
      <c r="R29" s="725"/>
      <c r="S29" s="741">
        <v>0</v>
      </c>
      <c r="T29" s="808"/>
      <c r="U29" s="764">
        <v>0</v>
      </c>
    </row>
    <row r="30" spans="1:21" ht="14.4" customHeight="1" x14ac:dyDescent="0.3">
      <c r="A30" s="724">
        <v>6</v>
      </c>
      <c r="B30" s="725" t="s">
        <v>1679</v>
      </c>
      <c r="C30" s="725" t="s">
        <v>1896</v>
      </c>
      <c r="D30" s="806" t="s">
        <v>2085</v>
      </c>
      <c r="E30" s="807" t="s">
        <v>1909</v>
      </c>
      <c r="F30" s="725" t="s">
        <v>1891</v>
      </c>
      <c r="G30" s="725" t="s">
        <v>1976</v>
      </c>
      <c r="H30" s="725" t="s">
        <v>554</v>
      </c>
      <c r="I30" s="725" t="s">
        <v>1977</v>
      </c>
      <c r="J30" s="725" t="s">
        <v>1978</v>
      </c>
      <c r="K30" s="725" t="s">
        <v>1979</v>
      </c>
      <c r="L30" s="726">
        <v>49.38</v>
      </c>
      <c r="M30" s="726">
        <v>148.14000000000001</v>
      </c>
      <c r="N30" s="725">
        <v>3</v>
      </c>
      <c r="O30" s="808">
        <v>1</v>
      </c>
      <c r="P30" s="726"/>
      <c r="Q30" s="741">
        <v>0</v>
      </c>
      <c r="R30" s="725"/>
      <c r="S30" s="741">
        <v>0</v>
      </c>
      <c r="T30" s="808"/>
      <c r="U30" s="764">
        <v>0</v>
      </c>
    </row>
    <row r="31" spans="1:21" ht="14.4" customHeight="1" x14ac:dyDescent="0.3">
      <c r="A31" s="724">
        <v>6</v>
      </c>
      <c r="B31" s="725" t="s">
        <v>1679</v>
      </c>
      <c r="C31" s="725" t="s">
        <v>1896</v>
      </c>
      <c r="D31" s="806" t="s">
        <v>2085</v>
      </c>
      <c r="E31" s="807" t="s">
        <v>1909</v>
      </c>
      <c r="F31" s="725" t="s">
        <v>1891</v>
      </c>
      <c r="G31" s="725" t="s">
        <v>1980</v>
      </c>
      <c r="H31" s="725" t="s">
        <v>554</v>
      </c>
      <c r="I31" s="725" t="s">
        <v>1981</v>
      </c>
      <c r="J31" s="725" t="s">
        <v>1982</v>
      </c>
      <c r="K31" s="725" t="s">
        <v>1983</v>
      </c>
      <c r="L31" s="726">
        <v>58.62</v>
      </c>
      <c r="M31" s="726">
        <v>58.62</v>
      </c>
      <c r="N31" s="725">
        <v>1</v>
      </c>
      <c r="O31" s="808">
        <v>1</v>
      </c>
      <c r="P31" s="726"/>
      <c r="Q31" s="741">
        <v>0</v>
      </c>
      <c r="R31" s="725"/>
      <c r="S31" s="741">
        <v>0</v>
      </c>
      <c r="T31" s="808"/>
      <c r="U31" s="764">
        <v>0</v>
      </c>
    </row>
    <row r="32" spans="1:21" ht="14.4" customHeight="1" x14ac:dyDescent="0.3">
      <c r="A32" s="724">
        <v>6</v>
      </c>
      <c r="B32" s="725" t="s">
        <v>1679</v>
      </c>
      <c r="C32" s="725" t="s">
        <v>1896</v>
      </c>
      <c r="D32" s="806" t="s">
        <v>2085</v>
      </c>
      <c r="E32" s="807" t="s">
        <v>1909</v>
      </c>
      <c r="F32" s="725" t="s">
        <v>1891</v>
      </c>
      <c r="G32" s="725" t="s">
        <v>1984</v>
      </c>
      <c r="H32" s="725" t="s">
        <v>554</v>
      </c>
      <c r="I32" s="725" t="s">
        <v>1985</v>
      </c>
      <c r="J32" s="725" t="s">
        <v>1790</v>
      </c>
      <c r="K32" s="725" t="s">
        <v>1986</v>
      </c>
      <c r="L32" s="726">
        <v>79.03</v>
      </c>
      <c r="M32" s="726">
        <v>79.03</v>
      </c>
      <c r="N32" s="725">
        <v>1</v>
      </c>
      <c r="O32" s="808">
        <v>1</v>
      </c>
      <c r="P32" s="726">
        <v>79.03</v>
      </c>
      <c r="Q32" s="741">
        <v>1</v>
      </c>
      <c r="R32" s="725">
        <v>1</v>
      </c>
      <c r="S32" s="741">
        <v>1</v>
      </c>
      <c r="T32" s="808">
        <v>1</v>
      </c>
      <c r="U32" s="764">
        <v>1</v>
      </c>
    </row>
    <row r="33" spans="1:21" ht="14.4" customHeight="1" x14ac:dyDescent="0.3">
      <c r="A33" s="724">
        <v>6</v>
      </c>
      <c r="B33" s="725" t="s">
        <v>1679</v>
      </c>
      <c r="C33" s="725" t="s">
        <v>1896</v>
      </c>
      <c r="D33" s="806" t="s">
        <v>2085</v>
      </c>
      <c r="E33" s="807" t="s">
        <v>1909</v>
      </c>
      <c r="F33" s="725" t="s">
        <v>1891</v>
      </c>
      <c r="G33" s="725" t="s">
        <v>1987</v>
      </c>
      <c r="H33" s="725" t="s">
        <v>777</v>
      </c>
      <c r="I33" s="725" t="s">
        <v>1988</v>
      </c>
      <c r="J33" s="725" t="s">
        <v>1989</v>
      </c>
      <c r="K33" s="725" t="s">
        <v>1990</v>
      </c>
      <c r="L33" s="726">
        <v>77.790000000000006</v>
      </c>
      <c r="M33" s="726">
        <v>77.790000000000006</v>
      </c>
      <c r="N33" s="725">
        <v>1</v>
      </c>
      <c r="O33" s="808">
        <v>0.5</v>
      </c>
      <c r="P33" s="726"/>
      <c r="Q33" s="741">
        <v>0</v>
      </c>
      <c r="R33" s="725"/>
      <c r="S33" s="741">
        <v>0</v>
      </c>
      <c r="T33" s="808"/>
      <c r="U33" s="764">
        <v>0</v>
      </c>
    </row>
    <row r="34" spans="1:21" ht="14.4" customHeight="1" x14ac:dyDescent="0.3">
      <c r="A34" s="724">
        <v>6</v>
      </c>
      <c r="B34" s="725" t="s">
        <v>1679</v>
      </c>
      <c r="C34" s="725" t="s">
        <v>1896</v>
      </c>
      <c r="D34" s="806" t="s">
        <v>2085</v>
      </c>
      <c r="E34" s="807" t="s">
        <v>1909</v>
      </c>
      <c r="F34" s="725" t="s">
        <v>1891</v>
      </c>
      <c r="G34" s="725" t="s">
        <v>1991</v>
      </c>
      <c r="H34" s="725" t="s">
        <v>554</v>
      </c>
      <c r="I34" s="725" t="s">
        <v>1992</v>
      </c>
      <c r="J34" s="725" t="s">
        <v>1993</v>
      </c>
      <c r="K34" s="725" t="s">
        <v>1994</v>
      </c>
      <c r="L34" s="726">
        <v>48.42</v>
      </c>
      <c r="M34" s="726">
        <v>96.84</v>
      </c>
      <c r="N34" s="725">
        <v>2</v>
      </c>
      <c r="O34" s="808">
        <v>1</v>
      </c>
      <c r="P34" s="726"/>
      <c r="Q34" s="741">
        <v>0</v>
      </c>
      <c r="R34" s="725"/>
      <c r="S34" s="741">
        <v>0</v>
      </c>
      <c r="T34" s="808"/>
      <c r="U34" s="764">
        <v>0</v>
      </c>
    </row>
    <row r="35" spans="1:21" ht="14.4" customHeight="1" x14ac:dyDescent="0.3">
      <c r="A35" s="724">
        <v>6</v>
      </c>
      <c r="B35" s="725" t="s">
        <v>1679</v>
      </c>
      <c r="C35" s="725" t="s">
        <v>1896</v>
      </c>
      <c r="D35" s="806" t="s">
        <v>2085</v>
      </c>
      <c r="E35" s="807" t="s">
        <v>1909</v>
      </c>
      <c r="F35" s="725" t="s">
        <v>1891</v>
      </c>
      <c r="G35" s="725" t="s">
        <v>1995</v>
      </c>
      <c r="H35" s="725" t="s">
        <v>554</v>
      </c>
      <c r="I35" s="725" t="s">
        <v>1996</v>
      </c>
      <c r="J35" s="725" t="s">
        <v>1997</v>
      </c>
      <c r="K35" s="725" t="s">
        <v>1998</v>
      </c>
      <c r="L35" s="726">
        <v>115.27</v>
      </c>
      <c r="M35" s="726">
        <v>115.27</v>
      </c>
      <c r="N35" s="725">
        <v>1</v>
      </c>
      <c r="O35" s="808">
        <v>1</v>
      </c>
      <c r="P35" s="726"/>
      <c r="Q35" s="741">
        <v>0</v>
      </c>
      <c r="R35" s="725"/>
      <c r="S35" s="741">
        <v>0</v>
      </c>
      <c r="T35" s="808"/>
      <c r="U35" s="764">
        <v>0</v>
      </c>
    </row>
    <row r="36" spans="1:21" ht="14.4" customHeight="1" x14ac:dyDescent="0.3">
      <c r="A36" s="724">
        <v>6</v>
      </c>
      <c r="B36" s="725" t="s">
        <v>1679</v>
      </c>
      <c r="C36" s="725" t="s">
        <v>1896</v>
      </c>
      <c r="D36" s="806" t="s">
        <v>2085</v>
      </c>
      <c r="E36" s="807" t="s">
        <v>1909</v>
      </c>
      <c r="F36" s="725" t="s">
        <v>1891</v>
      </c>
      <c r="G36" s="725" t="s">
        <v>1999</v>
      </c>
      <c r="H36" s="725" t="s">
        <v>777</v>
      </c>
      <c r="I36" s="725" t="s">
        <v>2000</v>
      </c>
      <c r="J36" s="725" t="s">
        <v>1787</v>
      </c>
      <c r="K36" s="725" t="s">
        <v>2001</v>
      </c>
      <c r="L36" s="726">
        <v>353.18</v>
      </c>
      <c r="M36" s="726">
        <v>353.18</v>
      </c>
      <c r="N36" s="725">
        <v>1</v>
      </c>
      <c r="O36" s="808">
        <v>0.5</v>
      </c>
      <c r="P36" s="726"/>
      <c r="Q36" s="741">
        <v>0</v>
      </c>
      <c r="R36" s="725"/>
      <c r="S36" s="741">
        <v>0</v>
      </c>
      <c r="T36" s="808"/>
      <c r="U36" s="764">
        <v>0</v>
      </c>
    </row>
    <row r="37" spans="1:21" ht="14.4" customHeight="1" x14ac:dyDescent="0.3">
      <c r="A37" s="724">
        <v>6</v>
      </c>
      <c r="B37" s="725" t="s">
        <v>1679</v>
      </c>
      <c r="C37" s="725" t="s">
        <v>1896</v>
      </c>
      <c r="D37" s="806" t="s">
        <v>2085</v>
      </c>
      <c r="E37" s="807" t="s">
        <v>1909</v>
      </c>
      <c r="F37" s="725" t="s">
        <v>1891</v>
      </c>
      <c r="G37" s="725" t="s">
        <v>2002</v>
      </c>
      <c r="H37" s="725" t="s">
        <v>777</v>
      </c>
      <c r="I37" s="725" t="s">
        <v>791</v>
      </c>
      <c r="J37" s="725" t="s">
        <v>1763</v>
      </c>
      <c r="K37" s="725" t="s">
        <v>1764</v>
      </c>
      <c r="L37" s="726">
        <v>0</v>
      </c>
      <c r="M37" s="726">
        <v>0</v>
      </c>
      <c r="N37" s="725">
        <v>2</v>
      </c>
      <c r="O37" s="808">
        <v>0.5</v>
      </c>
      <c r="P37" s="726">
        <v>0</v>
      </c>
      <c r="Q37" s="741"/>
      <c r="R37" s="725">
        <v>2</v>
      </c>
      <c r="S37" s="741">
        <v>1</v>
      </c>
      <c r="T37" s="808">
        <v>0.5</v>
      </c>
      <c r="U37" s="764">
        <v>1</v>
      </c>
    </row>
    <row r="38" spans="1:21" ht="14.4" customHeight="1" x14ac:dyDescent="0.3">
      <c r="A38" s="724">
        <v>6</v>
      </c>
      <c r="B38" s="725" t="s">
        <v>1679</v>
      </c>
      <c r="C38" s="725" t="s">
        <v>1896</v>
      </c>
      <c r="D38" s="806" t="s">
        <v>2085</v>
      </c>
      <c r="E38" s="807" t="s">
        <v>1909</v>
      </c>
      <c r="F38" s="725" t="s">
        <v>1891</v>
      </c>
      <c r="G38" s="725" t="s">
        <v>2003</v>
      </c>
      <c r="H38" s="725" t="s">
        <v>554</v>
      </c>
      <c r="I38" s="725" t="s">
        <v>1145</v>
      </c>
      <c r="J38" s="725" t="s">
        <v>2004</v>
      </c>
      <c r="K38" s="725" t="s">
        <v>2005</v>
      </c>
      <c r="L38" s="726">
        <v>77.13</v>
      </c>
      <c r="M38" s="726">
        <v>154.26</v>
      </c>
      <c r="N38" s="725">
        <v>2</v>
      </c>
      <c r="O38" s="808">
        <v>1</v>
      </c>
      <c r="P38" s="726">
        <v>154.26</v>
      </c>
      <c r="Q38" s="741">
        <v>1</v>
      </c>
      <c r="R38" s="725">
        <v>2</v>
      </c>
      <c r="S38" s="741">
        <v>1</v>
      </c>
      <c r="T38" s="808">
        <v>1</v>
      </c>
      <c r="U38" s="764">
        <v>1</v>
      </c>
    </row>
    <row r="39" spans="1:21" ht="14.4" customHeight="1" x14ac:dyDescent="0.3">
      <c r="A39" s="724">
        <v>6</v>
      </c>
      <c r="B39" s="725" t="s">
        <v>1679</v>
      </c>
      <c r="C39" s="725" t="s">
        <v>1896</v>
      </c>
      <c r="D39" s="806" t="s">
        <v>2085</v>
      </c>
      <c r="E39" s="807" t="s">
        <v>1909</v>
      </c>
      <c r="F39" s="725" t="s">
        <v>1892</v>
      </c>
      <c r="G39" s="725" t="s">
        <v>1919</v>
      </c>
      <c r="H39" s="725" t="s">
        <v>554</v>
      </c>
      <c r="I39" s="725" t="s">
        <v>1923</v>
      </c>
      <c r="J39" s="725" t="s">
        <v>1924</v>
      </c>
      <c r="K39" s="725" t="s">
        <v>1925</v>
      </c>
      <c r="L39" s="726">
        <v>864.39</v>
      </c>
      <c r="M39" s="726">
        <v>22474.139999999992</v>
      </c>
      <c r="N39" s="725">
        <v>26</v>
      </c>
      <c r="O39" s="808">
        <v>26</v>
      </c>
      <c r="P39" s="726">
        <v>21609.749999999993</v>
      </c>
      <c r="Q39" s="741">
        <v>0.96153846153846156</v>
      </c>
      <c r="R39" s="725">
        <v>25</v>
      </c>
      <c r="S39" s="741">
        <v>0.96153846153846156</v>
      </c>
      <c r="T39" s="808">
        <v>25</v>
      </c>
      <c r="U39" s="764">
        <v>0.96153846153846156</v>
      </c>
    </row>
    <row r="40" spans="1:21" ht="14.4" customHeight="1" x14ac:dyDescent="0.3">
      <c r="A40" s="724">
        <v>6</v>
      </c>
      <c r="B40" s="725" t="s">
        <v>1679</v>
      </c>
      <c r="C40" s="725" t="s">
        <v>1896</v>
      </c>
      <c r="D40" s="806" t="s">
        <v>2085</v>
      </c>
      <c r="E40" s="807" t="s">
        <v>1909</v>
      </c>
      <c r="F40" s="725" t="s">
        <v>1892</v>
      </c>
      <c r="G40" s="725" t="s">
        <v>1919</v>
      </c>
      <c r="H40" s="725" t="s">
        <v>554</v>
      </c>
      <c r="I40" s="725" t="s">
        <v>1926</v>
      </c>
      <c r="J40" s="725" t="s">
        <v>1927</v>
      </c>
      <c r="K40" s="725" t="s">
        <v>1928</v>
      </c>
      <c r="L40" s="726">
        <v>1978.94</v>
      </c>
      <c r="M40" s="726">
        <v>31663.039999999994</v>
      </c>
      <c r="N40" s="725">
        <v>16</v>
      </c>
      <c r="O40" s="808">
        <v>16</v>
      </c>
      <c r="P40" s="726">
        <v>29684.099999999995</v>
      </c>
      <c r="Q40" s="741">
        <v>0.9375</v>
      </c>
      <c r="R40" s="725">
        <v>15</v>
      </c>
      <c r="S40" s="741">
        <v>0.9375</v>
      </c>
      <c r="T40" s="808">
        <v>15</v>
      </c>
      <c r="U40" s="764">
        <v>0.9375</v>
      </c>
    </row>
    <row r="41" spans="1:21" ht="14.4" customHeight="1" x14ac:dyDescent="0.3">
      <c r="A41" s="724">
        <v>6</v>
      </c>
      <c r="B41" s="725" t="s">
        <v>1679</v>
      </c>
      <c r="C41" s="725" t="s">
        <v>1896</v>
      </c>
      <c r="D41" s="806" t="s">
        <v>2085</v>
      </c>
      <c r="E41" s="807" t="s">
        <v>1910</v>
      </c>
      <c r="F41" s="725" t="s">
        <v>1891</v>
      </c>
      <c r="G41" s="725" t="s">
        <v>1913</v>
      </c>
      <c r="H41" s="725" t="s">
        <v>777</v>
      </c>
      <c r="I41" s="725" t="s">
        <v>844</v>
      </c>
      <c r="J41" s="725" t="s">
        <v>1476</v>
      </c>
      <c r="K41" s="725" t="s">
        <v>1751</v>
      </c>
      <c r="L41" s="726">
        <v>154.36000000000001</v>
      </c>
      <c r="M41" s="726">
        <v>308.72000000000003</v>
      </c>
      <c r="N41" s="725">
        <v>2</v>
      </c>
      <c r="O41" s="808">
        <v>2</v>
      </c>
      <c r="P41" s="726">
        <v>308.72000000000003</v>
      </c>
      <c r="Q41" s="741">
        <v>1</v>
      </c>
      <c r="R41" s="725">
        <v>2</v>
      </c>
      <c r="S41" s="741">
        <v>1</v>
      </c>
      <c r="T41" s="808">
        <v>2</v>
      </c>
      <c r="U41" s="764">
        <v>1</v>
      </c>
    </row>
    <row r="42" spans="1:21" ht="14.4" customHeight="1" x14ac:dyDescent="0.3">
      <c r="A42" s="724">
        <v>6</v>
      </c>
      <c r="B42" s="725" t="s">
        <v>1679</v>
      </c>
      <c r="C42" s="725" t="s">
        <v>1896</v>
      </c>
      <c r="D42" s="806" t="s">
        <v>2085</v>
      </c>
      <c r="E42" s="807" t="s">
        <v>1910</v>
      </c>
      <c r="F42" s="725" t="s">
        <v>1891</v>
      </c>
      <c r="G42" s="725" t="s">
        <v>2006</v>
      </c>
      <c r="H42" s="725" t="s">
        <v>554</v>
      </c>
      <c r="I42" s="725" t="s">
        <v>661</v>
      </c>
      <c r="J42" s="725" t="s">
        <v>662</v>
      </c>
      <c r="K42" s="725" t="s">
        <v>2007</v>
      </c>
      <c r="L42" s="726">
        <v>0</v>
      </c>
      <c r="M42" s="726">
        <v>0</v>
      </c>
      <c r="N42" s="725">
        <v>1</v>
      </c>
      <c r="O42" s="808">
        <v>1</v>
      </c>
      <c r="P42" s="726"/>
      <c r="Q42" s="741"/>
      <c r="R42" s="725"/>
      <c r="S42" s="741">
        <v>0</v>
      </c>
      <c r="T42" s="808"/>
      <c r="U42" s="764">
        <v>0</v>
      </c>
    </row>
    <row r="43" spans="1:21" ht="14.4" customHeight="1" x14ac:dyDescent="0.3">
      <c r="A43" s="724">
        <v>6</v>
      </c>
      <c r="B43" s="725" t="s">
        <v>1679</v>
      </c>
      <c r="C43" s="725" t="s">
        <v>1896</v>
      </c>
      <c r="D43" s="806" t="s">
        <v>2085</v>
      </c>
      <c r="E43" s="807" t="s">
        <v>1910</v>
      </c>
      <c r="F43" s="725" t="s">
        <v>1891</v>
      </c>
      <c r="G43" s="725" t="s">
        <v>2008</v>
      </c>
      <c r="H43" s="725" t="s">
        <v>777</v>
      </c>
      <c r="I43" s="725" t="s">
        <v>1454</v>
      </c>
      <c r="J43" s="725" t="s">
        <v>1878</v>
      </c>
      <c r="K43" s="725" t="s">
        <v>1879</v>
      </c>
      <c r="L43" s="726">
        <v>207.45</v>
      </c>
      <c r="M43" s="726">
        <v>207.45</v>
      </c>
      <c r="N43" s="725">
        <v>1</v>
      </c>
      <c r="O43" s="808">
        <v>1</v>
      </c>
      <c r="P43" s="726"/>
      <c r="Q43" s="741">
        <v>0</v>
      </c>
      <c r="R43" s="725"/>
      <c r="S43" s="741">
        <v>0</v>
      </c>
      <c r="T43" s="808"/>
      <c r="U43" s="764">
        <v>0</v>
      </c>
    </row>
    <row r="44" spans="1:21" ht="14.4" customHeight="1" x14ac:dyDescent="0.3">
      <c r="A44" s="724">
        <v>6</v>
      </c>
      <c r="B44" s="725" t="s">
        <v>1679</v>
      </c>
      <c r="C44" s="725" t="s">
        <v>1896</v>
      </c>
      <c r="D44" s="806" t="s">
        <v>2085</v>
      </c>
      <c r="E44" s="807" t="s">
        <v>1910</v>
      </c>
      <c r="F44" s="725" t="s">
        <v>1891</v>
      </c>
      <c r="G44" s="725" t="s">
        <v>2009</v>
      </c>
      <c r="H44" s="725" t="s">
        <v>554</v>
      </c>
      <c r="I44" s="725" t="s">
        <v>2010</v>
      </c>
      <c r="J44" s="725" t="s">
        <v>689</v>
      </c>
      <c r="K44" s="725" t="s">
        <v>2011</v>
      </c>
      <c r="L44" s="726">
        <v>0</v>
      </c>
      <c r="M44" s="726">
        <v>0</v>
      </c>
      <c r="N44" s="725">
        <v>3</v>
      </c>
      <c r="O44" s="808">
        <v>1</v>
      </c>
      <c r="P44" s="726">
        <v>0</v>
      </c>
      <c r="Q44" s="741"/>
      <c r="R44" s="725">
        <v>3</v>
      </c>
      <c r="S44" s="741">
        <v>1</v>
      </c>
      <c r="T44" s="808">
        <v>1</v>
      </c>
      <c r="U44" s="764">
        <v>1</v>
      </c>
    </row>
    <row r="45" spans="1:21" ht="14.4" customHeight="1" x14ac:dyDescent="0.3">
      <c r="A45" s="724">
        <v>6</v>
      </c>
      <c r="B45" s="725" t="s">
        <v>1679</v>
      </c>
      <c r="C45" s="725" t="s">
        <v>1896</v>
      </c>
      <c r="D45" s="806" t="s">
        <v>2085</v>
      </c>
      <c r="E45" s="807" t="s">
        <v>1910</v>
      </c>
      <c r="F45" s="725" t="s">
        <v>1891</v>
      </c>
      <c r="G45" s="725" t="s">
        <v>2012</v>
      </c>
      <c r="H45" s="725" t="s">
        <v>554</v>
      </c>
      <c r="I45" s="725" t="s">
        <v>2013</v>
      </c>
      <c r="J45" s="725" t="s">
        <v>2014</v>
      </c>
      <c r="K45" s="725" t="s">
        <v>2015</v>
      </c>
      <c r="L45" s="726">
        <v>64.56</v>
      </c>
      <c r="M45" s="726">
        <v>64.56</v>
      </c>
      <c r="N45" s="725">
        <v>1</v>
      </c>
      <c r="O45" s="808">
        <v>0.5</v>
      </c>
      <c r="P45" s="726"/>
      <c r="Q45" s="741">
        <v>0</v>
      </c>
      <c r="R45" s="725"/>
      <c r="S45" s="741">
        <v>0</v>
      </c>
      <c r="T45" s="808"/>
      <c r="U45" s="764">
        <v>0</v>
      </c>
    </row>
    <row r="46" spans="1:21" ht="14.4" customHeight="1" x14ac:dyDescent="0.3">
      <c r="A46" s="724">
        <v>6</v>
      </c>
      <c r="B46" s="725" t="s">
        <v>1679</v>
      </c>
      <c r="C46" s="725" t="s">
        <v>1896</v>
      </c>
      <c r="D46" s="806" t="s">
        <v>2085</v>
      </c>
      <c r="E46" s="807" t="s">
        <v>1910</v>
      </c>
      <c r="F46" s="725" t="s">
        <v>1891</v>
      </c>
      <c r="G46" s="725" t="s">
        <v>2016</v>
      </c>
      <c r="H46" s="725" t="s">
        <v>777</v>
      </c>
      <c r="I46" s="725" t="s">
        <v>2017</v>
      </c>
      <c r="J46" s="725" t="s">
        <v>2018</v>
      </c>
      <c r="K46" s="725" t="s">
        <v>2019</v>
      </c>
      <c r="L46" s="726">
        <v>37.159999999999997</v>
      </c>
      <c r="M46" s="726">
        <v>37.159999999999997</v>
      </c>
      <c r="N46" s="725">
        <v>1</v>
      </c>
      <c r="O46" s="808">
        <v>0.5</v>
      </c>
      <c r="P46" s="726"/>
      <c r="Q46" s="741">
        <v>0</v>
      </c>
      <c r="R46" s="725"/>
      <c r="S46" s="741">
        <v>0</v>
      </c>
      <c r="T46" s="808"/>
      <c r="U46" s="764">
        <v>0</v>
      </c>
    </row>
    <row r="47" spans="1:21" ht="14.4" customHeight="1" x14ac:dyDescent="0.3">
      <c r="A47" s="724">
        <v>6</v>
      </c>
      <c r="B47" s="725" t="s">
        <v>1679</v>
      </c>
      <c r="C47" s="725" t="s">
        <v>1896</v>
      </c>
      <c r="D47" s="806" t="s">
        <v>2085</v>
      </c>
      <c r="E47" s="807" t="s">
        <v>1910</v>
      </c>
      <c r="F47" s="725" t="s">
        <v>1891</v>
      </c>
      <c r="G47" s="725" t="s">
        <v>2020</v>
      </c>
      <c r="H47" s="725" t="s">
        <v>777</v>
      </c>
      <c r="I47" s="725" t="s">
        <v>2021</v>
      </c>
      <c r="J47" s="725" t="s">
        <v>820</v>
      </c>
      <c r="K47" s="725" t="s">
        <v>1775</v>
      </c>
      <c r="L47" s="726">
        <v>490.89</v>
      </c>
      <c r="M47" s="726">
        <v>2454.4499999999998</v>
      </c>
      <c r="N47" s="725">
        <v>5</v>
      </c>
      <c r="O47" s="808">
        <v>2</v>
      </c>
      <c r="P47" s="726">
        <v>981.78</v>
      </c>
      <c r="Q47" s="741">
        <v>0.4</v>
      </c>
      <c r="R47" s="725">
        <v>2</v>
      </c>
      <c r="S47" s="741">
        <v>0.4</v>
      </c>
      <c r="T47" s="808">
        <v>1</v>
      </c>
      <c r="U47" s="764">
        <v>0.5</v>
      </c>
    </row>
    <row r="48" spans="1:21" ht="14.4" customHeight="1" x14ac:dyDescent="0.3">
      <c r="A48" s="724">
        <v>6</v>
      </c>
      <c r="B48" s="725" t="s">
        <v>1679</v>
      </c>
      <c r="C48" s="725" t="s">
        <v>1896</v>
      </c>
      <c r="D48" s="806" t="s">
        <v>2085</v>
      </c>
      <c r="E48" s="807" t="s">
        <v>1910</v>
      </c>
      <c r="F48" s="725" t="s">
        <v>1891</v>
      </c>
      <c r="G48" s="725" t="s">
        <v>2022</v>
      </c>
      <c r="H48" s="725" t="s">
        <v>554</v>
      </c>
      <c r="I48" s="725" t="s">
        <v>873</v>
      </c>
      <c r="J48" s="725" t="s">
        <v>2023</v>
      </c>
      <c r="K48" s="725" t="s">
        <v>2024</v>
      </c>
      <c r="L48" s="726">
        <v>0</v>
      </c>
      <c r="M48" s="726">
        <v>0</v>
      </c>
      <c r="N48" s="725">
        <v>1</v>
      </c>
      <c r="O48" s="808">
        <v>1</v>
      </c>
      <c r="P48" s="726">
        <v>0</v>
      </c>
      <c r="Q48" s="741"/>
      <c r="R48" s="725">
        <v>1</v>
      </c>
      <c r="S48" s="741">
        <v>1</v>
      </c>
      <c r="T48" s="808">
        <v>1</v>
      </c>
      <c r="U48" s="764">
        <v>1</v>
      </c>
    </row>
    <row r="49" spans="1:21" ht="14.4" customHeight="1" x14ac:dyDescent="0.3">
      <c r="A49" s="724">
        <v>6</v>
      </c>
      <c r="B49" s="725" t="s">
        <v>1679</v>
      </c>
      <c r="C49" s="725" t="s">
        <v>1896</v>
      </c>
      <c r="D49" s="806" t="s">
        <v>2085</v>
      </c>
      <c r="E49" s="807" t="s">
        <v>1910</v>
      </c>
      <c r="F49" s="725" t="s">
        <v>1892</v>
      </c>
      <c r="G49" s="725" t="s">
        <v>1919</v>
      </c>
      <c r="H49" s="725" t="s">
        <v>554</v>
      </c>
      <c r="I49" s="725" t="s">
        <v>1926</v>
      </c>
      <c r="J49" s="725" t="s">
        <v>1927</v>
      </c>
      <c r="K49" s="725" t="s">
        <v>1928</v>
      </c>
      <c r="L49" s="726">
        <v>1978.94</v>
      </c>
      <c r="M49" s="726">
        <v>5936.82</v>
      </c>
      <c r="N49" s="725">
        <v>3</v>
      </c>
      <c r="O49" s="808">
        <v>3</v>
      </c>
      <c r="P49" s="726">
        <v>5936.82</v>
      </c>
      <c r="Q49" s="741">
        <v>1</v>
      </c>
      <c r="R49" s="725">
        <v>3</v>
      </c>
      <c r="S49" s="741">
        <v>1</v>
      </c>
      <c r="T49" s="808">
        <v>3</v>
      </c>
      <c r="U49" s="764">
        <v>1</v>
      </c>
    </row>
    <row r="50" spans="1:21" ht="14.4" customHeight="1" x14ac:dyDescent="0.3">
      <c r="A50" s="724">
        <v>6</v>
      </c>
      <c r="B50" s="725" t="s">
        <v>1679</v>
      </c>
      <c r="C50" s="725" t="s">
        <v>1896</v>
      </c>
      <c r="D50" s="806" t="s">
        <v>2085</v>
      </c>
      <c r="E50" s="807" t="s">
        <v>1910</v>
      </c>
      <c r="F50" s="725" t="s">
        <v>1892</v>
      </c>
      <c r="G50" s="725" t="s">
        <v>1919</v>
      </c>
      <c r="H50" s="725" t="s">
        <v>554</v>
      </c>
      <c r="I50" s="725" t="s">
        <v>2025</v>
      </c>
      <c r="J50" s="725" t="s">
        <v>2026</v>
      </c>
      <c r="K50" s="725" t="s">
        <v>2027</v>
      </c>
      <c r="L50" s="726">
        <v>315</v>
      </c>
      <c r="M50" s="726">
        <v>315</v>
      </c>
      <c r="N50" s="725">
        <v>1</v>
      </c>
      <c r="O50" s="808">
        <v>1</v>
      </c>
      <c r="P50" s="726">
        <v>315</v>
      </c>
      <c r="Q50" s="741">
        <v>1</v>
      </c>
      <c r="R50" s="725">
        <v>1</v>
      </c>
      <c r="S50" s="741">
        <v>1</v>
      </c>
      <c r="T50" s="808">
        <v>1</v>
      </c>
      <c r="U50" s="764">
        <v>1</v>
      </c>
    </row>
    <row r="51" spans="1:21" ht="14.4" customHeight="1" x14ac:dyDescent="0.3">
      <c r="A51" s="724">
        <v>6</v>
      </c>
      <c r="B51" s="725" t="s">
        <v>1679</v>
      </c>
      <c r="C51" s="725" t="s">
        <v>1896</v>
      </c>
      <c r="D51" s="806" t="s">
        <v>2085</v>
      </c>
      <c r="E51" s="807" t="s">
        <v>1912</v>
      </c>
      <c r="F51" s="725" t="s">
        <v>1891</v>
      </c>
      <c r="G51" s="725" t="s">
        <v>1941</v>
      </c>
      <c r="H51" s="725" t="s">
        <v>554</v>
      </c>
      <c r="I51" s="725" t="s">
        <v>904</v>
      </c>
      <c r="J51" s="725" t="s">
        <v>905</v>
      </c>
      <c r="K51" s="725" t="s">
        <v>1942</v>
      </c>
      <c r="L51" s="726">
        <v>107.27</v>
      </c>
      <c r="M51" s="726">
        <v>107.27</v>
      </c>
      <c r="N51" s="725">
        <v>1</v>
      </c>
      <c r="O51" s="808">
        <v>0.5</v>
      </c>
      <c r="P51" s="726"/>
      <c r="Q51" s="741">
        <v>0</v>
      </c>
      <c r="R51" s="725"/>
      <c r="S51" s="741">
        <v>0</v>
      </c>
      <c r="T51" s="808"/>
      <c r="U51" s="764">
        <v>0</v>
      </c>
    </row>
    <row r="52" spans="1:21" ht="14.4" customHeight="1" x14ac:dyDescent="0.3">
      <c r="A52" s="724">
        <v>6</v>
      </c>
      <c r="B52" s="725" t="s">
        <v>1679</v>
      </c>
      <c r="C52" s="725" t="s">
        <v>1896</v>
      </c>
      <c r="D52" s="806" t="s">
        <v>2085</v>
      </c>
      <c r="E52" s="807" t="s">
        <v>1912</v>
      </c>
      <c r="F52" s="725" t="s">
        <v>1891</v>
      </c>
      <c r="G52" s="725" t="s">
        <v>2012</v>
      </c>
      <c r="H52" s="725" t="s">
        <v>554</v>
      </c>
      <c r="I52" s="725" t="s">
        <v>2028</v>
      </c>
      <c r="J52" s="725" t="s">
        <v>2029</v>
      </c>
      <c r="K52" s="725" t="s">
        <v>2030</v>
      </c>
      <c r="L52" s="726">
        <v>161.4</v>
      </c>
      <c r="M52" s="726">
        <v>161.4</v>
      </c>
      <c r="N52" s="725">
        <v>1</v>
      </c>
      <c r="O52" s="808">
        <v>0.5</v>
      </c>
      <c r="P52" s="726"/>
      <c r="Q52" s="741">
        <v>0</v>
      </c>
      <c r="R52" s="725"/>
      <c r="S52" s="741">
        <v>0</v>
      </c>
      <c r="T52" s="808"/>
      <c r="U52" s="764">
        <v>0</v>
      </c>
    </row>
    <row r="53" spans="1:21" ht="14.4" customHeight="1" x14ac:dyDescent="0.3">
      <c r="A53" s="724">
        <v>6</v>
      </c>
      <c r="B53" s="725" t="s">
        <v>1679</v>
      </c>
      <c r="C53" s="725" t="s">
        <v>1896</v>
      </c>
      <c r="D53" s="806" t="s">
        <v>2085</v>
      </c>
      <c r="E53" s="807" t="s">
        <v>1903</v>
      </c>
      <c r="F53" s="725" t="s">
        <v>1891</v>
      </c>
      <c r="G53" s="725" t="s">
        <v>2031</v>
      </c>
      <c r="H53" s="725" t="s">
        <v>554</v>
      </c>
      <c r="I53" s="725" t="s">
        <v>2032</v>
      </c>
      <c r="J53" s="725" t="s">
        <v>913</v>
      </c>
      <c r="K53" s="725" t="s">
        <v>2033</v>
      </c>
      <c r="L53" s="726">
        <v>0</v>
      </c>
      <c r="M53" s="726">
        <v>0</v>
      </c>
      <c r="N53" s="725">
        <v>2</v>
      </c>
      <c r="O53" s="808">
        <v>1</v>
      </c>
      <c r="P53" s="726">
        <v>0</v>
      </c>
      <c r="Q53" s="741"/>
      <c r="R53" s="725">
        <v>2</v>
      </c>
      <c r="S53" s="741">
        <v>1</v>
      </c>
      <c r="T53" s="808">
        <v>1</v>
      </c>
      <c r="U53" s="764">
        <v>1</v>
      </c>
    </row>
    <row r="54" spans="1:21" ht="14.4" customHeight="1" x14ac:dyDescent="0.3">
      <c r="A54" s="724">
        <v>6</v>
      </c>
      <c r="B54" s="725" t="s">
        <v>1679</v>
      </c>
      <c r="C54" s="725" t="s">
        <v>1896</v>
      </c>
      <c r="D54" s="806" t="s">
        <v>2085</v>
      </c>
      <c r="E54" s="807" t="s">
        <v>1903</v>
      </c>
      <c r="F54" s="725" t="s">
        <v>1891</v>
      </c>
      <c r="G54" s="725" t="s">
        <v>2034</v>
      </c>
      <c r="H54" s="725" t="s">
        <v>554</v>
      </c>
      <c r="I54" s="725" t="s">
        <v>2035</v>
      </c>
      <c r="J54" s="725" t="s">
        <v>2036</v>
      </c>
      <c r="K54" s="725" t="s">
        <v>2037</v>
      </c>
      <c r="L54" s="726">
        <v>0</v>
      </c>
      <c r="M54" s="726">
        <v>0</v>
      </c>
      <c r="N54" s="725">
        <v>2</v>
      </c>
      <c r="O54" s="808">
        <v>1</v>
      </c>
      <c r="P54" s="726">
        <v>0</v>
      </c>
      <c r="Q54" s="741"/>
      <c r="R54" s="725">
        <v>2</v>
      </c>
      <c r="S54" s="741">
        <v>1</v>
      </c>
      <c r="T54" s="808">
        <v>1</v>
      </c>
      <c r="U54" s="764">
        <v>1</v>
      </c>
    </row>
    <row r="55" spans="1:21" ht="14.4" customHeight="1" x14ac:dyDescent="0.3">
      <c r="A55" s="724">
        <v>6</v>
      </c>
      <c r="B55" s="725" t="s">
        <v>1679</v>
      </c>
      <c r="C55" s="725" t="s">
        <v>1896</v>
      </c>
      <c r="D55" s="806" t="s">
        <v>2085</v>
      </c>
      <c r="E55" s="807" t="s">
        <v>1903</v>
      </c>
      <c r="F55" s="725" t="s">
        <v>1891</v>
      </c>
      <c r="G55" s="725" t="s">
        <v>2038</v>
      </c>
      <c r="H55" s="725" t="s">
        <v>554</v>
      </c>
      <c r="I55" s="725" t="s">
        <v>2039</v>
      </c>
      <c r="J55" s="725" t="s">
        <v>2040</v>
      </c>
      <c r="K55" s="725" t="s">
        <v>2041</v>
      </c>
      <c r="L55" s="726">
        <v>299.83999999999997</v>
      </c>
      <c r="M55" s="726">
        <v>599.67999999999995</v>
      </c>
      <c r="N55" s="725">
        <v>2</v>
      </c>
      <c r="O55" s="808">
        <v>1</v>
      </c>
      <c r="P55" s="726">
        <v>599.67999999999995</v>
      </c>
      <c r="Q55" s="741">
        <v>1</v>
      </c>
      <c r="R55" s="725">
        <v>2</v>
      </c>
      <c r="S55" s="741">
        <v>1</v>
      </c>
      <c r="T55" s="808">
        <v>1</v>
      </c>
      <c r="U55" s="764">
        <v>1</v>
      </c>
    </row>
    <row r="56" spans="1:21" ht="14.4" customHeight="1" x14ac:dyDescent="0.3">
      <c r="A56" s="724">
        <v>6</v>
      </c>
      <c r="B56" s="725" t="s">
        <v>1679</v>
      </c>
      <c r="C56" s="725" t="s">
        <v>1896</v>
      </c>
      <c r="D56" s="806" t="s">
        <v>2085</v>
      </c>
      <c r="E56" s="807" t="s">
        <v>1905</v>
      </c>
      <c r="F56" s="725" t="s">
        <v>1891</v>
      </c>
      <c r="G56" s="725" t="s">
        <v>1913</v>
      </c>
      <c r="H56" s="725" t="s">
        <v>777</v>
      </c>
      <c r="I56" s="725" t="s">
        <v>844</v>
      </c>
      <c r="J56" s="725" t="s">
        <v>1476</v>
      </c>
      <c r="K56" s="725" t="s">
        <v>1751</v>
      </c>
      <c r="L56" s="726">
        <v>154.36000000000001</v>
      </c>
      <c r="M56" s="726">
        <v>463.08000000000004</v>
      </c>
      <c r="N56" s="725">
        <v>3</v>
      </c>
      <c r="O56" s="808">
        <v>2</v>
      </c>
      <c r="P56" s="726">
        <v>308.72000000000003</v>
      </c>
      <c r="Q56" s="741">
        <v>0.66666666666666663</v>
      </c>
      <c r="R56" s="725">
        <v>2</v>
      </c>
      <c r="S56" s="741">
        <v>0.66666666666666663</v>
      </c>
      <c r="T56" s="808">
        <v>1</v>
      </c>
      <c r="U56" s="764">
        <v>0.5</v>
      </c>
    </row>
    <row r="57" spans="1:21" ht="14.4" customHeight="1" x14ac:dyDescent="0.3">
      <c r="A57" s="724">
        <v>6</v>
      </c>
      <c r="B57" s="725" t="s">
        <v>1679</v>
      </c>
      <c r="C57" s="725" t="s">
        <v>1896</v>
      </c>
      <c r="D57" s="806" t="s">
        <v>2085</v>
      </c>
      <c r="E57" s="807" t="s">
        <v>1905</v>
      </c>
      <c r="F57" s="725" t="s">
        <v>1892</v>
      </c>
      <c r="G57" s="725" t="s">
        <v>1919</v>
      </c>
      <c r="H57" s="725" t="s">
        <v>554</v>
      </c>
      <c r="I57" s="725" t="s">
        <v>1923</v>
      </c>
      <c r="J57" s="725" t="s">
        <v>1924</v>
      </c>
      <c r="K57" s="725" t="s">
        <v>1925</v>
      </c>
      <c r="L57" s="726">
        <v>864.39</v>
      </c>
      <c r="M57" s="726">
        <v>6050.7300000000005</v>
      </c>
      <c r="N57" s="725">
        <v>7</v>
      </c>
      <c r="O57" s="808">
        <v>7</v>
      </c>
      <c r="P57" s="726">
        <v>5186.34</v>
      </c>
      <c r="Q57" s="741">
        <v>0.8571428571428571</v>
      </c>
      <c r="R57" s="725">
        <v>6</v>
      </c>
      <c r="S57" s="741">
        <v>0.8571428571428571</v>
      </c>
      <c r="T57" s="808">
        <v>6</v>
      </c>
      <c r="U57" s="764">
        <v>0.8571428571428571</v>
      </c>
    </row>
    <row r="58" spans="1:21" ht="14.4" customHeight="1" x14ac:dyDescent="0.3">
      <c r="A58" s="724">
        <v>6</v>
      </c>
      <c r="B58" s="725" t="s">
        <v>1679</v>
      </c>
      <c r="C58" s="725" t="s">
        <v>1896</v>
      </c>
      <c r="D58" s="806" t="s">
        <v>2085</v>
      </c>
      <c r="E58" s="807" t="s">
        <v>1905</v>
      </c>
      <c r="F58" s="725" t="s">
        <v>1892</v>
      </c>
      <c r="G58" s="725" t="s">
        <v>1919</v>
      </c>
      <c r="H58" s="725" t="s">
        <v>554</v>
      </c>
      <c r="I58" s="725" t="s">
        <v>1926</v>
      </c>
      <c r="J58" s="725" t="s">
        <v>1927</v>
      </c>
      <c r="K58" s="725" t="s">
        <v>1928</v>
      </c>
      <c r="L58" s="726">
        <v>1978.94</v>
      </c>
      <c r="M58" s="726">
        <v>15831.520000000002</v>
      </c>
      <c r="N58" s="725">
        <v>8</v>
      </c>
      <c r="O58" s="808">
        <v>8</v>
      </c>
      <c r="P58" s="726">
        <v>13852.580000000002</v>
      </c>
      <c r="Q58" s="741">
        <v>0.875</v>
      </c>
      <c r="R58" s="725">
        <v>7</v>
      </c>
      <c r="S58" s="741">
        <v>0.875</v>
      </c>
      <c r="T58" s="808">
        <v>7</v>
      </c>
      <c r="U58" s="764">
        <v>0.875</v>
      </c>
    </row>
    <row r="59" spans="1:21" ht="14.4" customHeight="1" x14ac:dyDescent="0.3">
      <c r="A59" s="724">
        <v>6</v>
      </c>
      <c r="B59" s="725" t="s">
        <v>1679</v>
      </c>
      <c r="C59" s="725" t="s">
        <v>1896</v>
      </c>
      <c r="D59" s="806" t="s">
        <v>2085</v>
      </c>
      <c r="E59" s="807" t="s">
        <v>1911</v>
      </c>
      <c r="F59" s="725" t="s">
        <v>1891</v>
      </c>
      <c r="G59" s="725" t="s">
        <v>2042</v>
      </c>
      <c r="H59" s="725" t="s">
        <v>777</v>
      </c>
      <c r="I59" s="725" t="s">
        <v>2043</v>
      </c>
      <c r="J59" s="725" t="s">
        <v>2044</v>
      </c>
      <c r="K59" s="725" t="s">
        <v>2045</v>
      </c>
      <c r="L59" s="726">
        <v>70.540000000000006</v>
      </c>
      <c r="M59" s="726">
        <v>70.540000000000006</v>
      </c>
      <c r="N59" s="725">
        <v>1</v>
      </c>
      <c r="O59" s="808">
        <v>1</v>
      </c>
      <c r="P59" s="726">
        <v>70.540000000000006</v>
      </c>
      <c r="Q59" s="741">
        <v>1</v>
      </c>
      <c r="R59" s="725">
        <v>1</v>
      </c>
      <c r="S59" s="741">
        <v>1</v>
      </c>
      <c r="T59" s="808">
        <v>1</v>
      </c>
      <c r="U59" s="764">
        <v>1</v>
      </c>
    </row>
    <row r="60" spans="1:21" ht="14.4" customHeight="1" x14ac:dyDescent="0.3">
      <c r="A60" s="724">
        <v>6</v>
      </c>
      <c r="B60" s="725" t="s">
        <v>1679</v>
      </c>
      <c r="C60" s="725" t="s">
        <v>1896</v>
      </c>
      <c r="D60" s="806" t="s">
        <v>2085</v>
      </c>
      <c r="E60" s="807" t="s">
        <v>1911</v>
      </c>
      <c r="F60" s="725" t="s">
        <v>1891</v>
      </c>
      <c r="G60" s="725" t="s">
        <v>1941</v>
      </c>
      <c r="H60" s="725" t="s">
        <v>554</v>
      </c>
      <c r="I60" s="725" t="s">
        <v>1971</v>
      </c>
      <c r="J60" s="725" t="s">
        <v>905</v>
      </c>
      <c r="K60" s="725" t="s">
        <v>1942</v>
      </c>
      <c r="L60" s="726">
        <v>107.27</v>
      </c>
      <c r="M60" s="726">
        <v>214.54</v>
      </c>
      <c r="N60" s="725">
        <v>2</v>
      </c>
      <c r="O60" s="808">
        <v>1</v>
      </c>
      <c r="P60" s="726">
        <v>214.54</v>
      </c>
      <c r="Q60" s="741">
        <v>1</v>
      </c>
      <c r="R60" s="725">
        <v>2</v>
      </c>
      <c r="S60" s="741">
        <v>1</v>
      </c>
      <c r="T60" s="808">
        <v>1</v>
      </c>
      <c r="U60" s="764">
        <v>1</v>
      </c>
    </row>
    <row r="61" spans="1:21" ht="14.4" customHeight="1" x14ac:dyDescent="0.3">
      <c r="A61" s="724">
        <v>6</v>
      </c>
      <c r="B61" s="725" t="s">
        <v>1679</v>
      </c>
      <c r="C61" s="725" t="s">
        <v>1896</v>
      </c>
      <c r="D61" s="806" t="s">
        <v>2085</v>
      </c>
      <c r="E61" s="807" t="s">
        <v>1911</v>
      </c>
      <c r="F61" s="725" t="s">
        <v>1891</v>
      </c>
      <c r="G61" s="725" t="s">
        <v>2034</v>
      </c>
      <c r="H61" s="725" t="s">
        <v>554</v>
      </c>
      <c r="I61" s="725" t="s">
        <v>704</v>
      </c>
      <c r="J61" s="725" t="s">
        <v>2046</v>
      </c>
      <c r="K61" s="725" t="s">
        <v>2047</v>
      </c>
      <c r="L61" s="726">
        <v>140.72</v>
      </c>
      <c r="M61" s="726">
        <v>140.72</v>
      </c>
      <c r="N61" s="725">
        <v>1</v>
      </c>
      <c r="O61" s="808">
        <v>1</v>
      </c>
      <c r="P61" s="726">
        <v>140.72</v>
      </c>
      <c r="Q61" s="741">
        <v>1</v>
      </c>
      <c r="R61" s="725">
        <v>1</v>
      </c>
      <c r="S61" s="741">
        <v>1</v>
      </c>
      <c r="T61" s="808">
        <v>1</v>
      </c>
      <c r="U61" s="764">
        <v>1</v>
      </c>
    </row>
    <row r="62" spans="1:21" ht="14.4" customHeight="1" x14ac:dyDescent="0.3">
      <c r="A62" s="724">
        <v>6</v>
      </c>
      <c r="B62" s="725" t="s">
        <v>1679</v>
      </c>
      <c r="C62" s="725" t="s">
        <v>1896</v>
      </c>
      <c r="D62" s="806" t="s">
        <v>2085</v>
      </c>
      <c r="E62" s="807" t="s">
        <v>1911</v>
      </c>
      <c r="F62" s="725" t="s">
        <v>1891</v>
      </c>
      <c r="G62" s="725" t="s">
        <v>2048</v>
      </c>
      <c r="H62" s="725" t="s">
        <v>554</v>
      </c>
      <c r="I62" s="725" t="s">
        <v>1549</v>
      </c>
      <c r="J62" s="725" t="s">
        <v>1550</v>
      </c>
      <c r="K62" s="725" t="s">
        <v>2049</v>
      </c>
      <c r="L62" s="726">
        <v>48.09</v>
      </c>
      <c r="M62" s="726">
        <v>48.09</v>
      </c>
      <c r="N62" s="725">
        <v>1</v>
      </c>
      <c r="O62" s="808">
        <v>1</v>
      </c>
      <c r="P62" s="726"/>
      <c r="Q62" s="741">
        <v>0</v>
      </c>
      <c r="R62" s="725"/>
      <c r="S62" s="741">
        <v>0</v>
      </c>
      <c r="T62" s="808"/>
      <c r="U62" s="764">
        <v>0</v>
      </c>
    </row>
    <row r="63" spans="1:21" ht="14.4" customHeight="1" x14ac:dyDescent="0.3">
      <c r="A63" s="724">
        <v>6</v>
      </c>
      <c r="B63" s="725" t="s">
        <v>1679</v>
      </c>
      <c r="C63" s="725" t="s">
        <v>1896</v>
      </c>
      <c r="D63" s="806" t="s">
        <v>2085</v>
      </c>
      <c r="E63" s="807" t="s">
        <v>1911</v>
      </c>
      <c r="F63" s="725" t="s">
        <v>1891</v>
      </c>
      <c r="G63" s="725" t="s">
        <v>2006</v>
      </c>
      <c r="H63" s="725" t="s">
        <v>554</v>
      </c>
      <c r="I63" s="725" t="s">
        <v>2050</v>
      </c>
      <c r="J63" s="725" t="s">
        <v>662</v>
      </c>
      <c r="K63" s="725" t="s">
        <v>2051</v>
      </c>
      <c r="L63" s="726">
        <v>0</v>
      </c>
      <c r="M63" s="726">
        <v>0</v>
      </c>
      <c r="N63" s="725">
        <v>1</v>
      </c>
      <c r="O63" s="808">
        <v>1</v>
      </c>
      <c r="P63" s="726">
        <v>0</v>
      </c>
      <c r="Q63" s="741"/>
      <c r="R63" s="725">
        <v>1</v>
      </c>
      <c r="S63" s="741">
        <v>1</v>
      </c>
      <c r="T63" s="808">
        <v>1</v>
      </c>
      <c r="U63" s="764">
        <v>1</v>
      </c>
    </row>
    <row r="64" spans="1:21" ht="14.4" customHeight="1" x14ac:dyDescent="0.3">
      <c r="A64" s="724">
        <v>6</v>
      </c>
      <c r="B64" s="725" t="s">
        <v>1679</v>
      </c>
      <c r="C64" s="725" t="s">
        <v>1896</v>
      </c>
      <c r="D64" s="806" t="s">
        <v>2085</v>
      </c>
      <c r="E64" s="807" t="s">
        <v>1911</v>
      </c>
      <c r="F64" s="725" t="s">
        <v>1891</v>
      </c>
      <c r="G64" s="725" t="s">
        <v>2052</v>
      </c>
      <c r="H64" s="725" t="s">
        <v>777</v>
      </c>
      <c r="I64" s="725" t="s">
        <v>2053</v>
      </c>
      <c r="J64" s="725" t="s">
        <v>1802</v>
      </c>
      <c r="K64" s="725" t="s">
        <v>2054</v>
      </c>
      <c r="L64" s="726">
        <v>109.89</v>
      </c>
      <c r="M64" s="726">
        <v>109.89</v>
      </c>
      <c r="N64" s="725">
        <v>1</v>
      </c>
      <c r="O64" s="808"/>
      <c r="P64" s="726">
        <v>109.89</v>
      </c>
      <c r="Q64" s="741">
        <v>1</v>
      </c>
      <c r="R64" s="725">
        <v>1</v>
      </c>
      <c r="S64" s="741">
        <v>1</v>
      </c>
      <c r="T64" s="808"/>
      <c r="U64" s="764"/>
    </row>
    <row r="65" spans="1:21" ht="14.4" customHeight="1" x14ac:dyDescent="0.3">
      <c r="A65" s="724">
        <v>6</v>
      </c>
      <c r="B65" s="725" t="s">
        <v>1679</v>
      </c>
      <c r="C65" s="725" t="s">
        <v>1896</v>
      </c>
      <c r="D65" s="806" t="s">
        <v>2085</v>
      </c>
      <c r="E65" s="807" t="s">
        <v>1911</v>
      </c>
      <c r="F65" s="725" t="s">
        <v>1891</v>
      </c>
      <c r="G65" s="725" t="s">
        <v>2020</v>
      </c>
      <c r="H65" s="725" t="s">
        <v>777</v>
      </c>
      <c r="I65" s="725" t="s">
        <v>2055</v>
      </c>
      <c r="J65" s="725" t="s">
        <v>820</v>
      </c>
      <c r="K65" s="725" t="s">
        <v>1774</v>
      </c>
      <c r="L65" s="726">
        <v>736.33</v>
      </c>
      <c r="M65" s="726">
        <v>736.33</v>
      </c>
      <c r="N65" s="725">
        <v>1</v>
      </c>
      <c r="O65" s="808">
        <v>1</v>
      </c>
      <c r="P65" s="726">
        <v>736.33</v>
      </c>
      <c r="Q65" s="741">
        <v>1</v>
      </c>
      <c r="R65" s="725">
        <v>1</v>
      </c>
      <c r="S65" s="741">
        <v>1</v>
      </c>
      <c r="T65" s="808">
        <v>1</v>
      </c>
      <c r="U65" s="764">
        <v>1</v>
      </c>
    </row>
    <row r="66" spans="1:21" ht="14.4" customHeight="1" x14ac:dyDescent="0.3">
      <c r="A66" s="724">
        <v>6</v>
      </c>
      <c r="B66" s="725" t="s">
        <v>1679</v>
      </c>
      <c r="C66" s="725" t="s">
        <v>1896</v>
      </c>
      <c r="D66" s="806" t="s">
        <v>2085</v>
      </c>
      <c r="E66" s="807" t="s">
        <v>1911</v>
      </c>
      <c r="F66" s="725" t="s">
        <v>1891</v>
      </c>
      <c r="G66" s="725" t="s">
        <v>2020</v>
      </c>
      <c r="H66" s="725" t="s">
        <v>777</v>
      </c>
      <c r="I66" s="725" t="s">
        <v>1013</v>
      </c>
      <c r="J66" s="725" t="s">
        <v>820</v>
      </c>
      <c r="K66" s="725" t="s">
        <v>1776</v>
      </c>
      <c r="L66" s="726">
        <v>923.74</v>
      </c>
      <c r="M66" s="726">
        <v>923.74</v>
      </c>
      <c r="N66" s="725">
        <v>1</v>
      </c>
      <c r="O66" s="808">
        <v>1</v>
      </c>
      <c r="P66" s="726">
        <v>923.74</v>
      </c>
      <c r="Q66" s="741">
        <v>1</v>
      </c>
      <c r="R66" s="725">
        <v>1</v>
      </c>
      <c r="S66" s="741">
        <v>1</v>
      </c>
      <c r="T66" s="808">
        <v>1</v>
      </c>
      <c r="U66" s="764">
        <v>1</v>
      </c>
    </row>
    <row r="67" spans="1:21" ht="14.4" customHeight="1" x14ac:dyDescent="0.3">
      <c r="A67" s="724">
        <v>6</v>
      </c>
      <c r="B67" s="725" t="s">
        <v>1679</v>
      </c>
      <c r="C67" s="725" t="s">
        <v>1896</v>
      </c>
      <c r="D67" s="806" t="s">
        <v>2085</v>
      </c>
      <c r="E67" s="807" t="s">
        <v>1911</v>
      </c>
      <c r="F67" s="725" t="s">
        <v>1891</v>
      </c>
      <c r="G67" s="725" t="s">
        <v>2056</v>
      </c>
      <c r="H67" s="725" t="s">
        <v>554</v>
      </c>
      <c r="I67" s="725" t="s">
        <v>2057</v>
      </c>
      <c r="J67" s="725" t="s">
        <v>767</v>
      </c>
      <c r="K67" s="725" t="s">
        <v>2058</v>
      </c>
      <c r="L67" s="726">
        <v>46.85</v>
      </c>
      <c r="M67" s="726">
        <v>46.85</v>
      </c>
      <c r="N67" s="725">
        <v>1</v>
      </c>
      <c r="O67" s="808">
        <v>1</v>
      </c>
      <c r="P67" s="726">
        <v>46.85</v>
      </c>
      <c r="Q67" s="741">
        <v>1</v>
      </c>
      <c r="R67" s="725">
        <v>1</v>
      </c>
      <c r="S67" s="741">
        <v>1</v>
      </c>
      <c r="T67" s="808">
        <v>1</v>
      </c>
      <c r="U67" s="764">
        <v>1</v>
      </c>
    </row>
    <row r="68" spans="1:21" ht="14.4" customHeight="1" x14ac:dyDescent="0.3">
      <c r="A68" s="724">
        <v>6</v>
      </c>
      <c r="B68" s="725" t="s">
        <v>1679</v>
      </c>
      <c r="C68" s="725" t="s">
        <v>1896</v>
      </c>
      <c r="D68" s="806" t="s">
        <v>2085</v>
      </c>
      <c r="E68" s="807" t="s">
        <v>1911</v>
      </c>
      <c r="F68" s="725" t="s">
        <v>1891</v>
      </c>
      <c r="G68" s="725" t="s">
        <v>2059</v>
      </c>
      <c r="H68" s="725" t="s">
        <v>554</v>
      </c>
      <c r="I68" s="725" t="s">
        <v>1149</v>
      </c>
      <c r="J68" s="725" t="s">
        <v>1150</v>
      </c>
      <c r="K68" s="725" t="s">
        <v>2060</v>
      </c>
      <c r="L68" s="726">
        <v>93.96</v>
      </c>
      <c r="M68" s="726">
        <v>93.96</v>
      </c>
      <c r="N68" s="725">
        <v>1</v>
      </c>
      <c r="O68" s="808">
        <v>1</v>
      </c>
      <c r="P68" s="726">
        <v>93.96</v>
      </c>
      <c r="Q68" s="741">
        <v>1</v>
      </c>
      <c r="R68" s="725">
        <v>1</v>
      </c>
      <c r="S68" s="741">
        <v>1</v>
      </c>
      <c r="T68" s="808">
        <v>1</v>
      </c>
      <c r="U68" s="764">
        <v>1</v>
      </c>
    </row>
    <row r="69" spans="1:21" ht="14.4" customHeight="1" x14ac:dyDescent="0.3">
      <c r="A69" s="724">
        <v>6</v>
      </c>
      <c r="B69" s="725" t="s">
        <v>1679</v>
      </c>
      <c r="C69" s="725" t="s">
        <v>1896</v>
      </c>
      <c r="D69" s="806" t="s">
        <v>2085</v>
      </c>
      <c r="E69" s="807" t="s">
        <v>1911</v>
      </c>
      <c r="F69" s="725" t="s">
        <v>1891</v>
      </c>
      <c r="G69" s="725" t="s">
        <v>2061</v>
      </c>
      <c r="H69" s="725" t="s">
        <v>777</v>
      </c>
      <c r="I69" s="725" t="s">
        <v>2062</v>
      </c>
      <c r="J69" s="725" t="s">
        <v>2063</v>
      </c>
      <c r="K69" s="725" t="s">
        <v>2064</v>
      </c>
      <c r="L69" s="726">
        <v>0</v>
      </c>
      <c r="M69" s="726">
        <v>0</v>
      </c>
      <c r="N69" s="725">
        <v>1</v>
      </c>
      <c r="O69" s="808">
        <v>1</v>
      </c>
      <c r="P69" s="726">
        <v>0</v>
      </c>
      <c r="Q69" s="741"/>
      <c r="R69" s="725">
        <v>1</v>
      </c>
      <c r="S69" s="741">
        <v>1</v>
      </c>
      <c r="T69" s="808">
        <v>1</v>
      </c>
      <c r="U69" s="764">
        <v>1</v>
      </c>
    </row>
    <row r="70" spans="1:21" ht="14.4" customHeight="1" x14ac:dyDescent="0.3">
      <c r="A70" s="724">
        <v>6</v>
      </c>
      <c r="B70" s="725" t="s">
        <v>1679</v>
      </c>
      <c r="C70" s="725" t="s">
        <v>1896</v>
      </c>
      <c r="D70" s="806" t="s">
        <v>2085</v>
      </c>
      <c r="E70" s="807" t="s">
        <v>1911</v>
      </c>
      <c r="F70" s="725" t="s">
        <v>1891</v>
      </c>
      <c r="G70" s="725" t="s">
        <v>2065</v>
      </c>
      <c r="H70" s="725" t="s">
        <v>554</v>
      </c>
      <c r="I70" s="725" t="s">
        <v>2066</v>
      </c>
      <c r="J70" s="725" t="s">
        <v>2067</v>
      </c>
      <c r="K70" s="725" t="s">
        <v>2068</v>
      </c>
      <c r="L70" s="726">
        <v>0</v>
      </c>
      <c r="M70" s="726">
        <v>0</v>
      </c>
      <c r="N70" s="725">
        <v>1</v>
      </c>
      <c r="O70" s="808">
        <v>1</v>
      </c>
      <c r="P70" s="726">
        <v>0</v>
      </c>
      <c r="Q70" s="741"/>
      <c r="R70" s="725">
        <v>1</v>
      </c>
      <c r="S70" s="741">
        <v>1</v>
      </c>
      <c r="T70" s="808">
        <v>1</v>
      </c>
      <c r="U70" s="764">
        <v>1</v>
      </c>
    </row>
    <row r="71" spans="1:21" ht="14.4" customHeight="1" x14ac:dyDescent="0.3">
      <c r="A71" s="724">
        <v>6</v>
      </c>
      <c r="B71" s="725" t="s">
        <v>1679</v>
      </c>
      <c r="C71" s="725" t="s">
        <v>1896</v>
      </c>
      <c r="D71" s="806" t="s">
        <v>2085</v>
      </c>
      <c r="E71" s="807" t="s">
        <v>1911</v>
      </c>
      <c r="F71" s="725" t="s">
        <v>1891</v>
      </c>
      <c r="G71" s="725" t="s">
        <v>1944</v>
      </c>
      <c r="H71" s="725" t="s">
        <v>554</v>
      </c>
      <c r="I71" s="725" t="s">
        <v>1945</v>
      </c>
      <c r="J71" s="725" t="s">
        <v>1242</v>
      </c>
      <c r="K71" s="725" t="s">
        <v>1946</v>
      </c>
      <c r="L71" s="726">
        <v>0</v>
      </c>
      <c r="M71" s="726">
        <v>0</v>
      </c>
      <c r="N71" s="725">
        <v>10</v>
      </c>
      <c r="O71" s="808">
        <v>2</v>
      </c>
      <c r="P71" s="726">
        <v>0</v>
      </c>
      <c r="Q71" s="741"/>
      <c r="R71" s="725">
        <v>10</v>
      </c>
      <c r="S71" s="741">
        <v>1</v>
      </c>
      <c r="T71" s="808">
        <v>2</v>
      </c>
      <c r="U71" s="764">
        <v>1</v>
      </c>
    </row>
    <row r="72" spans="1:21" ht="14.4" customHeight="1" x14ac:dyDescent="0.3">
      <c r="A72" s="724">
        <v>6</v>
      </c>
      <c r="B72" s="725" t="s">
        <v>1679</v>
      </c>
      <c r="C72" s="725" t="s">
        <v>1896</v>
      </c>
      <c r="D72" s="806" t="s">
        <v>2085</v>
      </c>
      <c r="E72" s="807" t="s">
        <v>1911</v>
      </c>
      <c r="F72" s="725" t="s">
        <v>1891</v>
      </c>
      <c r="G72" s="725" t="s">
        <v>2038</v>
      </c>
      <c r="H72" s="725" t="s">
        <v>554</v>
      </c>
      <c r="I72" s="725" t="s">
        <v>2069</v>
      </c>
      <c r="J72" s="725" t="s">
        <v>2070</v>
      </c>
      <c r="K72" s="725" t="s">
        <v>2071</v>
      </c>
      <c r="L72" s="726">
        <v>50.32</v>
      </c>
      <c r="M72" s="726">
        <v>50.32</v>
      </c>
      <c r="N72" s="725">
        <v>1</v>
      </c>
      <c r="O72" s="808">
        <v>1</v>
      </c>
      <c r="P72" s="726"/>
      <c r="Q72" s="741">
        <v>0</v>
      </c>
      <c r="R72" s="725"/>
      <c r="S72" s="741">
        <v>0</v>
      </c>
      <c r="T72" s="808"/>
      <c r="U72" s="764">
        <v>0</v>
      </c>
    </row>
    <row r="73" spans="1:21" ht="14.4" customHeight="1" x14ac:dyDescent="0.3">
      <c r="A73" s="724">
        <v>6</v>
      </c>
      <c r="B73" s="725" t="s">
        <v>1679</v>
      </c>
      <c r="C73" s="725" t="s">
        <v>1896</v>
      </c>
      <c r="D73" s="806" t="s">
        <v>2085</v>
      </c>
      <c r="E73" s="807" t="s">
        <v>1911</v>
      </c>
      <c r="F73" s="725" t="s">
        <v>1892</v>
      </c>
      <c r="G73" s="725" t="s">
        <v>1919</v>
      </c>
      <c r="H73" s="725" t="s">
        <v>554</v>
      </c>
      <c r="I73" s="725" t="s">
        <v>1923</v>
      </c>
      <c r="J73" s="725" t="s">
        <v>1924</v>
      </c>
      <c r="K73" s="725" t="s">
        <v>1925</v>
      </c>
      <c r="L73" s="726">
        <v>864.39</v>
      </c>
      <c r="M73" s="726">
        <v>14694.629999999997</v>
      </c>
      <c r="N73" s="725">
        <v>17</v>
      </c>
      <c r="O73" s="808">
        <v>17</v>
      </c>
      <c r="P73" s="726">
        <v>13830.239999999998</v>
      </c>
      <c r="Q73" s="741">
        <v>0.94117647058823528</v>
      </c>
      <c r="R73" s="725">
        <v>16</v>
      </c>
      <c r="S73" s="741">
        <v>0.94117647058823528</v>
      </c>
      <c r="T73" s="808">
        <v>16</v>
      </c>
      <c r="U73" s="764">
        <v>0.94117647058823528</v>
      </c>
    </row>
    <row r="74" spans="1:21" ht="14.4" customHeight="1" x14ac:dyDescent="0.3">
      <c r="A74" s="724">
        <v>6</v>
      </c>
      <c r="B74" s="725" t="s">
        <v>1679</v>
      </c>
      <c r="C74" s="725" t="s">
        <v>1896</v>
      </c>
      <c r="D74" s="806" t="s">
        <v>2085</v>
      </c>
      <c r="E74" s="807" t="s">
        <v>1911</v>
      </c>
      <c r="F74" s="725" t="s">
        <v>1892</v>
      </c>
      <c r="G74" s="725" t="s">
        <v>1919</v>
      </c>
      <c r="H74" s="725" t="s">
        <v>554</v>
      </c>
      <c r="I74" s="725" t="s">
        <v>1926</v>
      </c>
      <c r="J74" s="725" t="s">
        <v>1927</v>
      </c>
      <c r="K74" s="725" t="s">
        <v>1928</v>
      </c>
      <c r="L74" s="726">
        <v>1978.94</v>
      </c>
      <c r="M74" s="726">
        <v>21768.34</v>
      </c>
      <c r="N74" s="725">
        <v>11</v>
      </c>
      <c r="O74" s="808">
        <v>11</v>
      </c>
      <c r="P74" s="726">
        <v>19789.400000000001</v>
      </c>
      <c r="Q74" s="741">
        <v>0.90909090909090917</v>
      </c>
      <c r="R74" s="725">
        <v>10</v>
      </c>
      <c r="S74" s="741">
        <v>0.90909090909090906</v>
      </c>
      <c r="T74" s="808">
        <v>10</v>
      </c>
      <c r="U74" s="764">
        <v>0.90909090909090906</v>
      </c>
    </row>
    <row r="75" spans="1:21" ht="14.4" customHeight="1" x14ac:dyDescent="0.3">
      <c r="A75" s="724">
        <v>6</v>
      </c>
      <c r="B75" s="725" t="s">
        <v>1679</v>
      </c>
      <c r="C75" s="725" t="s">
        <v>1896</v>
      </c>
      <c r="D75" s="806" t="s">
        <v>2085</v>
      </c>
      <c r="E75" s="807" t="s">
        <v>1911</v>
      </c>
      <c r="F75" s="725" t="s">
        <v>1892</v>
      </c>
      <c r="G75" s="725" t="s">
        <v>1919</v>
      </c>
      <c r="H75" s="725" t="s">
        <v>554</v>
      </c>
      <c r="I75" s="725" t="s">
        <v>1947</v>
      </c>
      <c r="J75" s="725" t="s">
        <v>1948</v>
      </c>
      <c r="K75" s="725" t="s">
        <v>1949</v>
      </c>
      <c r="L75" s="726">
        <v>700</v>
      </c>
      <c r="M75" s="726">
        <v>9800</v>
      </c>
      <c r="N75" s="725">
        <v>14</v>
      </c>
      <c r="O75" s="808">
        <v>14</v>
      </c>
      <c r="P75" s="726">
        <v>8400</v>
      </c>
      <c r="Q75" s="741">
        <v>0.8571428571428571</v>
      </c>
      <c r="R75" s="725">
        <v>12</v>
      </c>
      <c r="S75" s="741">
        <v>0.8571428571428571</v>
      </c>
      <c r="T75" s="808">
        <v>12</v>
      </c>
      <c r="U75" s="764">
        <v>0.8571428571428571</v>
      </c>
    </row>
    <row r="76" spans="1:21" ht="14.4" customHeight="1" x14ac:dyDescent="0.3">
      <c r="A76" s="724">
        <v>6</v>
      </c>
      <c r="B76" s="725" t="s">
        <v>1679</v>
      </c>
      <c r="C76" s="725" t="s">
        <v>1896</v>
      </c>
      <c r="D76" s="806" t="s">
        <v>2085</v>
      </c>
      <c r="E76" s="807" t="s">
        <v>1911</v>
      </c>
      <c r="F76" s="725" t="s">
        <v>1892</v>
      </c>
      <c r="G76" s="725" t="s">
        <v>1919</v>
      </c>
      <c r="H76" s="725" t="s">
        <v>554</v>
      </c>
      <c r="I76" s="725" t="s">
        <v>1950</v>
      </c>
      <c r="J76" s="725" t="s">
        <v>1951</v>
      </c>
      <c r="K76" s="725" t="s">
        <v>1952</v>
      </c>
      <c r="L76" s="726">
        <v>700</v>
      </c>
      <c r="M76" s="726">
        <v>3500</v>
      </c>
      <c r="N76" s="725">
        <v>5</v>
      </c>
      <c r="O76" s="808">
        <v>5</v>
      </c>
      <c r="P76" s="726">
        <v>3500</v>
      </c>
      <c r="Q76" s="741">
        <v>1</v>
      </c>
      <c r="R76" s="725">
        <v>5</v>
      </c>
      <c r="S76" s="741">
        <v>1</v>
      </c>
      <c r="T76" s="808">
        <v>5</v>
      </c>
      <c r="U76" s="764">
        <v>1</v>
      </c>
    </row>
    <row r="77" spans="1:21" ht="14.4" customHeight="1" x14ac:dyDescent="0.3">
      <c r="A77" s="724">
        <v>6</v>
      </c>
      <c r="B77" s="725" t="s">
        <v>1679</v>
      </c>
      <c r="C77" s="725" t="s">
        <v>1896</v>
      </c>
      <c r="D77" s="806" t="s">
        <v>2085</v>
      </c>
      <c r="E77" s="807" t="s">
        <v>1911</v>
      </c>
      <c r="F77" s="725" t="s">
        <v>1892</v>
      </c>
      <c r="G77" s="725" t="s">
        <v>1919</v>
      </c>
      <c r="H77" s="725" t="s">
        <v>554</v>
      </c>
      <c r="I77" s="725" t="s">
        <v>2072</v>
      </c>
      <c r="J77" s="725" t="s">
        <v>2073</v>
      </c>
      <c r="K77" s="725" t="s">
        <v>2074</v>
      </c>
      <c r="L77" s="726">
        <v>500</v>
      </c>
      <c r="M77" s="726">
        <v>500</v>
      </c>
      <c r="N77" s="725">
        <v>1</v>
      </c>
      <c r="O77" s="808">
        <v>1</v>
      </c>
      <c r="P77" s="726">
        <v>500</v>
      </c>
      <c r="Q77" s="741">
        <v>1</v>
      </c>
      <c r="R77" s="725">
        <v>1</v>
      </c>
      <c r="S77" s="741">
        <v>1</v>
      </c>
      <c r="T77" s="808">
        <v>1</v>
      </c>
      <c r="U77" s="764">
        <v>1</v>
      </c>
    </row>
    <row r="78" spans="1:21" ht="14.4" customHeight="1" x14ac:dyDescent="0.3">
      <c r="A78" s="724">
        <v>6</v>
      </c>
      <c r="B78" s="725" t="s">
        <v>1679</v>
      </c>
      <c r="C78" s="725" t="s">
        <v>1896</v>
      </c>
      <c r="D78" s="806" t="s">
        <v>2085</v>
      </c>
      <c r="E78" s="807" t="s">
        <v>1904</v>
      </c>
      <c r="F78" s="725" t="s">
        <v>1891</v>
      </c>
      <c r="G78" s="725" t="s">
        <v>1953</v>
      </c>
      <c r="H78" s="725" t="s">
        <v>554</v>
      </c>
      <c r="I78" s="725" t="s">
        <v>1589</v>
      </c>
      <c r="J78" s="725" t="s">
        <v>1590</v>
      </c>
      <c r="K78" s="725" t="s">
        <v>2075</v>
      </c>
      <c r="L78" s="726">
        <v>78.33</v>
      </c>
      <c r="M78" s="726">
        <v>78.33</v>
      </c>
      <c r="N78" s="725">
        <v>1</v>
      </c>
      <c r="O78" s="808">
        <v>1</v>
      </c>
      <c r="P78" s="726">
        <v>78.33</v>
      </c>
      <c r="Q78" s="741">
        <v>1</v>
      </c>
      <c r="R78" s="725">
        <v>1</v>
      </c>
      <c r="S78" s="741">
        <v>1</v>
      </c>
      <c r="T78" s="808">
        <v>1</v>
      </c>
      <c r="U78" s="764">
        <v>1</v>
      </c>
    </row>
    <row r="79" spans="1:21" ht="14.4" customHeight="1" x14ac:dyDescent="0.3">
      <c r="A79" s="724">
        <v>6</v>
      </c>
      <c r="B79" s="725" t="s">
        <v>1679</v>
      </c>
      <c r="C79" s="725" t="s">
        <v>1896</v>
      </c>
      <c r="D79" s="806" t="s">
        <v>2085</v>
      </c>
      <c r="E79" s="807" t="s">
        <v>1904</v>
      </c>
      <c r="F79" s="725" t="s">
        <v>1891</v>
      </c>
      <c r="G79" s="725" t="s">
        <v>2076</v>
      </c>
      <c r="H79" s="725" t="s">
        <v>554</v>
      </c>
      <c r="I79" s="725" t="s">
        <v>2077</v>
      </c>
      <c r="J79" s="725" t="s">
        <v>2078</v>
      </c>
      <c r="K79" s="725" t="s">
        <v>2079</v>
      </c>
      <c r="L79" s="726">
        <v>132.97999999999999</v>
      </c>
      <c r="M79" s="726">
        <v>265.95999999999998</v>
      </c>
      <c r="N79" s="725">
        <v>2</v>
      </c>
      <c r="O79" s="808">
        <v>1</v>
      </c>
      <c r="P79" s="726">
        <v>265.95999999999998</v>
      </c>
      <c r="Q79" s="741">
        <v>1</v>
      </c>
      <c r="R79" s="725">
        <v>2</v>
      </c>
      <c r="S79" s="741">
        <v>1</v>
      </c>
      <c r="T79" s="808">
        <v>1</v>
      </c>
      <c r="U79" s="764">
        <v>1</v>
      </c>
    </row>
    <row r="80" spans="1:21" ht="14.4" customHeight="1" x14ac:dyDescent="0.3">
      <c r="A80" s="724">
        <v>6</v>
      </c>
      <c r="B80" s="725" t="s">
        <v>1679</v>
      </c>
      <c r="C80" s="725" t="s">
        <v>1896</v>
      </c>
      <c r="D80" s="806" t="s">
        <v>2085</v>
      </c>
      <c r="E80" s="807" t="s">
        <v>1904</v>
      </c>
      <c r="F80" s="725" t="s">
        <v>1892</v>
      </c>
      <c r="G80" s="725" t="s">
        <v>1919</v>
      </c>
      <c r="H80" s="725" t="s">
        <v>554</v>
      </c>
      <c r="I80" s="725" t="s">
        <v>1920</v>
      </c>
      <c r="J80" s="725" t="s">
        <v>1921</v>
      </c>
      <c r="K80" s="725" t="s">
        <v>1922</v>
      </c>
      <c r="L80" s="726">
        <v>179.2</v>
      </c>
      <c r="M80" s="726">
        <v>179.2</v>
      </c>
      <c r="N80" s="725">
        <v>1</v>
      </c>
      <c r="O80" s="808">
        <v>1</v>
      </c>
      <c r="P80" s="726">
        <v>179.2</v>
      </c>
      <c r="Q80" s="741">
        <v>1</v>
      </c>
      <c r="R80" s="725">
        <v>1</v>
      </c>
      <c r="S80" s="741">
        <v>1</v>
      </c>
      <c r="T80" s="808">
        <v>1</v>
      </c>
      <c r="U80" s="764">
        <v>1</v>
      </c>
    </row>
    <row r="81" spans="1:21" ht="14.4" customHeight="1" x14ac:dyDescent="0.3">
      <c r="A81" s="724">
        <v>6</v>
      </c>
      <c r="B81" s="725" t="s">
        <v>1679</v>
      </c>
      <c r="C81" s="725" t="s">
        <v>1896</v>
      </c>
      <c r="D81" s="806" t="s">
        <v>2085</v>
      </c>
      <c r="E81" s="807" t="s">
        <v>1904</v>
      </c>
      <c r="F81" s="725" t="s">
        <v>1892</v>
      </c>
      <c r="G81" s="725" t="s">
        <v>1919</v>
      </c>
      <c r="H81" s="725" t="s">
        <v>554</v>
      </c>
      <c r="I81" s="725" t="s">
        <v>1923</v>
      </c>
      <c r="J81" s="725" t="s">
        <v>1924</v>
      </c>
      <c r="K81" s="725" t="s">
        <v>1925</v>
      </c>
      <c r="L81" s="726">
        <v>864.39</v>
      </c>
      <c r="M81" s="726">
        <v>1728.78</v>
      </c>
      <c r="N81" s="725">
        <v>2</v>
      </c>
      <c r="O81" s="808">
        <v>2</v>
      </c>
      <c r="P81" s="726">
        <v>864.39</v>
      </c>
      <c r="Q81" s="741">
        <v>0.5</v>
      </c>
      <c r="R81" s="725">
        <v>1</v>
      </c>
      <c r="S81" s="741">
        <v>0.5</v>
      </c>
      <c r="T81" s="808">
        <v>1</v>
      </c>
      <c r="U81" s="764">
        <v>0.5</v>
      </c>
    </row>
    <row r="82" spans="1:21" ht="14.4" customHeight="1" x14ac:dyDescent="0.3">
      <c r="A82" s="724">
        <v>6</v>
      </c>
      <c r="B82" s="725" t="s">
        <v>1679</v>
      </c>
      <c r="C82" s="725" t="s">
        <v>1896</v>
      </c>
      <c r="D82" s="806" t="s">
        <v>2085</v>
      </c>
      <c r="E82" s="807" t="s">
        <v>1904</v>
      </c>
      <c r="F82" s="725" t="s">
        <v>1892</v>
      </c>
      <c r="G82" s="725" t="s">
        <v>1919</v>
      </c>
      <c r="H82" s="725" t="s">
        <v>554</v>
      </c>
      <c r="I82" s="725" t="s">
        <v>1926</v>
      </c>
      <c r="J82" s="725" t="s">
        <v>1927</v>
      </c>
      <c r="K82" s="725" t="s">
        <v>1928</v>
      </c>
      <c r="L82" s="726">
        <v>1978.94</v>
      </c>
      <c r="M82" s="726">
        <v>25726.22</v>
      </c>
      <c r="N82" s="725">
        <v>13</v>
      </c>
      <c r="O82" s="808">
        <v>13</v>
      </c>
      <c r="P82" s="726">
        <v>21768.34</v>
      </c>
      <c r="Q82" s="741">
        <v>0.84615384615384615</v>
      </c>
      <c r="R82" s="725">
        <v>11</v>
      </c>
      <c r="S82" s="741">
        <v>0.84615384615384615</v>
      </c>
      <c r="T82" s="808">
        <v>11</v>
      </c>
      <c r="U82" s="764">
        <v>0.84615384615384615</v>
      </c>
    </row>
    <row r="83" spans="1:21" ht="14.4" customHeight="1" x14ac:dyDescent="0.3">
      <c r="A83" s="724">
        <v>6</v>
      </c>
      <c r="B83" s="725" t="s">
        <v>1679</v>
      </c>
      <c r="C83" s="725" t="s">
        <v>1896</v>
      </c>
      <c r="D83" s="806" t="s">
        <v>2085</v>
      </c>
      <c r="E83" s="807" t="s">
        <v>1904</v>
      </c>
      <c r="F83" s="725" t="s">
        <v>1892</v>
      </c>
      <c r="G83" s="725" t="s">
        <v>1929</v>
      </c>
      <c r="H83" s="725" t="s">
        <v>554</v>
      </c>
      <c r="I83" s="725" t="s">
        <v>1930</v>
      </c>
      <c r="J83" s="725" t="s">
        <v>1931</v>
      </c>
      <c r="K83" s="725" t="s">
        <v>1932</v>
      </c>
      <c r="L83" s="726">
        <v>0</v>
      </c>
      <c r="M83" s="726">
        <v>0</v>
      </c>
      <c r="N83" s="725">
        <v>1</v>
      </c>
      <c r="O83" s="808">
        <v>1</v>
      </c>
      <c r="P83" s="726"/>
      <c r="Q83" s="741"/>
      <c r="R83" s="725"/>
      <c r="S83" s="741">
        <v>0</v>
      </c>
      <c r="T83" s="808"/>
      <c r="U83" s="764">
        <v>0</v>
      </c>
    </row>
    <row r="84" spans="1:21" ht="14.4" customHeight="1" x14ac:dyDescent="0.3">
      <c r="A84" s="724">
        <v>6</v>
      </c>
      <c r="B84" s="725" t="s">
        <v>1679</v>
      </c>
      <c r="C84" s="725" t="s">
        <v>1896</v>
      </c>
      <c r="D84" s="806" t="s">
        <v>2085</v>
      </c>
      <c r="E84" s="807" t="s">
        <v>1907</v>
      </c>
      <c r="F84" s="725" t="s">
        <v>1891</v>
      </c>
      <c r="G84" s="725" t="s">
        <v>1913</v>
      </c>
      <c r="H84" s="725" t="s">
        <v>554</v>
      </c>
      <c r="I84" s="725" t="s">
        <v>1914</v>
      </c>
      <c r="J84" s="725" t="s">
        <v>1915</v>
      </c>
      <c r="K84" s="725" t="s">
        <v>1916</v>
      </c>
      <c r="L84" s="726">
        <v>154.36000000000001</v>
      </c>
      <c r="M84" s="726">
        <v>154.36000000000001</v>
      </c>
      <c r="N84" s="725">
        <v>1</v>
      </c>
      <c r="O84" s="808">
        <v>0.5</v>
      </c>
      <c r="P84" s="726"/>
      <c r="Q84" s="741">
        <v>0</v>
      </c>
      <c r="R84" s="725"/>
      <c r="S84" s="741">
        <v>0</v>
      </c>
      <c r="T84" s="808"/>
      <c r="U84" s="764">
        <v>0</v>
      </c>
    </row>
    <row r="85" spans="1:21" ht="14.4" customHeight="1" x14ac:dyDescent="0.3">
      <c r="A85" s="724">
        <v>6</v>
      </c>
      <c r="B85" s="725" t="s">
        <v>1679</v>
      </c>
      <c r="C85" s="725" t="s">
        <v>1896</v>
      </c>
      <c r="D85" s="806" t="s">
        <v>2085</v>
      </c>
      <c r="E85" s="807" t="s">
        <v>1907</v>
      </c>
      <c r="F85" s="725" t="s">
        <v>1891</v>
      </c>
      <c r="G85" s="725" t="s">
        <v>1976</v>
      </c>
      <c r="H85" s="725" t="s">
        <v>554</v>
      </c>
      <c r="I85" s="725" t="s">
        <v>2080</v>
      </c>
      <c r="J85" s="725" t="s">
        <v>2081</v>
      </c>
      <c r="K85" s="725" t="s">
        <v>2082</v>
      </c>
      <c r="L85" s="726">
        <v>23.27</v>
      </c>
      <c r="M85" s="726">
        <v>23.27</v>
      </c>
      <c r="N85" s="725">
        <v>1</v>
      </c>
      <c r="O85" s="808">
        <v>0.5</v>
      </c>
      <c r="P85" s="726"/>
      <c r="Q85" s="741">
        <v>0</v>
      </c>
      <c r="R85" s="725"/>
      <c r="S85" s="741">
        <v>0</v>
      </c>
      <c r="T85" s="808"/>
      <c r="U85" s="764">
        <v>0</v>
      </c>
    </row>
    <row r="86" spans="1:21" ht="14.4" customHeight="1" x14ac:dyDescent="0.3">
      <c r="A86" s="724">
        <v>6</v>
      </c>
      <c r="B86" s="725" t="s">
        <v>1679</v>
      </c>
      <c r="C86" s="725" t="s">
        <v>1896</v>
      </c>
      <c r="D86" s="806" t="s">
        <v>2085</v>
      </c>
      <c r="E86" s="807" t="s">
        <v>1907</v>
      </c>
      <c r="F86" s="725" t="s">
        <v>1891</v>
      </c>
      <c r="G86" s="725" t="s">
        <v>2038</v>
      </c>
      <c r="H86" s="725" t="s">
        <v>554</v>
      </c>
      <c r="I86" s="725" t="s">
        <v>2083</v>
      </c>
      <c r="J86" s="725" t="s">
        <v>2070</v>
      </c>
      <c r="K86" s="725" t="s">
        <v>2084</v>
      </c>
      <c r="L86" s="726">
        <v>33.549999999999997</v>
      </c>
      <c r="M86" s="726">
        <v>33.549999999999997</v>
      </c>
      <c r="N86" s="725">
        <v>1</v>
      </c>
      <c r="O86" s="808">
        <v>1</v>
      </c>
      <c r="P86" s="726"/>
      <c r="Q86" s="741">
        <v>0</v>
      </c>
      <c r="R86" s="725"/>
      <c r="S86" s="741">
        <v>0</v>
      </c>
      <c r="T86" s="808"/>
      <c r="U86" s="764">
        <v>0</v>
      </c>
    </row>
    <row r="87" spans="1:21" ht="14.4" customHeight="1" thickBot="1" x14ac:dyDescent="0.35">
      <c r="A87" s="730">
        <v>6</v>
      </c>
      <c r="B87" s="731" t="s">
        <v>1679</v>
      </c>
      <c r="C87" s="731" t="s">
        <v>1894</v>
      </c>
      <c r="D87" s="809" t="s">
        <v>2086</v>
      </c>
      <c r="E87" s="810" t="s">
        <v>1911</v>
      </c>
      <c r="F87" s="731" t="s">
        <v>1891</v>
      </c>
      <c r="G87" s="731" t="s">
        <v>2020</v>
      </c>
      <c r="H87" s="731" t="s">
        <v>777</v>
      </c>
      <c r="I87" s="731" t="s">
        <v>1056</v>
      </c>
      <c r="J87" s="731" t="s">
        <v>820</v>
      </c>
      <c r="K87" s="731" t="s">
        <v>1774</v>
      </c>
      <c r="L87" s="732">
        <v>736.33</v>
      </c>
      <c r="M87" s="732">
        <v>736.33</v>
      </c>
      <c r="N87" s="731">
        <v>1</v>
      </c>
      <c r="O87" s="811">
        <v>1</v>
      </c>
      <c r="P87" s="732"/>
      <c r="Q87" s="742">
        <v>0</v>
      </c>
      <c r="R87" s="731"/>
      <c r="S87" s="742">
        <v>0</v>
      </c>
      <c r="T87" s="811"/>
      <c r="U87" s="765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64" t="s">
        <v>2088</v>
      </c>
      <c r="B1" s="565"/>
      <c r="C1" s="565"/>
      <c r="D1" s="565"/>
      <c r="E1" s="565"/>
      <c r="F1" s="565"/>
    </row>
    <row r="2" spans="1:6" ht="14.4" customHeight="1" thickBot="1" x14ac:dyDescent="0.35">
      <c r="A2" s="374" t="s">
        <v>323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66" t="s">
        <v>161</v>
      </c>
      <c r="C3" s="567"/>
      <c r="D3" s="568" t="s">
        <v>160</v>
      </c>
      <c r="E3" s="567"/>
      <c r="F3" s="105" t="s">
        <v>3</v>
      </c>
    </row>
    <row r="4" spans="1:6" ht="14.4" customHeight="1" thickBot="1" x14ac:dyDescent="0.35">
      <c r="A4" s="812" t="s">
        <v>210</v>
      </c>
      <c r="B4" s="737" t="s">
        <v>14</v>
      </c>
      <c r="C4" s="738" t="s">
        <v>2</v>
      </c>
      <c r="D4" s="737" t="s">
        <v>14</v>
      </c>
      <c r="E4" s="738" t="s">
        <v>2</v>
      </c>
      <c r="F4" s="739" t="s">
        <v>14</v>
      </c>
    </row>
    <row r="5" spans="1:6" ht="14.4" customHeight="1" x14ac:dyDescent="0.3">
      <c r="A5" s="814" t="s">
        <v>1909</v>
      </c>
      <c r="B5" s="225">
        <v>687.6099999999999</v>
      </c>
      <c r="C5" s="805">
        <v>0.44374818495692292</v>
      </c>
      <c r="D5" s="225">
        <v>861.94</v>
      </c>
      <c r="E5" s="805">
        <v>0.55625181504307708</v>
      </c>
      <c r="F5" s="813">
        <v>1549.55</v>
      </c>
    </row>
    <row r="6" spans="1:6" ht="14.4" customHeight="1" x14ac:dyDescent="0.3">
      <c r="A6" s="751" t="s">
        <v>1905</v>
      </c>
      <c r="B6" s="728"/>
      <c r="C6" s="741">
        <v>0</v>
      </c>
      <c r="D6" s="728">
        <v>926.16000000000008</v>
      </c>
      <c r="E6" s="741">
        <v>1</v>
      </c>
      <c r="F6" s="729">
        <v>926.16000000000008</v>
      </c>
    </row>
    <row r="7" spans="1:6" ht="14.4" customHeight="1" x14ac:dyDescent="0.3">
      <c r="A7" s="751" t="s">
        <v>1910</v>
      </c>
      <c r="B7" s="728"/>
      <c r="C7" s="741">
        <v>0</v>
      </c>
      <c r="D7" s="728">
        <v>4234.17</v>
      </c>
      <c r="E7" s="741">
        <v>1</v>
      </c>
      <c r="F7" s="729">
        <v>4234.17</v>
      </c>
    </row>
    <row r="8" spans="1:6" ht="14.4" customHeight="1" x14ac:dyDescent="0.3">
      <c r="A8" s="751" t="s">
        <v>1911</v>
      </c>
      <c r="B8" s="728"/>
      <c r="C8" s="741">
        <v>0</v>
      </c>
      <c r="D8" s="728">
        <v>5153.66</v>
      </c>
      <c r="E8" s="741">
        <v>1</v>
      </c>
      <c r="F8" s="729">
        <v>5153.66</v>
      </c>
    </row>
    <row r="9" spans="1:6" ht="14.4" customHeight="1" x14ac:dyDescent="0.3">
      <c r="A9" s="751" t="s">
        <v>1908</v>
      </c>
      <c r="B9" s="728"/>
      <c r="C9" s="741">
        <v>0</v>
      </c>
      <c r="D9" s="728">
        <v>560.58000000000004</v>
      </c>
      <c r="E9" s="741">
        <v>1</v>
      </c>
      <c r="F9" s="729">
        <v>560.58000000000004</v>
      </c>
    </row>
    <row r="10" spans="1:6" ht="14.4" customHeight="1" thickBot="1" x14ac:dyDescent="0.35">
      <c r="A10" s="752" t="s">
        <v>1906</v>
      </c>
      <c r="B10" s="743"/>
      <c r="C10" s="744">
        <v>0</v>
      </c>
      <c r="D10" s="743">
        <v>483.08</v>
      </c>
      <c r="E10" s="744">
        <v>1</v>
      </c>
      <c r="F10" s="745">
        <v>483.08</v>
      </c>
    </row>
    <row r="11" spans="1:6" ht="14.4" customHeight="1" thickBot="1" x14ac:dyDescent="0.35">
      <c r="A11" s="746" t="s">
        <v>3</v>
      </c>
      <c r="B11" s="747">
        <v>687.6099999999999</v>
      </c>
      <c r="C11" s="748">
        <v>5.3273366803024656E-2</v>
      </c>
      <c r="D11" s="747">
        <v>12219.59</v>
      </c>
      <c r="E11" s="748">
        <v>0.94672663319697525</v>
      </c>
      <c r="F11" s="749">
        <v>12907.2</v>
      </c>
    </row>
    <row r="12" spans="1:6" ht="14.4" customHeight="1" thickBot="1" x14ac:dyDescent="0.35"/>
    <row r="13" spans="1:6" ht="14.4" customHeight="1" x14ac:dyDescent="0.3">
      <c r="A13" s="814" t="s">
        <v>2089</v>
      </c>
      <c r="B13" s="225">
        <v>414.9</v>
      </c>
      <c r="C13" s="805">
        <v>1</v>
      </c>
      <c r="D13" s="225"/>
      <c r="E13" s="805">
        <v>0</v>
      </c>
      <c r="F13" s="813">
        <v>414.9</v>
      </c>
    </row>
    <row r="14" spans="1:6" ht="14.4" customHeight="1" x14ac:dyDescent="0.3">
      <c r="A14" s="751" t="s">
        <v>1695</v>
      </c>
      <c r="B14" s="728">
        <v>193.68</v>
      </c>
      <c r="C14" s="741">
        <v>1</v>
      </c>
      <c r="D14" s="728"/>
      <c r="E14" s="741">
        <v>0</v>
      </c>
      <c r="F14" s="729">
        <v>193.68</v>
      </c>
    </row>
    <row r="15" spans="1:6" ht="14.4" customHeight="1" x14ac:dyDescent="0.3">
      <c r="A15" s="751" t="s">
        <v>1722</v>
      </c>
      <c r="B15" s="728">
        <v>79.03</v>
      </c>
      <c r="C15" s="741">
        <v>1</v>
      </c>
      <c r="D15" s="728"/>
      <c r="E15" s="741">
        <v>0</v>
      </c>
      <c r="F15" s="729">
        <v>79.03</v>
      </c>
    </row>
    <row r="16" spans="1:6" ht="14.4" customHeight="1" x14ac:dyDescent="0.3">
      <c r="A16" s="751" t="s">
        <v>2090</v>
      </c>
      <c r="B16" s="728"/>
      <c r="C16" s="741">
        <v>0</v>
      </c>
      <c r="D16" s="728">
        <v>483.08</v>
      </c>
      <c r="E16" s="741">
        <v>1</v>
      </c>
      <c r="F16" s="729">
        <v>483.08</v>
      </c>
    </row>
    <row r="17" spans="1:6" ht="14.4" customHeight="1" x14ac:dyDescent="0.3">
      <c r="A17" s="751" t="s">
        <v>2091</v>
      </c>
      <c r="B17" s="728"/>
      <c r="C17" s="741">
        <v>0</v>
      </c>
      <c r="D17" s="728">
        <v>155.58000000000001</v>
      </c>
      <c r="E17" s="741">
        <v>1</v>
      </c>
      <c r="F17" s="729">
        <v>155.58000000000001</v>
      </c>
    </row>
    <row r="18" spans="1:6" ht="14.4" customHeight="1" x14ac:dyDescent="0.3">
      <c r="A18" s="751" t="s">
        <v>1715</v>
      </c>
      <c r="B18" s="728"/>
      <c r="C18" s="741">
        <v>0</v>
      </c>
      <c r="D18" s="728">
        <v>706.36</v>
      </c>
      <c r="E18" s="741">
        <v>1</v>
      </c>
      <c r="F18" s="729">
        <v>706.36</v>
      </c>
    </row>
    <row r="19" spans="1:6" ht="14.4" customHeight="1" x14ac:dyDescent="0.3">
      <c r="A19" s="751" t="s">
        <v>1717</v>
      </c>
      <c r="B19" s="728"/>
      <c r="C19" s="741">
        <v>0</v>
      </c>
      <c r="D19" s="728">
        <v>74.319999999999993</v>
      </c>
      <c r="E19" s="741">
        <v>1</v>
      </c>
      <c r="F19" s="729">
        <v>74.319999999999993</v>
      </c>
    </row>
    <row r="20" spans="1:6" ht="14.4" customHeight="1" x14ac:dyDescent="0.3">
      <c r="A20" s="751" t="s">
        <v>1718</v>
      </c>
      <c r="B20" s="728"/>
      <c r="C20" s="741"/>
      <c r="D20" s="728">
        <v>0</v>
      </c>
      <c r="E20" s="741"/>
      <c r="F20" s="729">
        <v>0</v>
      </c>
    </row>
    <row r="21" spans="1:6" ht="14.4" customHeight="1" x14ac:dyDescent="0.3">
      <c r="A21" s="751" t="s">
        <v>1703</v>
      </c>
      <c r="B21" s="728"/>
      <c r="C21" s="741">
        <v>0</v>
      </c>
      <c r="D21" s="728">
        <v>414.9</v>
      </c>
      <c r="E21" s="741">
        <v>1</v>
      </c>
      <c r="F21" s="729">
        <v>414.9</v>
      </c>
    </row>
    <row r="22" spans="1:6" ht="14.4" customHeight="1" x14ac:dyDescent="0.3">
      <c r="A22" s="751" t="s">
        <v>1719</v>
      </c>
      <c r="B22" s="728"/>
      <c r="C22" s="741">
        <v>0</v>
      </c>
      <c r="D22" s="728">
        <v>219.78</v>
      </c>
      <c r="E22" s="741">
        <v>1</v>
      </c>
      <c r="F22" s="729">
        <v>219.78</v>
      </c>
    </row>
    <row r="23" spans="1:6" ht="14.4" customHeight="1" x14ac:dyDescent="0.3">
      <c r="A23" s="751" t="s">
        <v>1721</v>
      </c>
      <c r="B23" s="728"/>
      <c r="C23" s="741">
        <v>0</v>
      </c>
      <c r="D23" s="728">
        <v>560.58000000000004</v>
      </c>
      <c r="E23" s="741">
        <v>1</v>
      </c>
      <c r="F23" s="729">
        <v>560.58000000000004</v>
      </c>
    </row>
    <row r="24" spans="1:6" ht="14.4" customHeight="1" x14ac:dyDescent="0.3">
      <c r="A24" s="751" t="s">
        <v>2092</v>
      </c>
      <c r="B24" s="728"/>
      <c r="C24" s="741">
        <v>0</v>
      </c>
      <c r="D24" s="728">
        <v>141.08000000000001</v>
      </c>
      <c r="E24" s="741">
        <v>1</v>
      </c>
      <c r="F24" s="729">
        <v>141.08000000000001</v>
      </c>
    </row>
    <row r="25" spans="1:6" ht="14.4" customHeight="1" x14ac:dyDescent="0.3">
      <c r="A25" s="751" t="s">
        <v>1714</v>
      </c>
      <c r="B25" s="728"/>
      <c r="C25" s="741">
        <v>0</v>
      </c>
      <c r="D25" s="728">
        <v>8229.0300000000007</v>
      </c>
      <c r="E25" s="741">
        <v>1</v>
      </c>
      <c r="F25" s="729">
        <v>8229.0300000000007</v>
      </c>
    </row>
    <row r="26" spans="1:6" ht="14.4" customHeight="1" thickBot="1" x14ac:dyDescent="0.35">
      <c r="A26" s="752" t="s">
        <v>1726</v>
      </c>
      <c r="B26" s="743"/>
      <c r="C26" s="744">
        <v>0</v>
      </c>
      <c r="D26" s="743">
        <v>1234.8800000000001</v>
      </c>
      <c r="E26" s="744">
        <v>1</v>
      </c>
      <c r="F26" s="745">
        <v>1234.8800000000001</v>
      </c>
    </row>
    <row r="27" spans="1:6" ht="14.4" customHeight="1" thickBot="1" x14ac:dyDescent="0.35">
      <c r="A27" s="746" t="s">
        <v>3</v>
      </c>
      <c r="B27" s="747">
        <v>687.61</v>
      </c>
      <c r="C27" s="748">
        <v>5.3273366803024656E-2</v>
      </c>
      <c r="D27" s="747">
        <v>12219.59</v>
      </c>
      <c r="E27" s="748">
        <v>0.94672663319697514</v>
      </c>
      <c r="F27" s="749">
        <v>12907.200000000003</v>
      </c>
    </row>
  </sheetData>
  <mergeCells count="3">
    <mergeCell ref="A1:F1"/>
    <mergeCell ref="B3:C3"/>
    <mergeCell ref="D3:E3"/>
  </mergeCells>
  <conditionalFormatting sqref="C5:C1048576">
    <cfRule type="cellIs" dxfId="47" priority="12" stopIfTrue="1" operator="greaterThan">
      <formula>0.2</formula>
    </cfRule>
  </conditionalFormatting>
  <conditionalFormatting sqref="F5:F1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{B2226AD6-48A9-4F22-81BD-C662993ADC19}</x14:id>
        </ext>
      </extLst>
    </cfRule>
  </conditionalFormatting>
  <conditionalFormatting sqref="F13:F2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{EBFBB08F-EF01-44EC-8763-4AD33134D56B}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2226AD6-48A9-4F22-81BD-C662993ADC1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  <x14:conditionalFormatting xmlns:xm="http://schemas.microsoft.com/office/excel/2006/main">
          <x14:cfRule type="dataBar" id="{EBFBB08F-EF01-44EC-8763-4AD33134D56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F13:F26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65" t="s">
        <v>2097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26"/>
      <c r="M1" s="526"/>
    </row>
    <row r="2" spans="1:13" ht="14.4" customHeight="1" thickBot="1" x14ac:dyDescent="0.35">
      <c r="A2" s="374" t="s">
        <v>323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7</v>
      </c>
      <c r="G3" s="47">
        <f>SUBTOTAL(9,G6:G1048576)</f>
        <v>687.61</v>
      </c>
      <c r="H3" s="48">
        <f>IF(M3=0,0,G3/M3)</f>
        <v>5.3273366803024663E-2</v>
      </c>
      <c r="I3" s="47">
        <f>SUBTOTAL(9,I6:I1048576)</f>
        <v>47</v>
      </c>
      <c r="J3" s="47">
        <f>SUBTOTAL(9,J6:J1048576)</f>
        <v>12219.59</v>
      </c>
      <c r="K3" s="48">
        <f>IF(M3=0,0,J3/M3)</f>
        <v>0.94672663319697525</v>
      </c>
      <c r="L3" s="47">
        <f>SUBTOTAL(9,L6:L1048576)</f>
        <v>54</v>
      </c>
      <c r="M3" s="49">
        <f>SUBTOTAL(9,M6:M1048576)</f>
        <v>12907.2</v>
      </c>
    </row>
    <row r="4" spans="1:13" ht="14.4" customHeight="1" thickBot="1" x14ac:dyDescent="0.35">
      <c r="A4" s="45"/>
      <c r="B4" s="45"/>
      <c r="C4" s="45"/>
      <c r="D4" s="45"/>
      <c r="E4" s="46"/>
      <c r="F4" s="569" t="s">
        <v>161</v>
      </c>
      <c r="G4" s="570"/>
      <c r="H4" s="571"/>
      <c r="I4" s="572" t="s">
        <v>160</v>
      </c>
      <c r="J4" s="570"/>
      <c r="K4" s="571"/>
      <c r="L4" s="573" t="s">
        <v>3</v>
      </c>
      <c r="M4" s="574"/>
    </row>
    <row r="5" spans="1:13" ht="14.4" customHeight="1" thickBot="1" x14ac:dyDescent="0.35">
      <c r="A5" s="812" t="s">
        <v>167</v>
      </c>
      <c r="B5" s="815" t="s">
        <v>163</v>
      </c>
      <c r="C5" s="815" t="s">
        <v>90</v>
      </c>
      <c r="D5" s="815" t="s">
        <v>164</v>
      </c>
      <c r="E5" s="815" t="s">
        <v>165</v>
      </c>
      <c r="F5" s="755" t="s">
        <v>28</v>
      </c>
      <c r="G5" s="755" t="s">
        <v>14</v>
      </c>
      <c r="H5" s="738" t="s">
        <v>166</v>
      </c>
      <c r="I5" s="737" t="s">
        <v>28</v>
      </c>
      <c r="J5" s="755" t="s">
        <v>14</v>
      </c>
      <c r="K5" s="738" t="s">
        <v>166</v>
      </c>
      <c r="L5" s="737" t="s">
        <v>28</v>
      </c>
      <c r="M5" s="756" t="s">
        <v>14</v>
      </c>
    </row>
    <row r="6" spans="1:13" ht="14.4" customHeight="1" x14ac:dyDescent="0.3">
      <c r="A6" s="799" t="s">
        <v>1905</v>
      </c>
      <c r="B6" s="800" t="s">
        <v>1750</v>
      </c>
      <c r="C6" s="800" t="s">
        <v>844</v>
      </c>
      <c r="D6" s="800" t="s">
        <v>1476</v>
      </c>
      <c r="E6" s="800" t="s">
        <v>1751</v>
      </c>
      <c r="F6" s="225"/>
      <c r="G6" s="225"/>
      <c r="H6" s="805">
        <v>0</v>
      </c>
      <c r="I6" s="225">
        <v>6</v>
      </c>
      <c r="J6" s="225">
        <v>926.16000000000008</v>
      </c>
      <c r="K6" s="805">
        <v>1</v>
      </c>
      <c r="L6" s="225">
        <v>6</v>
      </c>
      <c r="M6" s="813">
        <v>926.16000000000008</v>
      </c>
    </row>
    <row r="7" spans="1:13" ht="14.4" customHeight="1" x14ac:dyDescent="0.3">
      <c r="A7" s="724" t="s">
        <v>1906</v>
      </c>
      <c r="B7" s="725" t="s">
        <v>2093</v>
      </c>
      <c r="C7" s="725" t="s">
        <v>1934</v>
      </c>
      <c r="D7" s="725" t="s">
        <v>1935</v>
      </c>
      <c r="E7" s="725" t="s">
        <v>1936</v>
      </c>
      <c r="F7" s="728"/>
      <c r="G7" s="728"/>
      <c r="H7" s="741">
        <v>0</v>
      </c>
      <c r="I7" s="728">
        <v>4</v>
      </c>
      <c r="J7" s="728">
        <v>483.08</v>
      </c>
      <c r="K7" s="741">
        <v>1</v>
      </c>
      <c r="L7" s="728">
        <v>4</v>
      </c>
      <c r="M7" s="729">
        <v>483.08</v>
      </c>
    </row>
    <row r="8" spans="1:13" ht="14.4" customHeight="1" x14ac:dyDescent="0.3">
      <c r="A8" s="724" t="s">
        <v>1908</v>
      </c>
      <c r="B8" s="725" t="s">
        <v>1778</v>
      </c>
      <c r="C8" s="725" t="s">
        <v>1049</v>
      </c>
      <c r="D8" s="725" t="s">
        <v>1779</v>
      </c>
      <c r="E8" s="725" t="s">
        <v>1780</v>
      </c>
      <c r="F8" s="728"/>
      <c r="G8" s="728"/>
      <c r="H8" s="741">
        <v>0</v>
      </c>
      <c r="I8" s="728">
        <v>6</v>
      </c>
      <c r="J8" s="728">
        <v>560.58000000000004</v>
      </c>
      <c r="K8" s="741">
        <v>1</v>
      </c>
      <c r="L8" s="728">
        <v>6</v>
      </c>
      <c r="M8" s="729">
        <v>560.58000000000004</v>
      </c>
    </row>
    <row r="9" spans="1:13" ht="14.4" customHeight="1" x14ac:dyDescent="0.3">
      <c r="A9" s="724" t="s">
        <v>1909</v>
      </c>
      <c r="B9" s="725" t="s">
        <v>2094</v>
      </c>
      <c r="C9" s="725" t="s">
        <v>1988</v>
      </c>
      <c r="D9" s="725" t="s">
        <v>1989</v>
      </c>
      <c r="E9" s="725" t="s">
        <v>1990</v>
      </c>
      <c r="F9" s="728"/>
      <c r="G9" s="728"/>
      <c r="H9" s="741">
        <v>0</v>
      </c>
      <c r="I9" s="728">
        <v>2</v>
      </c>
      <c r="J9" s="728">
        <v>155.58000000000001</v>
      </c>
      <c r="K9" s="741">
        <v>1</v>
      </c>
      <c r="L9" s="728">
        <v>2</v>
      </c>
      <c r="M9" s="729">
        <v>155.58000000000001</v>
      </c>
    </row>
    <row r="10" spans="1:13" ht="14.4" customHeight="1" x14ac:dyDescent="0.3">
      <c r="A10" s="724" t="s">
        <v>1909</v>
      </c>
      <c r="B10" s="725" t="s">
        <v>1786</v>
      </c>
      <c r="C10" s="725" t="s">
        <v>2000</v>
      </c>
      <c r="D10" s="725" t="s">
        <v>1787</v>
      </c>
      <c r="E10" s="725" t="s">
        <v>2001</v>
      </c>
      <c r="F10" s="728"/>
      <c r="G10" s="728"/>
      <c r="H10" s="741">
        <v>0</v>
      </c>
      <c r="I10" s="728">
        <v>2</v>
      </c>
      <c r="J10" s="728">
        <v>706.36</v>
      </c>
      <c r="K10" s="741">
        <v>1</v>
      </c>
      <c r="L10" s="728">
        <v>2</v>
      </c>
      <c r="M10" s="729">
        <v>706.36</v>
      </c>
    </row>
    <row r="11" spans="1:13" ht="14.4" customHeight="1" x14ac:dyDescent="0.3">
      <c r="A11" s="724" t="s">
        <v>1909</v>
      </c>
      <c r="B11" s="725" t="s">
        <v>1789</v>
      </c>
      <c r="C11" s="725" t="s">
        <v>1985</v>
      </c>
      <c r="D11" s="725" t="s">
        <v>1790</v>
      </c>
      <c r="E11" s="725" t="s">
        <v>1986</v>
      </c>
      <c r="F11" s="728">
        <v>1</v>
      </c>
      <c r="G11" s="728">
        <v>79.03</v>
      </c>
      <c r="H11" s="741">
        <v>1</v>
      </c>
      <c r="I11" s="728"/>
      <c r="J11" s="728"/>
      <c r="K11" s="741">
        <v>0</v>
      </c>
      <c r="L11" s="728">
        <v>1</v>
      </c>
      <c r="M11" s="729">
        <v>79.03</v>
      </c>
    </row>
    <row r="12" spans="1:13" ht="14.4" customHeight="1" x14ac:dyDescent="0.3">
      <c r="A12" s="724" t="s">
        <v>1909</v>
      </c>
      <c r="B12" s="725" t="s">
        <v>1755</v>
      </c>
      <c r="C12" s="725" t="s">
        <v>1992</v>
      </c>
      <c r="D12" s="725" t="s">
        <v>1993</v>
      </c>
      <c r="E12" s="725" t="s">
        <v>1994</v>
      </c>
      <c r="F12" s="728">
        <v>4</v>
      </c>
      <c r="G12" s="728">
        <v>193.68</v>
      </c>
      <c r="H12" s="741">
        <v>1</v>
      </c>
      <c r="I12" s="728"/>
      <c r="J12" s="728"/>
      <c r="K12" s="741">
        <v>0</v>
      </c>
      <c r="L12" s="728">
        <v>4</v>
      </c>
      <c r="M12" s="729">
        <v>193.68</v>
      </c>
    </row>
    <row r="13" spans="1:13" ht="14.4" customHeight="1" x14ac:dyDescent="0.3">
      <c r="A13" s="724" t="s">
        <v>1909</v>
      </c>
      <c r="B13" s="725" t="s">
        <v>1762</v>
      </c>
      <c r="C13" s="725" t="s">
        <v>791</v>
      </c>
      <c r="D13" s="725" t="s">
        <v>1763</v>
      </c>
      <c r="E13" s="725" t="s">
        <v>1764</v>
      </c>
      <c r="F13" s="728"/>
      <c r="G13" s="728"/>
      <c r="H13" s="741"/>
      <c r="I13" s="728">
        <v>4</v>
      </c>
      <c r="J13" s="728">
        <v>0</v>
      </c>
      <c r="K13" s="741"/>
      <c r="L13" s="728">
        <v>4</v>
      </c>
      <c r="M13" s="729">
        <v>0</v>
      </c>
    </row>
    <row r="14" spans="1:13" ht="14.4" customHeight="1" x14ac:dyDescent="0.3">
      <c r="A14" s="724" t="s">
        <v>1909</v>
      </c>
      <c r="B14" s="725" t="s">
        <v>2095</v>
      </c>
      <c r="C14" s="725" t="s">
        <v>1959</v>
      </c>
      <c r="D14" s="725" t="s">
        <v>1960</v>
      </c>
      <c r="E14" s="725" t="s">
        <v>1961</v>
      </c>
      <c r="F14" s="728">
        <v>2</v>
      </c>
      <c r="G14" s="728">
        <v>414.9</v>
      </c>
      <c r="H14" s="741">
        <v>1</v>
      </c>
      <c r="I14" s="728"/>
      <c r="J14" s="728"/>
      <c r="K14" s="741">
        <v>0</v>
      </c>
      <c r="L14" s="728">
        <v>2</v>
      </c>
      <c r="M14" s="729">
        <v>414.9</v>
      </c>
    </row>
    <row r="15" spans="1:13" ht="14.4" customHeight="1" x14ac:dyDescent="0.3">
      <c r="A15" s="724" t="s">
        <v>1910</v>
      </c>
      <c r="B15" s="725" t="s">
        <v>1743</v>
      </c>
      <c r="C15" s="725" t="s">
        <v>2021</v>
      </c>
      <c r="D15" s="725" t="s">
        <v>820</v>
      </c>
      <c r="E15" s="725" t="s">
        <v>1775</v>
      </c>
      <c r="F15" s="728"/>
      <c r="G15" s="728"/>
      <c r="H15" s="741">
        <v>0</v>
      </c>
      <c r="I15" s="728">
        <v>7</v>
      </c>
      <c r="J15" s="728">
        <v>3436.23</v>
      </c>
      <c r="K15" s="741">
        <v>1</v>
      </c>
      <c r="L15" s="728">
        <v>7</v>
      </c>
      <c r="M15" s="729">
        <v>3436.23</v>
      </c>
    </row>
    <row r="16" spans="1:13" ht="14.4" customHeight="1" x14ac:dyDescent="0.3">
      <c r="A16" s="724" t="s">
        <v>1910</v>
      </c>
      <c r="B16" s="725" t="s">
        <v>1748</v>
      </c>
      <c r="C16" s="725" t="s">
        <v>2017</v>
      </c>
      <c r="D16" s="725" t="s">
        <v>2018</v>
      </c>
      <c r="E16" s="725" t="s">
        <v>2019</v>
      </c>
      <c r="F16" s="728"/>
      <c r="G16" s="728"/>
      <c r="H16" s="741">
        <v>0</v>
      </c>
      <c r="I16" s="728">
        <v>2</v>
      </c>
      <c r="J16" s="728">
        <v>74.319999999999993</v>
      </c>
      <c r="K16" s="741">
        <v>1</v>
      </c>
      <c r="L16" s="728">
        <v>2</v>
      </c>
      <c r="M16" s="729">
        <v>74.319999999999993</v>
      </c>
    </row>
    <row r="17" spans="1:13" ht="14.4" customHeight="1" x14ac:dyDescent="0.3">
      <c r="A17" s="724" t="s">
        <v>1910</v>
      </c>
      <c r="B17" s="725" t="s">
        <v>1750</v>
      </c>
      <c r="C17" s="725" t="s">
        <v>844</v>
      </c>
      <c r="D17" s="725" t="s">
        <v>1476</v>
      </c>
      <c r="E17" s="725" t="s">
        <v>1751</v>
      </c>
      <c r="F17" s="728"/>
      <c r="G17" s="728"/>
      <c r="H17" s="741">
        <v>0</v>
      </c>
      <c r="I17" s="728">
        <v>2</v>
      </c>
      <c r="J17" s="728">
        <v>308.72000000000003</v>
      </c>
      <c r="K17" s="741">
        <v>1</v>
      </c>
      <c r="L17" s="728">
        <v>2</v>
      </c>
      <c r="M17" s="729">
        <v>308.72000000000003</v>
      </c>
    </row>
    <row r="18" spans="1:13" ht="14.4" customHeight="1" x14ac:dyDescent="0.3">
      <c r="A18" s="724" t="s">
        <v>1910</v>
      </c>
      <c r="B18" s="725" t="s">
        <v>1877</v>
      </c>
      <c r="C18" s="725" t="s">
        <v>1454</v>
      </c>
      <c r="D18" s="725" t="s">
        <v>1878</v>
      </c>
      <c r="E18" s="725" t="s">
        <v>1879</v>
      </c>
      <c r="F18" s="728"/>
      <c r="G18" s="728"/>
      <c r="H18" s="741">
        <v>0</v>
      </c>
      <c r="I18" s="728">
        <v>2</v>
      </c>
      <c r="J18" s="728">
        <v>414.9</v>
      </c>
      <c r="K18" s="741">
        <v>1</v>
      </c>
      <c r="L18" s="728">
        <v>2</v>
      </c>
      <c r="M18" s="729">
        <v>414.9</v>
      </c>
    </row>
    <row r="19" spans="1:13" ht="14.4" customHeight="1" x14ac:dyDescent="0.3">
      <c r="A19" s="724" t="s">
        <v>1911</v>
      </c>
      <c r="B19" s="725" t="s">
        <v>1743</v>
      </c>
      <c r="C19" s="725" t="s">
        <v>2055</v>
      </c>
      <c r="D19" s="725" t="s">
        <v>820</v>
      </c>
      <c r="E19" s="725" t="s">
        <v>1774</v>
      </c>
      <c r="F19" s="728"/>
      <c r="G19" s="728"/>
      <c r="H19" s="741">
        <v>0</v>
      </c>
      <c r="I19" s="728">
        <v>2</v>
      </c>
      <c r="J19" s="728">
        <v>1472.66</v>
      </c>
      <c r="K19" s="741">
        <v>1</v>
      </c>
      <c r="L19" s="728">
        <v>2</v>
      </c>
      <c r="M19" s="729">
        <v>1472.66</v>
      </c>
    </row>
    <row r="20" spans="1:13" ht="14.4" customHeight="1" x14ac:dyDescent="0.3">
      <c r="A20" s="724" t="s">
        <v>1911</v>
      </c>
      <c r="B20" s="725" t="s">
        <v>1743</v>
      </c>
      <c r="C20" s="725" t="s">
        <v>1013</v>
      </c>
      <c r="D20" s="725" t="s">
        <v>820</v>
      </c>
      <c r="E20" s="725" t="s">
        <v>1776</v>
      </c>
      <c r="F20" s="728"/>
      <c r="G20" s="728"/>
      <c r="H20" s="741">
        <v>0</v>
      </c>
      <c r="I20" s="728">
        <v>2</v>
      </c>
      <c r="J20" s="728">
        <v>1847.48</v>
      </c>
      <c r="K20" s="741">
        <v>1</v>
      </c>
      <c r="L20" s="728">
        <v>2</v>
      </c>
      <c r="M20" s="729">
        <v>1847.48</v>
      </c>
    </row>
    <row r="21" spans="1:13" ht="14.4" customHeight="1" x14ac:dyDescent="0.3">
      <c r="A21" s="724" t="s">
        <v>1911</v>
      </c>
      <c r="B21" s="725" t="s">
        <v>1743</v>
      </c>
      <c r="C21" s="725" t="s">
        <v>1056</v>
      </c>
      <c r="D21" s="725" t="s">
        <v>820</v>
      </c>
      <c r="E21" s="725" t="s">
        <v>1774</v>
      </c>
      <c r="F21" s="728"/>
      <c r="G21" s="728"/>
      <c r="H21" s="741">
        <v>0</v>
      </c>
      <c r="I21" s="728">
        <v>2</v>
      </c>
      <c r="J21" s="728">
        <v>1472.66</v>
      </c>
      <c r="K21" s="741">
        <v>1</v>
      </c>
      <c r="L21" s="728">
        <v>2</v>
      </c>
      <c r="M21" s="729">
        <v>1472.66</v>
      </c>
    </row>
    <row r="22" spans="1:13" ht="14.4" customHeight="1" x14ac:dyDescent="0.3">
      <c r="A22" s="724" t="s">
        <v>1911</v>
      </c>
      <c r="B22" s="725" t="s">
        <v>2096</v>
      </c>
      <c r="C22" s="725" t="s">
        <v>2043</v>
      </c>
      <c r="D22" s="725" t="s">
        <v>2044</v>
      </c>
      <c r="E22" s="725" t="s">
        <v>2045</v>
      </c>
      <c r="F22" s="728"/>
      <c r="G22" s="728"/>
      <c r="H22" s="741">
        <v>0</v>
      </c>
      <c r="I22" s="728">
        <v>2</v>
      </c>
      <c r="J22" s="728">
        <v>141.08000000000001</v>
      </c>
      <c r="K22" s="741">
        <v>1</v>
      </c>
      <c r="L22" s="728">
        <v>2</v>
      </c>
      <c r="M22" s="729">
        <v>141.08000000000001</v>
      </c>
    </row>
    <row r="23" spans="1:13" ht="14.4" customHeight="1" thickBot="1" x14ac:dyDescent="0.35">
      <c r="A23" s="730" t="s">
        <v>1911</v>
      </c>
      <c r="B23" s="731" t="s">
        <v>1801</v>
      </c>
      <c r="C23" s="731" t="s">
        <v>2053</v>
      </c>
      <c r="D23" s="731" t="s">
        <v>1802</v>
      </c>
      <c r="E23" s="731" t="s">
        <v>2054</v>
      </c>
      <c r="F23" s="734"/>
      <c r="G23" s="734"/>
      <c r="H23" s="742">
        <v>0</v>
      </c>
      <c r="I23" s="734">
        <v>2</v>
      </c>
      <c r="J23" s="734">
        <v>219.78</v>
      </c>
      <c r="K23" s="742">
        <v>1</v>
      </c>
      <c r="L23" s="734">
        <v>2</v>
      </c>
      <c r="M23" s="735">
        <v>219.78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56" t="s">
        <v>178</v>
      </c>
      <c r="B1" s="557"/>
      <c r="C1" s="557"/>
      <c r="D1" s="557"/>
      <c r="E1" s="557"/>
      <c r="F1" s="557"/>
      <c r="G1" s="527"/>
      <c r="H1" s="558"/>
      <c r="I1" s="558"/>
    </row>
    <row r="2" spans="1:10" ht="14.4" customHeight="1" thickBot="1" x14ac:dyDescent="0.35">
      <c r="A2" s="374" t="s">
        <v>323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482"/>
      <c r="C3" s="418">
        <v>2015</v>
      </c>
      <c r="D3" s="419">
        <v>2016</v>
      </c>
      <c r="E3" s="11"/>
      <c r="F3" s="535">
        <v>2017</v>
      </c>
      <c r="G3" s="553"/>
      <c r="H3" s="553"/>
      <c r="I3" s="536"/>
    </row>
    <row r="4" spans="1:10" ht="14.4" customHeight="1" thickBot="1" x14ac:dyDescent="0.35">
      <c r="A4" s="423" t="s">
        <v>0</v>
      </c>
      <c r="B4" s="424" t="s">
        <v>253</v>
      </c>
      <c r="C4" s="554" t="s">
        <v>94</v>
      </c>
      <c r="D4" s="555"/>
      <c r="E4" s="425"/>
      <c r="F4" s="420" t="s">
        <v>94</v>
      </c>
      <c r="G4" s="421" t="s">
        <v>95</v>
      </c>
      <c r="H4" s="421" t="s">
        <v>69</v>
      </c>
      <c r="I4" s="422" t="s">
        <v>96</v>
      </c>
    </row>
    <row r="5" spans="1:10" ht="14.4" customHeight="1" x14ac:dyDescent="0.3">
      <c r="A5" s="708" t="s">
        <v>552</v>
      </c>
      <c r="B5" s="709" t="s">
        <v>553</v>
      </c>
      <c r="C5" s="710" t="s">
        <v>554</v>
      </c>
      <c r="D5" s="710" t="s">
        <v>554</v>
      </c>
      <c r="E5" s="710"/>
      <c r="F5" s="710" t="s">
        <v>554</v>
      </c>
      <c r="G5" s="710" t="s">
        <v>554</v>
      </c>
      <c r="H5" s="710" t="s">
        <v>554</v>
      </c>
      <c r="I5" s="711" t="s">
        <v>554</v>
      </c>
      <c r="J5" s="712" t="s">
        <v>74</v>
      </c>
    </row>
    <row r="6" spans="1:10" ht="14.4" customHeight="1" x14ac:dyDescent="0.3">
      <c r="A6" s="708" t="s">
        <v>552</v>
      </c>
      <c r="B6" s="709" t="s">
        <v>347</v>
      </c>
      <c r="C6" s="710">
        <v>5246.9569499999998</v>
      </c>
      <c r="D6" s="710">
        <v>3522.50216</v>
      </c>
      <c r="E6" s="710"/>
      <c r="F6" s="710">
        <v>3081.0217499999999</v>
      </c>
      <c r="G6" s="710">
        <v>4475</v>
      </c>
      <c r="H6" s="710">
        <v>-1393.9782500000001</v>
      </c>
      <c r="I6" s="711">
        <v>0.68849648044692735</v>
      </c>
      <c r="J6" s="712" t="s">
        <v>1</v>
      </c>
    </row>
    <row r="7" spans="1:10" ht="14.4" customHeight="1" x14ac:dyDescent="0.3">
      <c r="A7" s="708" t="s">
        <v>552</v>
      </c>
      <c r="B7" s="709" t="s">
        <v>348</v>
      </c>
      <c r="C7" s="710">
        <v>1702.2251700000002</v>
      </c>
      <c r="D7" s="710">
        <v>978.88561000000004</v>
      </c>
      <c r="E7" s="710"/>
      <c r="F7" s="710">
        <v>918.90311999999994</v>
      </c>
      <c r="G7" s="710">
        <v>1999.9166666666674</v>
      </c>
      <c r="H7" s="710">
        <v>-1081.0135466666675</v>
      </c>
      <c r="I7" s="711">
        <v>0.45947070461269202</v>
      </c>
      <c r="J7" s="712" t="s">
        <v>1</v>
      </c>
    </row>
    <row r="8" spans="1:10" ht="14.4" customHeight="1" x14ac:dyDescent="0.3">
      <c r="A8" s="708" t="s">
        <v>552</v>
      </c>
      <c r="B8" s="709" t="s">
        <v>349</v>
      </c>
      <c r="C8" s="710">
        <v>5770.7563700000028</v>
      </c>
      <c r="D8" s="710">
        <v>7823.8339899999992</v>
      </c>
      <c r="E8" s="710"/>
      <c r="F8" s="710">
        <v>7210.76775000001</v>
      </c>
      <c r="G8" s="710">
        <v>5875.0833333333248</v>
      </c>
      <c r="H8" s="710">
        <v>1335.6844166666851</v>
      </c>
      <c r="I8" s="711">
        <v>1.2273473142224969</v>
      </c>
      <c r="J8" s="712" t="s">
        <v>1</v>
      </c>
    </row>
    <row r="9" spans="1:10" ht="14.4" customHeight="1" x14ac:dyDescent="0.3">
      <c r="A9" s="708" t="s">
        <v>552</v>
      </c>
      <c r="B9" s="709" t="s">
        <v>350</v>
      </c>
      <c r="C9" s="710">
        <v>638.25779</v>
      </c>
      <c r="D9" s="710">
        <v>406.00800000000004</v>
      </c>
      <c r="E9" s="710"/>
      <c r="F9" s="710">
        <v>328.74392</v>
      </c>
      <c r="G9" s="710">
        <v>525</v>
      </c>
      <c r="H9" s="710">
        <v>-196.25608</v>
      </c>
      <c r="I9" s="711">
        <v>0.62617889523809522</v>
      </c>
      <c r="J9" s="712" t="s">
        <v>1</v>
      </c>
    </row>
    <row r="10" spans="1:10" ht="14.4" customHeight="1" x14ac:dyDescent="0.3">
      <c r="A10" s="708" t="s">
        <v>552</v>
      </c>
      <c r="B10" s="709" t="s">
        <v>351</v>
      </c>
      <c r="C10" s="710">
        <v>2.2309999999999999</v>
      </c>
      <c r="D10" s="710">
        <v>2.7888000000000002</v>
      </c>
      <c r="E10" s="710"/>
      <c r="F10" s="710">
        <v>3.5534800000000004</v>
      </c>
      <c r="G10" s="710">
        <v>4.9999999999997504</v>
      </c>
      <c r="H10" s="710">
        <v>-1.44651999999975</v>
      </c>
      <c r="I10" s="711">
        <v>0.71069600000003552</v>
      </c>
      <c r="J10" s="712" t="s">
        <v>1</v>
      </c>
    </row>
    <row r="11" spans="1:10" ht="14.4" customHeight="1" x14ac:dyDescent="0.3">
      <c r="A11" s="708" t="s">
        <v>552</v>
      </c>
      <c r="B11" s="709" t="s">
        <v>352</v>
      </c>
      <c r="C11" s="710">
        <v>0</v>
      </c>
      <c r="D11" s="710">
        <v>0</v>
      </c>
      <c r="E11" s="710"/>
      <c r="F11" s="710">
        <v>0</v>
      </c>
      <c r="G11" s="710">
        <v>7.6897565744000002E-2</v>
      </c>
      <c r="H11" s="710">
        <v>-7.6897565744000002E-2</v>
      </c>
      <c r="I11" s="711">
        <v>0</v>
      </c>
      <c r="J11" s="712" t="s">
        <v>1</v>
      </c>
    </row>
    <row r="12" spans="1:10" ht="14.4" customHeight="1" x14ac:dyDescent="0.3">
      <c r="A12" s="708" t="s">
        <v>552</v>
      </c>
      <c r="B12" s="709" t="s">
        <v>353</v>
      </c>
      <c r="C12" s="710">
        <v>256.49501000000004</v>
      </c>
      <c r="D12" s="710">
        <v>352.55100000000004</v>
      </c>
      <c r="E12" s="710"/>
      <c r="F12" s="710">
        <v>325.92580000000004</v>
      </c>
      <c r="G12" s="710">
        <v>352.49999999999977</v>
      </c>
      <c r="H12" s="710">
        <v>-26.574199999999735</v>
      </c>
      <c r="I12" s="711">
        <v>0.92461219858156096</v>
      </c>
      <c r="J12" s="712" t="s">
        <v>1</v>
      </c>
    </row>
    <row r="13" spans="1:10" ht="14.4" customHeight="1" x14ac:dyDescent="0.3">
      <c r="A13" s="708" t="s">
        <v>552</v>
      </c>
      <c r="B13" s="709" t="s">
        <v>354</v>
      </c>
      <c r="C13" s="710">
        <v>720.69393000000002</v>
      </c>
      <c r="D13" s="710">
        <v>976.10639000000003</v>
      </c>
      <c r="E13" s="710"/>
      <c r="F13" s="710">
        <v>728.94584999999995</v>
      </c>
      <c r="G13" s="710">
        <v>885.2268976337715</v>
      </c>
      <c r="H13" s="710">
        <v>-156.28104763377155</v>
      </c>
      <c r="I13" s="711">
        <v>0.82345650809807769</v>
      </c>
      <c r="J13" s="712" t="s">
        <v>1</v>
      </c>
    </row>
    <row r="14" spans="1:10" ht="14.4" customHeight="1" x14ac:dyDescent="0.3">
      <c r="A14" s="708" t="s">
        <v>552</v>
      </c>
      <c r="B14" s="709" t="s">
        <v>355</v>
      </c>
      <c r="C14" s="710">
        <v>7.3529999999999998</v>
      </c>
      <c r="D14" s="710">
        <v>11.661460000000002</v>
      </c>
      <c r="E14" s="710"/>
      <c r="F14" s="710">
        <v>19.543660000000003</v>
      </c>
      <c r="G14" s="710">
        <v>22.499999999999748</v>
      </c>
      <c r="H14" s="710">
        <v>-2.9563399999997451</v>
      </c>
      <c r="I14" s="711">
        <v>0.86860711111112099</v>
      </c>
      <c r="J14" s="712" t="s">
        <v>1</v>
      </c>
    </row>
    <row r="15" spans="1:10" ht="14.4" customHeight="1" x14ac:dyDescent="0.3">
      <c r="A15" s="708" t="s">
        <v>552</v>
      </c>
      <c r="B15" s="709" t="s">
        <v>356</v>
      </c>
      <c r="C15" s="710">
        <v>199.40447999999998</v>
      </c>
      <c r="D15" s="710">
        <v>138.08133999999998</v>
      </c>
      <c r="E15" s="710"/>
      <c r="F15" s="710">
        <v>177.59923000000001</v>
      </c>
      <c r="G15" s="710">
        <v>185</v>
      </c>
      <c r="H15" s="710">
        <v>-7.4007699999999943</v>
      </c>
      <c r="I15" s="711">
        <v>0.95999583783783782</v>
      </c>
      <c r="J15" s="712" t="s">
        <v>1</v>
      </c>
    </row>
    <row r="16" spans="1:10" ht="14.4" customHeight="1" x14ac:dyDescent="0.3">
      <c r="A16" s="708" t="s">
        <v>552</v>
      </c>
      <c r="B16" s="709" t="s">
        <v>357</v>
      </c>
      <c r="C16" s="710">
        <v>43.467950000000002</v>
      </c>
      <c r="D16" s="710">
        <v>21.077359999999999</v>
      </c>
      <c r="E16" s="710"/>
      <c r="F16" s="710">
        <v>16.663450000000001</v>
      </c>
      <c r="G16" s="710">
        <v>24.999999999999247</v>
      </c>
      <c r="H16" s="710">
        <v>-8.3365499999992458</v>
      </c>
      <c r="I16" s="711">
        <v>0.66653800000002017</v>
      </c>
      <c r="J16" s="712" t="s">
        <v>1</v>
      </c>
    </row>
    <row r="17" spans="1:10" ht="14.4" customHeight="1" x14ac:dyDescent="0.3">
      <c r="A17" s="708" t="s">
        <v>552</v>
      </c>
      <c r="B17" s="709" t="s">
        <v>358</v>
      </c>
      <c r="C17" s="710">
        <v>94.240549999999999</v>
      </c>
      <c r="D17" s="710">
        <v>66.637069999999994</v>
      </c>
      <c r="E17" s="710"/>
      <c r="F17" s="710">
        <v>113.40173</v>
      </c>
      <c r="G17" s="710">
        <v>74.999999999999488</v>
      </c>
      <c r="H17" s="710">
        <v>38.401730000000512</v>
      </c>
      <c r="I17" s="711">
        <v>1.512023066666677</v>
      </c>
      <c r="J17" s="712" t="s">
        <v>1</v>
      </c>
    </row>
    <row r="18" spans="1:10" ht="14.4" customHeight="1" x14ac:dyDescent="0.3">
      <c r="A18" s="708" t="s">
        <v>552</v>
      </c>
      <c r="B18" s="709" t="s">
        <v>359</v>
      </c>
      <c r="C18" s="710">
        <v>0</v>
      </c>
      <c r="D18" s="710">
        <v>0</v>
      </c>
      <c r="E18" s="710"/>
      <c r="F18" s="710">
        <v>0</v>
      </c>
      <c r="G18" s="710">
        <v>75</v>
      </c>
      <c r="H18" s="710">
        <v>-75</v>
      </c>
      <c r="I18" s="711">
        <v>0</v>
      </c>
      <c r="J18" s="712" t="s">
        <v>1</v>
      </c>
    </row>
    <row r="19" spans="1:10" ht="14.4" customHeight="1" x14ac:dyDescent="0.3">
      <c r="A19" s="708" t="s">
        <v>552</v>
      </c>
      <c r="B19" s="709" t="s">
        <v>360</v>
      </c>
      <c r="C19" s="710">
        <v>375.76081999999997</v>
      </c>
      <c r="D19" s="710">
        <v>438.11210999999997</v>
      </c>
      <c r="E19" s="710"/>
      <c r="F19" s="710">
        <v>495.42103000000003</v>
      </c>
      <c r="G19" s="710">
        <v>499.99999999999972</v>
      </c>
      <c r="H19" s="710">
        <v>-4.5789699999996856</v>
      </c>
      <c r="I19" s="711">
        <v>0.99084206000000064</v>
      </c>
      <c r="J19" s="712" t="s">
        <v>1</v>
      </c>
    </row>
    <row r="20" spans="1:10" ht="14.4" customHeight="1" x14ac:dyDescent="0.3">
      <c r="A20" s="708" t="s">
        <v>552</v>
      </c>
      <c r="B20" s="709" t="s">
        <v>361</v>
      </c>
      <c r="C20" s="710">
        <v>64.071899999999999</v>
      </c>
      <c r="D20" s="710">
        <v>61.10286</v>
      </c>
      <c r="E20" s="710"/>
      <c r="F20" s="710">
        <v>67.450320000000005</v>
      </c>
      <c r="G20" s="710">
        <v>99.999999999999758</v>
      </c>
      <c r="H20" s="710">
        <v>-32.549679999999753</v>
      </c>
      <c r="I20" s="711">
        <v>0.67450320000000163</v>
      </c>
      <c r="J20" s="712" t="s">
        <v>1</v>
      </c>
    </row>
    <row r="21" spans="1:10" ht="14.4" customHeight="1" x14ac:dyDescent="0.3">
      <c r="A21" s="708" t="s">
        <v>552</v>
      </c>
      <c r="B21" s="709" t="s">
        <v>362</v>
      </c>
      <c r="C21" s="710" t="s">
        <v>554</v>
      </c>
      <c r="D21" s="710">
        <v>7.2550400000000002</v>
      </c>
      <c r="E21" s="710"/>
      <c r="F21" s="710">
        <v>0</v>
      </c>
      <c r="G21" s="710">
        <v>5</v>
      </c>
      <c r="H21" s="710">
        <v>-5</v>
      </c>
      <c r="I21" s="711">
        <v>0</v>
      </c>
      <c r="J21" s="712" t="s">
        <v>1</v>
      </c>
    </row>
    <row r="22" spans="1:10" ht="14.4" customHeight="1" x14ac:dyDescent="0.3">
      <c r="A22" s="708" t="s">
        <v>552</v>
      </c>
      <c r="B22" s="709" t="s">
        <v>556</v>
      </c>
      <c r="C22" s="710">
        <v>15121.914920000001</v>
      </c>
      <c r="D22" s="710">
        <v>14806.603190000002</v>
      </c>
      <c r="E22" s="710"/>
      <c r="F22" s="710">
        <v>13487.941090000009</v>
      </c>
      <c r="G22" s="710">
        <v>15105.303795199508</v>
      </c>
      <c r="H22" s="710">
        <v>-1617.362705199499</v>
      </c>
      <c r="I22" s="711">
        <v>0.89292749572415087</v>
      </c>
      <c r="J22" s="712" t="s">
        <v>557</v>
      </c>
    </row>
    <row r="24" spans="1:10" ht="14.4" customHeight="1" x14ac:dyDescent="0.3">
      <c r="A24" s="708" t="s">
        <v>552</v>
      </c>
      <c r="B24" s="709" t="s">
        <v>553</v>
      </c>
      <c r="C24" s="710" t="s">
        <v>554</v>
      </c>
      <c r="D24" s="710" t="s">
        <v>554</v>
      </c>
      <c r="E24" s="710"/>
      <c r="F24" s="710" t="s">
        <v>554</v>
      </c>
      <c r="G24" s="710" t="s">
        <v>554</v>
      </c>
      <c r="H24" s="710" t="s">
        <v>554</v>
      </c>
      <c r="I24" s="711" t="s">
        <v>554</v>
      </c>
      <c r="J24" s="712" t="s">
        <v>74</v>
      </c>
    </row>
    <row r="25" spans="1:10" ht="14.4" customHeight="1" x14ac:dyDescent="0.3">
      <c r="A25" s="708" t="s">
        <v>558</v>
      </c>
      <c r="B25" s="709" t="s">
        <v>559</v>
      </c>
      <c r="C25" s="710" t="s">
        <v>554</v>
      </c>
      <c r="D25" s="710" t="s">
        <v>554</v>
      </c>
      <c r="E25" s="710"/>
      <c r="F25" s="710" t="s">
        <v>554</v>
      </c>
      <c r="G25" s="710" t="s">
        <v>554</v>
      </c>
      <c r="H25" s="710" t="s">
        <v>554</v>
      </c>
      <c r="I25" s="711" t="s">
        <v>554</v>
      </c>
      <c r="J25" s="712" t="s">
        <v>0</v>
      </c>
    </row>
    <row r="26" spans="1:10" ht="14.4" customHeight="1" x14ac:dyDescent="0.3">
      <c r="A26" s="708" t="s">
        <v>558</v>
      </c>
      <c r="B26" s="709" t="s">
        <v>352</v>
      </c>
      <c r="C26" s="710">
        <v>0</v>
      </c>
      <c r="D26" s="710" t="s">
        <v>554</v>
      </c>
      <c r="E26" s="710"/>
      <c r="F26" s="710" t="s">
        <v>554</v>
      </c>
      <c r="G26" s="710" t="s">
        <v>554</v>
      </c>
      <c r="H26" s="710" t="s">
        <v>554</v>
      </c>
      <c r="I26" s="711" t="s">
        <v>554</v>
      </c>
      <c r="J26" s="712" t="s">
        <v>1</v>
      </c>
    </row>
    <row r="27" spans="1:10" ht="14.4" customHeight="1" x14ac:dyDescent="0.3">
      <c r="A27" s="708" t="s">
        <v>558</v>
      </c>
      <c r="B27" s="709" t="s">
        <v>353</v>
      </c>
      <c r="C27" s="710">
        <v>6.48123</v>
      </c>
      <c r="D27" s="710">
        <v>6.4338199999999999</v>
      </c>
      <c r="E27" s="710"/>
      <c r="F27" s="710">
        <v>8.3722799999999999</v>
      </c>
      <c r="G27" s="710">
        <v>7.4256205309692502</v>
      </c>
      <c r="H27" s="710">
        <v>0.94665946903074971</v>
      </c>
      <c r="I27" s="711">
        <v>1.1274855704089128</v>
      </c>
      <c r="J27" s="712" t="s">
        <v>1</v>
      </c>
    </row>
    <row r="28" spans="1:10" ht="14.4" customHeight="1" x14ac:dyDescent="0.3">
      <c r="A28" s="708" t="s">
        <v>558</v>
      </c>
      <c r="B28" s="709" t="s">
        <v>354</v>
      </c>
      <c r="C28" s="710">
        <v>5.4690799999999999</v>
      </c>
      <c r="D28" s="710">
        <v>6.8496500000000005</v>
      </c>
      <c r="E28" s="710"/>
      <c r="F28" s="710">
        <v>9.5211199999999998</v>
      </c>
      <c r="G28" s="710">
        <v>6.9592016333002498</v>
      </c>
      <c r="H28" s="710">
        <v>2.56191836669975</v>
      </c>
      <c r="I28" s="711">
        <v>1.3681339472103808</v>
      </c>
      <c r="J28" s="712" t="s">
        <v>1</v>
      </c>
    </row>
    <row r="29" spans="1:10" ht="14.4" customHeight="1" x14ac:dyDescent="0.3">
      <c r="A29" s="708" t="s">
        <v>558</v>
      </c>
      <c r="B29" s="709" t="s">
        <v>355</v>
      </c>
      <c r="C29" s="710">
        <v>0</v>
      </c>
      <c r="D29" s="710" t="s">
        <v>554</v>
      </c>
      <c r="E29" s="710"/>
      <c r="F29" s="710">
        <v>1.9059999999999999</v>
      </c>
      <c r="G29" s="710">
        <v>0</v>
      </c>
      <c r="H29" s="710">
        <v>1.9059999999999999</v>
      </c>
      <c r="I29" s="711" t="s">
        <v>554</v>
      </c>
      <c r="J29" s="712" t="s">
        <v>1</v>
      </c>
    </row>
    <row r="30" spans="1:10" ht="14.4" customHeight="1" x14ac:dyDescent="0.3">
      <c r="A30" s="708" t="s">
        <v>558</v>
      </c>
      <c r="B30" s="709" t="s">
        <v>357</v>
      </c>
      <c r="C30" s="710">
        <v>0.95699999999999996</v>
      </c>
      <c r="D30" s="710">
        <v>1.0680000000000001</v>
      </c>
      <c r="E30" s="710"/>
      <c r="F30" s="710">
        <v>0.74199999999999999</v>
      </c>
      <c r="G30" s="710">
        <v>1.270252237454</v>
      </c>
      <c r="H30" s="710">
        <v>-0.52825223745399996</v>
      </c>
      <c r="I30" s="711">
        <v>0.58413595199581003</v>
      </c>
      <c r="J30" s="712" t="s">
        <v>1</v>
      </c>
    </row>
    <row r="31" spans="1:10" ht="14.4" customHeight="1" x14ac:dyDescent="0.3">
      <c r="A31" s="708" t="s">
        <v>558</v>
      </c>
      <c r="B31" s="709" t="s">
        <v>358</v>
      </c>
      <c r="C31" s="710">
        <v>2.7124000000000001</v>
      </c>
      <c r="D31" s="710">
        <v>3.55</v>
      </c>
      <c r="E31" s="710"/>
      <c r="F31" s="710">
        <v>3.4256000000000002</v>
      </c>
      <c r="G31" s="710">
        <v>4.0295980010927499</v>
      </c>
      <c r="H31" s="710">
        <v>-0.6039980010927497</v>
      </c>
      <c r="I31" s="711">
        <v>0.85010961368132576</v>
      </c>
      <c r="J31" s="712" t="s">
        <v>1</v>
      </c>
    </row>
    <row r="32" spans="1:10" ht="14.4" customHeight="1" x14ac:dyDescent="0.3">
      <c r="A32" s="708" t="s">
        <v>558</v>
      </c>
      <c r="B32" s="709" t="s">
        <v>361</v>
      </c>
      <c r="C32" s="710">
        <v>1.2099200000000001</v>
      </c>
      <c r="D32" s="710">
        <v>0.88356000000000001</v>
      </c>
      <c r="E32" s="710"/>
      <c r="F32" s="710">
        <v>1.6367699999999998</v>
      </c>
      <c r="G32" s="710">
        <v>1.1017211428914999</v>
      </c>
      <c r="H32" s="710">
        <v>0.53504885710849992</v>
      </c>
      <c r="I32" s="711">
        <v>1.4856481701932744</v>
      </c>
      <c r="J32" s="712" t="s">
        <v>1</v>
      </c>
    </row>
    <row r="33" spans="1:10" ht="14.4" customHeight="1" x14ac:dyDescent="0.3">
      <c r="A33" s="708" t="s">
        <v>558</v>
      </c>
      <c r="B33" s="709" t="s">
        <v>560</v>
      </c>
      <c r="C33" s="710">
        <v>16.829630000000002</v>
      </c>
      <c r="D33" s="710">
        <v>18.785029999999999</v>
      </c>
      <c r="E33" s="710"/>
      <c r="F33" s="710">
        <v>25.603769999999997</v>
      </c>
      <c r="G33" s="710">
        <v>20.78639354570775</v>
      </c>
      <c r="H33" s="710">
        <v>4.8173764542922477</v>
      </c>
      <c r="I33" s="711">
        <v>1.2317562420676387</v>
      </c>
      <c r="J33" s="712" t="s">
        <v>561</v>
      </c>
    </row>
    <row r="34" spans="1:10" ht="14.4" customHeight="1" x14ac:dyDescent="0.3">
      <c r="A34" s="708" t="s">
        <v>554</v>
      </c>
      <c r="B34" s="709" t="s">
        <v>554</v>
      </c>
      <c r="C34" s="710" t="s">
        <v>554</v>
      </c>
      <c r="D34" s="710" t="s">
        <v>554</v>
      </c>
      <c r="E34" s="710"/>
      <c r="F34" s="710" t="s">
        <v>554</v>
      </c>
      <c r="G34" s="710" t="s">
        <v>554</v>
      </c>
      <c r="H34" s="710" t="s">
        <v>554</v>
      </c>
      <c r="I34" s="711" t="s">
        <v>554</v>
      </c>
      <c r="J34" s="712" t="s">
        <v>562</v>
      </c>
    </row>
    <row r="35" spans="1:10" ht="14.4" customHeight="1" x14ac:dyDescent="0.3">
      <c r="A35" s="708" t="s">
        <v>563</v>
      </c>
      <c r="B35" s="709" t="s">
        <v>564</v>
      </c>
      <c r="C35" s="710" t="s">
        <v>554</v>
      </c>
      <c r="D35" s="710" t="s">
        <v>554</v>
      </c>
      <c r="E35" s="710"/>
      <c r="F35" s="710" t="s">
        <v>554</v>
      </c>
      <c r="G35" s="710" t="s">
        <v>554</v>
      </c>
      <c r="H35" s="710" t="s">
        <v>554</v>
      </c>
      <c r="I35" s="711" t="s">
        <v>554</v>
      </c>
      <c r="J35" s="712" t="s">
        <v>0</v>
      </c>
    </row>
    <row r="36" spans="1:10" ht="14.4" customHeight="1" x14ac:dyDescent="0.3">
      <c r="A36" s="708" t="s">
        <v>563</v>
      </c>
      <c r="B36" s="709" t="s">
        <v>352</v>
      </c>
      <c r="C36" s="710">
        <v>0</v>
      </c>
      <c r="D36" s="710">
        <v>0</v>
      </c>
      <c r="E36" s="710"/>
      <c r="F36" s="710">
        <v>0</v>
      </c>
      <c r="G36" s="710">
        <v>7.6897565744000002E-2</v>
      </c>
      <c r="H36" s="710">
        <v>-7.6897565744000002E-2</v>
      </c>
      <c r="I36" s="711">
        <v>0</v>
      </c>
      <c r="J36" s="712" t="s">
        <v>1</v>
      </c>
    </row>
    <row r="37" spans="1:10" ht="14.4" customHeight="1" x14ac:dyDescent="0.3">
      <c r="A37" s="708" t="s">
        <v>563</v>
      </c>
      <c r="B37" s="709" t="s">
        <v>353</v>
      </c>
      <c r="C37" s="710">
        <v>6.5751500000000007</v>
      </c>
      <c r="D37" s="710">
        <v>8.1604199999999985</v>
      </c>
      <c r="E37" s="710"/>
      <c r="F37" s="710">
        <v>9.86815</v>
      </c>
      <c r="G37" s="710">
        <v>10.03821280400925</v>
      </c>
      <c r="H37" s="710">
        <v>-0.17006280400925</v>
      </c>
      <c r="I37" s="711">
        <v>0.98305845798155156</v>
      </c>
      <c r="J37" s="712" t="s">
        <v>1</v>
      </c>
    </row>
    <row r="38" spans="1:10" ht="14.4" customHeight="1" x14ac:dyDescent="0.3">
      <c r="A38" s="708" t="s">
        <v>563</v>
      </c>
      <c r="B38" s="709" t="s">
        <v>354</v>
      </c>
      <c r="C38" s="710">
        <v>11.39645</v>
      </c>
      <c r="D38" s="710">
        <v>7.6909000000000001</v>
      </c>
      <c r="E38" s="710"/>
      <c r="F38" s="710">
        <v>14.033449999999998</v>
      </c>
      <c r="G38" s="710">
        <v>14.192752841914249</v>
      </c>
      <c r="H38" s="710">
        <v>-0.15930284191425059</v>
      </c>
      <c r="I38" s="711">
        <v>0.98877576156728419</v>
      </c>
      <c r="J38" s="712" t="s">
        <v>1</v>
      </c>
    </row>
    <row r="39" spans="1:10" ht="14.4" customHeight="1" x14ac:dyDescent="0.3">
      <c r="A39" s="708" t="s">
        <v>563</v>
      </c>
      <c r="B39" s="709" t="s">
        <v>355</v>
      </c>
      <c r="C39" s="710">
        <v>0.81699999999999995</v>
      </c>
      <c r="D39" s="710">
        <v>0</v>
      </c>
      <c r="E39" s="710"/>
      <c r="F39" s="710">
        <v>1.9059999999999999</v>
      </c>
      <c r="G39" s="710">
        <v>1.6321796274705</v>
      </c>
      <c r="H39" s="710">
        <v>0.27382037252949987</v>
      </c>
      <c r="I39" s="711">
        <v>1.167763625964293</v>
      </c>
      <c r="J39" s="712" t="s">
        <v>1</v>
      </c>
    </row>
    <row r="40" spans="1:10" ht="14.4" customHeight="1" x14ac:dyDescent="0.3">
      <c r="A40" s="708" t="s">
        <v>563</v>
      </c>
      <c r="B40" s="709" t="s">
        <v>357</v>
      </c>
      <c r="C40" s="710">
        <v>2.0114999999999998</v>
      </c>
      <c r="D40" s="710">
        <v>0.63800000000000001</v>
      </c>
      <c r="E40" s="710"/>
      <c r="F40" s="710">
        <v>0.68399999999999994</v>
      </c>
      <c r="G40" s="710">
        <v>0.92929516755599995</v>
      </c>
      <c r="H40" s="710">
        <v>-0.245295167556</v>
      </c>
      <c r="I40" s="711">
        <v>0.73604170545606717</v>
      </c>
      <c r="J40" s="712" t="s">
        <v>1</v>
      </c>
    </row>
    <row r="41" spans="1:10" ht="14.4" customHeight="1" x14ac:dyDescent="0.3">
      <c r="A41" s="708" t="s">
        <v>563</v>
      </c>
      <c r="B41" s="709" t="s">
        <v>358</v>
      </c>
      <c r="C41" s="710">
        <v>3.8628</v>
      </c>
      <c r="D41" s="710">
        <v>4.1180000000000003</v>
      </c>
      <c r="E41" s="710"/>
      <c r="F41" s="710">
        <v>4.1245999999999992</v>
      </c>
      <c r="G41" s="710">
        <v>4.3552504390457498</v>
      </c>
      <c r="H41" s="710">
        <v>-0.23065043904575067</v>
      </c>
      <c r="I41" s="711">
        <v>0.94704083214643175</v>
      </c>
      <c r="J41" s="712" t="s">
        <v>1</v>
      </c>
    </row>
    <row r="42" spans="1:10" ht="14.4" customHeight="1" x14ac:dyDescent="0.3">
      <c r="A42" s="708" t="s">
        <v>563</v>
      </c>
      <c r="B42" s="709" t="s">
        <v>361</v>
      </c>
      <c r="C42" s="710">
        <v>0.69550000000000001</v>
      </c>
      <c r="D42" s="710">
        <v>0.31219999999999998</v>
      </c>
      <c r="E42" s="710"/>
      <c r="F42" s="710">
        <v>0</v>
      </c>
      <c r="G42" s="710">
        <v>0.32745144884975003</v>
      </c>
      <c r="H42" s="710">
        <v>-0.32745144884975003</v>
      </c>
      <c r="I42" s="711">
        <v>0</v>
      </c>
      <c r="J42" s="712" t="s">
        <v>1</v>
      </c>
    </row>
    <row r="43" spans="1:10" ht="14.4" customHeight="1" x14ac:dyDescent="0.3">
      <c r="A43" s="708" t="s">
        <v>563</v>
      </c>
      <c r="B43" s="709" t="s">
        <v>565</v>
      </c>
      <c r="C43" s="710">
        <v>25.3584</v>
      </c>
      <c r="D43" s="710">
        <v>20.919520000000002</v>
      </c>
      <c r="E43" s="710"/>
      <c r="F43" s="710">
        <v>30.616199999999999</v>
      </c>
      <c r="G43" s="710">
        <v>31.552039894589498</v>
      </c>
      <c r="H43" s="710">
        <v>-0.93583989458949901</v>
      </c>
      <c r="I43" s="711">
        <v>0.97033979743572851</v>
      </c>
      <c r="J43" s="712" t="s">
        <v>561</v>
      </c>
    </row>
    <row r="44" spans="1:10" ht="14.4" customHeight="1" x14ac:dyDescent="0.3">
      <c r="A44" s="708" t="s">
        <v>554</v>
      </c>
      <c r="B44" s="709" t="s">
        <v>554</v>
      </c>
      <c r="C44" s="710" t="s">
        <v>554</v>
      </c>
      <c r="D44" s="710" t="s">
        <v>554</v>
      </c>
      <c r="E44" s="710"/>
      <c r="F44" s="710" t="s">
        <v>554</v>
      </c>
      <c r="G44" s="710" t="s">
        <v>554</v>
      </c>
      <c r="H44" s="710" t="s">
        <v>554</v>
      </c>
      <c r="I44" s="711" t="s">
        <v>554</v>
      </c>
      <c r="J44" s="712" t="s">
        <v>562</v>
      </c>
    </row>
    <row r="45" spans="1:10" ht="14.4" customHeight="1" x14ac:dyDescent="0.3">
      <c r="A45" s="708" t="s">
        <v>566</v>
      </c>
      <c r="B45" s="709" t="s">
        <v>567</v>
      </c>
      <c r="C45" s="710" t="s">
        <v>554</v>
      </c>
      <c r="D45" s="710" t="s">
        <v>554</v>
      </c>
      <c r="E45" s="710"/>
      <c r="F45" s="710" t="s">
        <v>554</v>
      </c>
      <c r="G45" s="710" t="s">
        <v>554</v>
      </c>
      <c r="H45" s="710" t="s">
        <v>554</v>
      </c>
      <c r="I45" s="711" t="s">
        <v>554</v>
      </c>
      <c r="J45" s="712" t="s">
        <v>0</v>
      </c>
    </row>
    <row r="46" spans="1:10" ht="14.4" customHeight="1" x14ac:dyDescent="0.3">
      <c r="A46" s="708" t="s">
        <v>566</v>
      </c>
      <c r="B46" s="709" t="s">
        <v>353</v>
      </c>
      <c r="C46" s="710">
        <v>1.35947</v>
      </c>
      <c r="D46" s="710">
        <v>1.5564300000000002</v>
      </c>
      <c r="E46" s="710"/>
      <c r="F46" s="710">
        <v>0.82340000000000002</v>
      </c>
      <c r="G46" s="710">
        <v>1.386534790162</v>
      </c>
      <c r="H46" s="710">
        <v>-0.56313479016199997</v>
      </c>
      <c r="I46" s="711">
        <v>0.59385455442037305</v>
      </c>
      <c r="J46" s="712" t="s">
        <v>1</v>
      </c>
    </row>
    <row r="47" spans="1:10" ht="14.4" customHeight="1" x14ac:dyDescent="0.3">
      <c r="A47" s="708" t="s">
        <v>566</v>
      </c>
      <c r="B47" s="709" t="s">
        <v>354</v>
      </c>
      <c r="C47" s="710">
        <v>0.24023</v>
      </c>
      <c r="D47" s="710">
        <v>0.57409999999999994</v>
      </c>
      <c r="E47" s="710"/>
      <c r="F47" s="710">
        <v>0.81577999999999995</v>
      </c>
      <c r="G47" s="710">
        <v>0.68185669897949996</v>
      </c>
      <c r="H47" s="710">
        <v>0.13392330102049999</v>
      </c>
      <c r="I47" s="711">
        <v>1.1964097459494585</v>
      </c>
      <c r="J47" s="712" t="s">
        <v>1</v>
      </c>
    </row>
    <row r="48" spans="1:10" ht="14.4" customHeight="1" x14ac:dyDescent="0.3">
      <c r="A48" s="708" t="s">
        <v>566</v>
      </c>
      <c r="B48" s="709" t="s">
        <v>357</v>
      </c>
      <c r="C48" s="710">
        <v>5.3999999999999999E-2</v>
      </c>
      <c r="D48" s="710">
        <v>4.9000000000000002E-2</v>
      </c>
      <c r="E48" s="710"/>
      <c r="F48" s="710">
        <v>4.9000000000000002E-2</v>
      </c>
      <c r="G48" s="710">
        <v>9.4596871688249984E-2</v>
      </c>
      <c r="H48" s="710">
        <v>-4.5596871688249982E-2</v>
      </c>
      <c r="I48" s="711">
        <v>0.51798753093530014</v>
      </c>
      <c r="J48" s="712" t="s">
        <v>1</v>
      </c>
    </row>
    <row r="49" spans="1:10" ht="14.4" customHeight="1" x14ac:dyDescent="0.3">
      <c r="A49" s="708" t="s">
        <v>566</v>
      </c>
      <c r="B49" s="709" t="s">
        <v>358</v>
      </c>
      <c r="C49" s="710">
        <v>0</v>
      </c>
      <c r="D49" s="710">
        <v>0.28399999999999997</v>
      </c>
      <c r="E49" s="710"/>
      <c r="F49" s="710">
        <v>0.62150000000000005</v>
      </c>
      <c r="G49" s="710">
        <v>0.65434617022575003</v>
      </c>
      <c r="H49" s="710">
        <v>-3.2846170225749982E-2</v>
      </c>
      <c r="I49" s="711">
        <v>0.94980306797789005</v>
      </c>
      <c r="J49" s="712" t="s">
        <v>1</v>
      </c>
    </row>
    <row r="50" spans="1:10" ht="14.4" customHeight="1" x14ac:dyDescent="0.3">
      <c r="A50" s="708" t="s">
        <v>566</v>
      </c>
      <c r="B50" s="709" t="s">
        <v>568</v>
      </c>
      <c r="C50" s="710">
        <v>1.6536999999999999</v>
      </c>
      <c r="D50" s="710">
        <v>2.46353</v>
      </c>
      <c r="E50" s="710"/>
      <c r="F50" s="710">
        <v>2.3096800000000002</v>
      </c>
      <c r="G50" s="710">
        <v>2.8173345310554998</v>
      </c>
      <c r="H50" s="710">
        <v>-0.50765453105549962</v>
      </c>
      <c r="I50" s="711">
        <v>0.81981034717048329</v>
      </c>
      <c r="J50" s="712" t="s">
        <v>561</v>
      </c>
    </row>
    <row r="51" spans="1:10" ht="14.4" customHeight="1" x14ac:dyDescent="0.3">
      <c r="A51" s="708" t="s">
        <v>554</v>
      </c>
      <c r="B51" s="709" t="s">
        <v>554</v>
      </c>
      <c r="C51" s="710" t="s">
        <v>554</v>
      </c>
      <c r="D51" s="710" t="s">
        <v>554</v>
      </c>
      <c r="E51" s="710"/>
      <c r="F51" s="710" t="s">
        <v>554</v>
      </c>
      <c r="G51" s="710" t="s">
        <v>554</v>
      </c>
      <c r="H51" s="710" t="s">
        <v>554</v>
      </c>
      <c r="I51" s="711" t="s">
        <v>554</v>
      </c>
      <c r="J51" s="712" t="s">
        <v>562</v>
      </c>
    </row>
    <row r="52" spans="1:10" ht="14.4" customHeight="1" x14ac:dyDescent="0.3">
      <c r="A52" s="708" t="s">
        <v>569</v>
      </c>
      <c r="B52" s="709" t="s">
        <v>570</v>
      </c>
      <c r="C52" s="710" t="s">
        <v>554</v>
      </c>
      <c r="D52" s="710" t="s">
        <v>554</v>
      </c>
      <c r="E52" s="710"/>
      <c r="F52" s="710" t="s">
        <v>554</v>
      </c>
      <c r="G52" s="710" t="s">
        <v>554</v>
      </c>
      <c r="H52" s="710" t="s">
        <v>554</v>
      </c>
      <c r="I52" s="711" t="s">
        <v>554</v>
      </c>
      <c r="J52" s="712" t="s">
        <v>0</v>
      </c>
    </row>
    <row r="53" spans="1:10" ht="14.4" customHeight="1" x14ac:dyDescent="0.3">
      <c r="A53" s="708" t="s">
        <v>569</v>
      </c>
      <c r="B53" s="709" t="s">
        <v>347</v>
      </c>
      <c r="C53" s="710">
        <v>0</v>
      </c>
      <c r="D53" s="710">
        <v>0</v>
      </c>
      <c r="E53" s="710"/>
      <c r="F53" s="710" t="s">
        <v>554</v>
      </c>
      <c r="G53" s="710" t="s">
        <v>554</v>
      </c>
      <c r="H53" s="710" t="s">
        <v>554</v>
      </c>
      <c r="I53" s="711" t="s">
        <v>554</v>
      </c>
      <c r="J53" s="712" t="s">
        <v>1</v>
      </c>
    </row>
    <row r="54" spans="1:10" ht="14.4" customHeight="1" x14ac:dyDescent="0.3">
      <c r="A54" s="708" t="s">
        <v>569</v>
      </c>
      <c r="B54" s="709" t="s">
        <v>351</v>
      </c>
      <c r="C54" s="710">
        <v>2.2309999999999999</v>
      </c>
      <c r="D54" s="710">
        <v>2.7888000000000002</v>
      </c>
      <c r="E54" s="710"/>
      <c r="F54" s="710">
        <v>3.5534800000000004</v>
      </c>
      <c r="G54" s="710">
        <v>3.7062231166375001</v>
      </c>
      <c r="H54" s="710">
        <v>-0.15274311663749973</v>
      </c>
      <c r="I54" s="711">
        <v>0.95878739303313254</v>
      </c>
      <c r="J54" s="712" t="s">
        <v>1</v>
      </c>
    </row>
    <row r="55" spans="1:10" ht="14.4" customHeight="1" x14ac:dyDescent="0.3">
      <c r="A55" s="708" t="s">
        <v>569</v>
      </c>
      <c r="B55" s="709" t="s">
        <v>352</v>
      </c>
      <c r="C55" s="710">
        <v>0</v>
      </c>
      <c r="D55" s="710">
        <v>0</v>
      </c>
      <c r="E55" s="710"/>
      <c r="F55" s="710" t="s">
        <v>554</v>
      </c>
      <c r="G55" s="710" t="s">
        <v>554</v>
      </c>
      <c r="H55" s="710" t="s">
        <v>554</v>
      </c>
      <c r="I55" s="711" t="s">
        <v>554</v>
      </c>
      <c r="J55" s="712" t="s">
        <v>1</v>
      </c>
    </row>
    <row r="56" spans="1:10" ht="14.4" customHeight="1" x14ac:dyDescent="0.3">
      <c r="A56" s="708" t="s">
        <v>569</v>
      </c>
      <c r="B56" s="709" t="s">
        <v>353</v>
      </c>
      <c r="C56" s="710">
        <v>43.590220000000002</v>
      </c>
      <c r="D56" s="710">
        <v>77.366929999999996</v>
      </c>
      <c r="E56" s="710"/>
      <c r="F56" s="710">
        <v>95.948909999999998</v>
      </c>
      <c r="G56" s="710">
        <v>98.019802046449769</v>
      </c>
      <c r="H56" s="710">
        <v>-2.0708920464497709</v>
      </c>
      <c r="I56" s="711">
        <v>0.97887271752019644</v>
      </c>
      <c r="J56" s="712" t="s">
        <v>1</v>
      </c>
    </row>
    <row r="57" spans="1:10" ht="14.4" customHeight="1" x14ac:dyDescent="0.3">
      <c r="A57" s="708" t="s">
        <v>569</v>
      </c>
      <c r="B57" s="709" t="s">
        <v>354</v>
      </c>
      <c r="C57" s="710">
        <v>316.46289000000002</v>
      </c>
      <c r="D57" s="710">
        <v>429.00886000000003</v>
      </c>
      <c r="E57" s="710"/>
      <c r="F57" s="710">
        <v>308.94725</v>
      </c>
      <c r="G57" s="710">
        <v>380.7257267866525</v>
      </c>
      <c r="H57" s="710">
        <v>-71.778476786652504</v>
      </c>
      <c r="I57" s="711">
        <v>0.81146932887234313</v>
      </c>
      <c r="J57" s="712" t="s">
        <v>1</v>
      </c>
    </row>
    <row r="58" spans="1:10" ht="14.4" customHeight="1" x14ac:dyDescent="0.3">
      <c r="A58" s="708" t="s">
        <v>569</v>
      </c>
      <c r="B58" s="709" t="s">
        <v>355</v>
      </c>
      <c r="C58" s="710">
        <v>6.5359999999999996</v>
      </c>
      <c r="D58" s="710">
        <v>11.661460000000002</v>
      </c>
      <c r="E58" s="710"/>
      <c r="F58" s="710">
        <v>15.731660000000002</v>
      </c>
      <c r="G58" s="710">
        <v>20.867820372529248</v>
      </c>
      <c r="H58" s="710">
        <v>-5.1361603725292468</v>
      </c>
      <c r="I58" s="711">
        <v>0.75387173740049174</v>
      </c>
      <c r="J58" s="712" t="s">
        <v>1</v>
      </c>
    </row>
    <row r="59" spans="1:10" ht="14.4" customHeight="1" x14ac:dyDescent="0.3">
      <c r="A59" s="708" t="s">
        <v>569</v>
      </c>
      <c r="B59" s="709" t="s">
        <v>357</v>
      </c>
      <c r="C59" s="710">
        <v>7.3393800000000002</v>
      </c>
      <c r="D59" s="710">
        <v>2.4359999999999999</v>
      </c>
      <c r="E59" s="710"/>
      <c r="F59" s="710">
        <v>2.383</v>
      </c>
      <c r="G59" s="710">
        <v>7.6439478554819988</v>
      </c>
      <c r="H59" s="710">
        <v>-5.2609478554819988</v>
      </c>
      <c r="I59" s="711">
        <v>0.31174990267509312</v>
      </c>
      <c r="J59" s="712" t="s">
        <v>1</v>
      </c>
    </row>
    <row r="60" spans="1:10" ht="14.4" customHeight="1" x14ac:dyDescent="0.3">
      <c r="A60" s="708" t="s">
        <v>569</v>
      </c>
      <c r="B60" s="709" t="s">
        <v>358</v>
      </c>
      <c r="C60" s="710">
        <v>56.476799999999997</v>
      </c>
      <c r="D60" s="710">
        <v>32.533650000000002</v>
      </c>
      <c r="E60" s="710"/>
      <c r="F60" s="710">
        <v>58.144149999999996</v>
      </c>
      <c r="G60" s="710">
        <v>39.822298420594997</v>
      </c>
      <c r="H60" s="710">
        <v>18.321851579404999</v>
      </c>
      <c r="I60" s="711">
        <v>1.4600902586257916</v>
      </c>
      <c r="J60" s="712" t="s">
        <v>1</v>
      </c>
    </row>
    <row r="61" spans="1:10" ht="14.4" customHeight="1" x14ac:dyDescent="0.3">
      <c r="A61" s="708" t="s">
        <v>569</v>
      </c>
      <c r="B61" s="709" t="s">
        <v>359</v>
      </c>
      <c r="C61" s="710">
        <v>0</v>
      </c>
      <c r="D61" s="710">
        <v>0</v>
      </c>
      <c r="E61" s="710"/>
      <c r="F61" s="710">
        <v>0</v>
      </c>
      <c r="G61" s="710">
        <v>75</v>
      </c>
      <c r="H61" s="710">
        <v>-75</v>
      </c>
      <c r="I61" s="711">
        <v>0</v>
      </c>
      <c r="J61" s="712" t="s">
        <v>1</v>
      </c>
    </row>
    <row r="62" spans="1:10" ht="14.4" customHeight="1" x14ac:dyDescent="0.3">
      <c r="A62" s="708" t="s">
        <v>569</v>
      </c>
      <c r="B62" s="709" t="s">
        <v>360</v>
      </c>
      <c r="C62" s="710">
        <v>61.402360000000002</v>
      </c>
      <c r="D62" s="710">
        <v>55.130719999999997</v>
      </c>
      <c r="E62" s="710"/>
      <c r="F62" s="710">
        <v>84.640439999999998</v>
      </c>
      <c r="G62" s="710">
        <v>73.075502567192245</v>
      </c>
      <c r="H62" s="710">
        <v>11.564937432807753</v>
      </c>
      <c r="I62" s="711">
        <v>1.1582601149020344</v>
      </c>
      <c r="J62" s="712" t="s">
        <v>1</v>
      </c>
    </row>
    <row r="63" spans="1:10" ht="14.4" customHeight="1" x14ac:dyDescent="0.3">
      <c r="A63" s="708" t="s">
        <v>569</v>
      </c>
      <c r="B63" s="709" t="s">
        <v>361</v>
      </c>
      <c r="C63" s="710">
        <v>44.887679999999996</v>
      </c>
      <c r="D63" s="710">
        <v>59.229500000000002</v>
      </c>
      <c r="E63" s="710"/>
      <c r="F63" s="710">
        <v>65.813550000000006</v>
      </c>
      <c r="G63" s="710">
        <v>98.063183265903504</v>
      </c>
      <c r="H63" s="710">
        <v>-32.249633265903498</v>
      </c>
      <c r="I63" s="711">
        <v>0.67113413829880564</v>
      </c>
      <c r="J63" s="712" t="s">
        <v>1</v>
      </c>
    </row>
    <row r="64" spans="1:10" ht="14.4" customHeight="1" x14ac:dyDescent="0.3">
      <c r="A64" s="708" t="s">
        <v>569</v>
      </c>
      <c r="B64" s="709" t="s">
        <v>571</v>
      </c>
      <c r="C64" s="710">
        <v>538.92633000000001</v>
      </c>
      <c r="D64" s="710">
        <v>670.15592000000004</v>
      </c>
      <c r="E64" s="710"/>
      <c r="F64" s="710">
        <v>635.16243999999995</v>
      </c>
      <c r="G64" s="710">
        <v>796.92450443144185</v>
      </c>
      <c r="H64" s="710">
        <v>-161.7620644314419</v>
      </c>
      <c r="I64" s="711">
        <v>0.79701707811475886</v>
      </c>
      <c r="J64" s="712" t="s">
        <v>561</v>
      </c>
    </row>
    <row r="65" spans="1:10" ht="14.4" customHeight="1" x14ac:dyDescent="0.3">
      <c r="A65" s="708" t="s">
        <v>554</v>
      </c>
      <c r="B65" s="709" t="s">
        <v>554</v>
      </c>
      <c r="C65" s="710" t="s">
        <v>554</v>
      </c>
      <c r="D65" s="710" t="s">
        <v>554</v>
      </c>
      <c r="E65" s="710"/>
      <c r="F65" s="710" t="s">
        <v>554</v>
      </c>
      <c r="G65" s="710" t="s">
        <v>554</v>
      </c>
      <c r="H65" s="710" t="s">
        <v>554</v>
      </c>
      <c r="I65" s="711" t="s">
        <v>554</v>
      </c>
      <c r="J65" s="712" t="s">
        <v>562</v>
      </c>
    </row>
    <row r="66" spans="1:10" ht="14.4" customHeight="1" x14ac:dyDescent="0.3">
      <c r="A66" s="708" t="s">
        <v>572</v>
      </c>
      <c r="B66" s="709" t="s">
        <v>573</v>
      </c>
      <c r="C66" s="710" t="s">
        <v>554</v>
      </c>
      <c r="D66" s="710" t="s">
        <v>554</v>
      </c>
      <c r="E66" s="710"/>
      <c r="F66" s="710" t="s">
        <v>554</v>
      </c>
      <c r="G66" s="710" t="s">
        <v>554</v>
      </c>
      <c r="H66" s="710" t="s">
        <v>554</v>
      </c>
      <c r="I66" s="711" t="s">
        <v>554</v>
      </c>
      <c r="J66" s="712" t="s">
        <v>0</v>
      </c>
    </row>
    <row r="67" spans="1:10" ht="14.4" customHeight="1" x14ac:dyDescent="0.3">
      <c r="A67" s="708" t="s">
        <v>572</v>
      </c>
      <c r="B67" s="709" t="s">
        <v>347</v>
      </c>
      <c r="C67" s="710">
        <v>5246.9569499999998</v>
      </c>
      <c r="D67" s="710">
        <v>3522.50216</v>
      </c>
      <c r="E67" s="710"/>
      <c r="F67" s="710">
        <v>3081.0217499999999</v>
      </c>
      <c r="G67" s="710">
        <v>4475</v>
      </c>
      <c r="H67" s="710">
        <v>-1393.9782500000001</v>
      </c>
      <c r="I67" s="711">
        <v>0.68849648044692735</v>
      </c>
      <c r="J67" s="712" t="s">
        <v>1</v>
      </c>
    </row>
    <row r="68" spans="1:10" ht="14.4" customHeight="1" x14ac:dyDescent="0.3">
      <c r="A68" s="708" t="s">
        <v>572</v>
      </c>
      <c r="B68" s="709" t="s">
        <v>348</v>
      </c>
      <c r="C68" s="710">
        <v>1702.2251700000002</v>
      </c>
      <c r="D68" s="710">
        <v>978.88561000000004</v>
      </c>
      <c r="E68" s="710"/>
      <c r="F68" s="710">
        <v>918.90311999999994</v>
      </c>
      <c r="G68" s="710">
        <v>1999.9166666666674</v>
      </c>
      <c r="H68" s="710">
        <v>-1081.0135466666675</v>
      </c>
      <c r="I68" s="711">
        <v>0.45947070461269202</v>
      </c>
      <c r="J68" s="712" t="s">
        <v>1</v>
      </c>
    </row>
    <row r="69" spans="1:10" ht="14.4" customHeight="1" x14ac:dyDescent="0.3">
      <c r="A69" s="708" t="s">
        <v>572</v>
      </c>
      <c r="B69" s="709" t="s">
        <v>349</v>
      </c>
      <c r="C69" s="710">
        <v>5770.7563700000028</v>
      </c>
      <c r="D69" s="710">
        <v>7823.8339899999992</v>
      </c>
      <c r="E69" s="710"/>
      <c r="F69" s="710">
        <v>7210.76775000001</v>
      </c>
      <c r="G69" s="710">
        <v>5875.0833333333248</v>
      </c>
      <c r="H69" s="710">
        <v>1335.6844166666851</v>
      </c>
      <c r="I69" s="711">
        <v>1.2273473142224969</v>
      </c>
      <c r="J69" s="712" t="s">
        <v>1</v>
      </c>
    </row>
    <row r="70" spans="1:10" ht="14.4" customHeight="1" x14ac:dyDescent="0.3">
      <c r="A70" s="708" t="s">
        <v>572</v>
      </c>
      <c r="B70" s="709" t="s">
        <v>350</v>
      </c>
      <c r="C70" s="710">
        <v>638.25779</v>
      </c>
      <c r="D70" s="710">
        <v>406.00800000000004</v>
      </c>
      <c r="E70" s="710"/>
      <c r="F70" s="710">
        <v>328.74392</v>
      </c>
      <c r="G70" s="710">
        <v>525</v>
      </c>
      <c r="H70" s="710">
        <v>-196.25608</v>
      </c>
      <c r="I70" s="711">
        <v>0.62617889523809522</v>
      </c>
      <c r="J70" s="712" t="s">
        <v>1</v>
      </c>
    </row>
    <row r="71" spans="1:10" ht="14.4" customHeight="1" x14ac:dyDescent="0.3">
      <c r="A71" s="708" t="s">
        <v>572</v>
      </c>
      <c r="B71" s="709" t="s">
        <v>351</v>
      </c>
      <c r="C71" s="710" t="s">
        <v>554</v>
      </c>
      <c r="D71" s="710">
        <v>0</v>
      </c>
      <c r="E71" s="710"/>
      <c r="F71" s="710">
        <v>0</v>
      </c>
      <c r="G71" s="710">
        <v>1.2937768833622501</v>
      </c>
      <c r="H71" s="710">
        <v>-1.2937768833622501</v>
      </c>
      <c r="I71" s="711">
        <v>0</v>
      </c>
      <c r="J71" s="712" t="s">
        <v>1</v>
      </c>
    </row>
    <row r="72" spans="1:10" ht="14.4" customHeight="1" x14ac:dyDescent="0.3">
      <c r="A72" s="708" t="s">
        <v>572</v>
      </c>
      <c r="B72" s="709" t="s">
        <v>353</v>
      </c>
      <c r="C72" s="710">
        <v>198.48894000000001</v>
      </c>
      <c r="D72" s="710">
        <v>259.03340000000003</v>
      </c>
      <c r="E72" s="710"/>
      <c r="F72" s="710">
        <v>210.91306000000003</v>
      </c>
      <c r="G72" s="710">
        <v>235.62982982840947</v>
      </c>
      <c r="H72" s="710">
        <v>-24.71676982840944</v>
      </c>
      <c r="I72" s="711">
        <v>0.89510339227249491</v>
      </c>
      <c r="J72" s="712" t="s">
        <v>1</v>
      </c>
    </row>
    <row r="73" spans="1:10" ht="14.4" customHeight="1" x14ac:dyDescent="0.3">
      <c r="A73" s="708" t="s">
        <v>572</v>
      </c>
      <c r="B73" s="709" t="s">
        <v>354</v>
      </c>
      <c r="C73" s="710">
        <v>387.12528000000003</v>
      </c>
      <c r="D73" s="710">
        <v>531.98288000000002</v>
      </c>
      <c r="E73" s="710"/>
      <c r="F73" s="710">
        <v>395.62824999999998</v>
      </c>
      <c r="G73" s="710">
        <v>482.66735967292499</v>
      </c>
      <c r="H73" s="710">
        <v>-87.039109672925008</v>
      </c>
      <c r="I73" s="711">
        <v>0.8196706118020779</v>
      </c>
      <c r="J73" s="712" t="s">
        <v>1</v>
      </c>
    </row>
    <row r="74" spans="1:10" ht="14.4" customHeight="1" x14ac:dyDescent="0.3">
      <c r="A74" s="708" t="s">
        <v>572</v>
      </c>
      <c r="B74" s="709" t="s">
        <v>356</v>
      </c>
      <c r="C74" s="710">
        <v>199.40447999999998</v>
      </c>
      <c r="D74" s="710">
        <v>138.08133999999998</v>
      </c>
      <c r="E74" s="710"/>
      <c r="F74" s="710">
        <v>177.59923000000001</v>
      </c>
      <c r="G74" s="710">
        <v>185</v>
      </c>
      <c r="H74" s="710">
        <v>-7.4007699999999943</v>
      </c>
      <c r="I74" s="711">
        <v>0.95999583783783782</v>
      </c>
      <c r="J74" s="712" t="s">
        <v>1</v>
      </c>
    </row>
    <row r="75" spans="1:10" ht="14.4" customHeight="1" x14ac:dyDescent="0.3">
      <c r="A75" s="708" t="s">
        <v>572</v>
      </c>
      <c r="B75" s="709" t="s">
        <v>357</v>
      </c>
      <c r="C75" s="710">
        <v>33.106070000000003</v>
      </c>
      <c r="D75" s="710">
        <v>16.88636</v>
      </c>
      <c r="E75" s="710"/>
      <c r="F75" s="710">
        <v>12.80545</v>
      </c>
      <c r="G75" s="710">
        <v>15.061907867818999</v>
      </c>
      <c r="H75" s="710">
        <v>-2.2564578678189982</v>
      </c>
      <c r="I75" s="711">
        <v>0.85018777915644372</v>
      </c>
      <c r="J75" s="712" t="s">
        <v>1</v>
      </c>
    </row>
    <row r="76" spans="1:10" ht="14.4" customHeight="1" x14ac:dyDescent="0.3">
      <c r="A76" s="708" t="s">
        <v>572</v>
      </c>
      <c r="B76" s="709" t="s">
        <v>358</v>
      </c>
      <c r="C76" s="710">
        <v>31.188549999999999</v>
      </c>
      <c r="D76" s="710">
        <v>26.151420000000002</v>
      </c>
      <c r="E76" s="710"/>
      <c r="F76" s="710">
        <v>47.085880000000003</v>
      </c>
      <c r="G76" s="710">
        <v>26.13850696904025</v>
      </c>
      <c r="H76" s="710">
        <v>20.947373030959753</v>
      </c>
      <c r="I76" s="711">
        <v>1.8013989879288386</v>
      </c>
      <c r="J76" s="712" t="s">
        <v>1</v>
      </c>
    </row>
    <row r="77" spans="1:10" ht="14.4" customHeight="1" x14ac:dyDescent="0.3">
      <c r="A77" s="708" t="s">
        <v>572</v>
      </c>
      <c r="B77" s="709" t="s">
        <v>360</v>
      </c>
      <c r="C77" s="710">
        <v>314.35845999999998</v>
      </c>
      <c r="D77" s="710">
        <v>382.98138999999998</v>
      </c>
      <c r="E77" s="710"/>
      <c r="F77" s="710">
        <v>410.78059000000002</v>
      </c>
      <c r="G77" s="710">
        <v>426.92449743280747</v>
      </c>
      <c r="H77" s="710">
        <v>-16.143907432807453</v>
      </c>
      <c r="I77" s="711">
        <v>0.96218556786999954</v>
      </c>
      <c r="J77" s="712" t="s">
        <v>1</v>
      </c>
    </row>
    <row r="78" spans="1:10" ht="14.4" customHeight="1" x14ac:dyDescent="0.3">
      <c r="A78" s="708" t="s">
        <v>572</v>
      </c>
      <c r="B78" s="709" t="s">
        <v>361</v>
      </c>
      <c r="C78" s="710">
        <v>17.2788</v>
      </c>
      <c r="D78" s="710">
        <v>0.67759999999999998</v>
      </c>
      <c r="E78" s="710"/>
      <c r="F78" s="710">
        <v>0</v>
      </c>
      <c r="G78" s="710">
        <v>0.50764414235499999</v>
      </c>
      <c r="H78" s="710">
        <v>-0.50764414235499999</v>
      </c>
      <c r="I78" s="711">
        <v>0</v>
      </c>
      <c r="J78" s="712" t="s">
        <v>1</v>
      </c>
    </row>
    <row r="79" spans="1:10" ht="14.4" customHeight="1" x14ac:dyDescent="0.3">
      <c r="A79" s="708" t="s">
        <v>572</v>
      </c>
      <c r="B79" s="709" t="s">
        <v>362</v>
      </c>
      <c r="C79" s="710" t="s">
        <v>554</v>
      </c>
      <c r="D79" s="710">
        <v>7.2550400000000002</v>
      </c>
      <c r="E79" s="710"/>
      <c r="F79" s="710">
        <v>0</v>
      </c>
      <c r="G79" s="710">
        <v>5</v>
      </c>
      <c r="H79" s="710">
        <v>-5</v>
      </c>
      <c r="I79" s="711">
        <v>0</v>
      </c>
      <c r="J79" s="712" t="s">
        <v>1</v>
      </c>
    </row>
    <row r="80" spans="1:10" ht="14.4" customHeight="1" x14ac:dyDescent="0.3">
      <c r="A80" s="708" t="s">
        <v>572</v>
      </c>
      <c r="B80" s="709" t="s">
        <v>574</v>
      </c>
      <c r="C80" s="710">
        <v>14539.146860000001</v>
      </c>
      <c r="D80" s="710">
        <v>14094.279190000003</v>
      </c>
      <c r="E80" s="710"/>
      <c r="F80" s="710">
        <v>12794.249000000011</v>
      </c>
      <c r="G80" s="710">
        <v>14253.22352279671</v>
      </c>
      <c r="H80" s="710">
        <v>-1458.9745227966996</v>
      </c>
      <c r="I80" s="711">
        <v>0.89763897826598982</v>
      </c>
      <c r="J80" s="712" t="s">
        <v>561</v>
      </c>
    </row>
    <row r="81" spans="1:10" ht="14.4" customHeight="1" x14ac:dyDescent="0.3">
      <c r="A81" s="708" t="s">
        <v>554</v>
      </c>
      <c r="B81" s="709" t="s">
        <v>554</v>
      </c>
      <c r="C81" s="710" t="s">
        <v>554</v>
      </c>
      <c r="D81" s="710" t="s">
        <v>554</v>
      </c>
      <c r="E81" s="710"/>
      <c r="F81" s="710" t="s">
        <v>554</v>
      </c>
      <c r="G81" s="710" t="s">
        <v>554</v>
      </c>
      <c r="H81" s="710" t="s">
        <v>554</v>
      </c>
      <c r="I81" s="711" t="s">
        <v>554</v>
      </c>
      <c r="J81" s="712" t="s">
        <v>562</v>
      </c>
    </row>
    <row r="82" spans="1:10" ht="14.4" customHeight="1" x14ac:dyDescent="0.3">
      <c r="A82" s="708" t="s">
        <v>552</v>
      </c>
      <c r="B82" s="709" t="s">
        <v>556</v>
      </c>
      <c r="C82" s="710">
        <v>15121.914920000001</v>
      </c>
      <c r="D82" s="710">
        <v>14806.603190000003</v>
      </c>
      <c r="E82" s="710"/>
      <c r="F82" s="710">
        <v>13487.941090000011</v>
      </c>
      <c r="G82" s="710">
        <v>15105.303795199505</v>
      </c>
      <c r="H82" s="710">
        <v>-1617.3627051994936</v>
      </c>
      <c r="I82" s="711">
        <v>0.8929274957241512</v>
      </c>
      <c r="J82" s="712" t="s">
        <v>557</v>
      </c>
    </row>
  </sheetData>
  <mergeCells count="3">
    <mergeCell ref="A1:I1"/>
    <mergeCell ref="F3:I3"/>
    <mergeCell ref="C4:D4"/>
  </mergeCells>
  <conditionalFormatting sqref="F23 F83:F65537">
    <cfRule type="cellIs" dxfId="46" priority="18" stopIfTrue="1" operator="greaterThan">
      <formula>1</formula>
    </cfRule>
  </conditionalFormatting>
  <conditionalFormatting sqref="H5:H22">
    <cfRule type="expression" dxfId="45" priority="14">
      <formula>$H5&gt;0</formula>
    </cfRule>
  </conditionalFormatting>
  <conditionalFormatting sqref="I5:I22">
    <cfRule type="expression" dxfId="44" priority="15">
      <formula>$I5&gt;1</formula>
    </cfRule>
  </conditionalFormatting>
  <conditionalFormatting sqref="B5:B22">
    <cfRule type="expression" dxfId="43" priority="11">
      <formula>OR($J5="NS",$J5="SumaNS",$J5="Účet")</formula>
    </cfRule>
  </conditionalFormatting>
  <conditionalFormatting sqref="F5:I22 B5:D22">
    <cfRule type="expression" dxfId="42" priority="17">
      <formula>AND($J5&lt;&gt;"",$J5&lt;&gt;"mezeraKL")</formula>
    </cfRule>
  </conditionalFormatting>
  <conditionalFormatting sqref="B5:D22 F5:I22">
    <cfRule type="expression" dxfId="41" priority="12">
      <formula>OR($J5="KL",$J5="SumaKL")</formula>
    </cfRule>
    <cfRule type="expression" priority="16" stopIfTrue="1">
      <formula>OR($J5="mezeraNS",$J5="mezeraKL")</formula>
    </cfRule>
  </conditionalFormatting>
  <conditionalFormatting sqref="B5:D22 F5:I22">
    <cfRule type="expression" dxfId="40" priority="13">
      <formula>OR($J5="SumaNS",$J5="NS")</formula>
    </cfRule>
  </conditionalFormatting>
  <conditionalFormatting sqref="A5:A22">
    <cfRule type="expression" dxfId="39" priority="9">
      <formula>AND($J5&lt;&gt;"mezeraKL",$J5&lt;&gt;"")</formula>
    </cfRule>
  </conditionalFormatting>
  <conditionalFormatting sqref="A5:A22">
    <cfRule type="expression" dxfId="38" priority="10">
      <formula>AND($J5&lt;&gt;"",$J5&lt;&gt;"mezeraKL")</formula>
    </cfRule>
  </conditionalFormatting>
  <conditionalFormatting sqref="H24:H82">
    <cfRule type="expression" dxfId="37" priority="5">
      <formula>$H24&gt;0</formula>
    </cfRule>
  </conditionalFormatting>
  <conditionalFormatting sqref="A24:A82">
    <cfRule type="expression" dxfId="36" priority="2">
      <formula>AND($J24&lt;&gt;"mezeraKL",$J24&lt;&gt;"")</formula>
    </cfRule>
  </conditionalFormatting>
  <conditionalFormatting sqref="I24:I82">
    <cfRule type="expression" dxfId="35" priority="6">
      <formula>$I24&gt;1</formula>
    </cfRule>
  </conditionalFormatting>
  <conditionalFormatting sqref="B24:B82">
    <cfRule type="expression" dxfId="34" priority="1">
      <formula>OR($J24="NS",$J24="SumaNS",$J24="Účet")</formula>
    </cfRule>
  </conditionalFormatting>
  <conditionalFormatting sqref="A24:D82 F24:I82">
    <cfRule type="expression" dxfId="33" priority="8">
      <formula>AND($J24&lt;&gt;"",$J24&lt;&gt;"mezeraKL")</formula>
    </cfRule>
  </conditionalFormatting>
  <conditionalFormatting sqref="B24:D82 F24:I82">
    <cfRule type="expression" dxfId="32" priority="3">
      <formula>OR($J24="KL",$J24="SumaKL")</formula>
    </cfRule>
    <cfRule type="expression" priority="7" stopIfTrue="1">
      <formula>OR($J24="mezeraNS",$J24="mezeraKL")</formula>
    </cfRule>
  </conditionalFormatting>
  <conditionalFormatting sqref="B24:D82 F24:I82">
    <cfRule type="expression" dxfId="31" priority="4">
      <formula>OR($J24="SumaNS",$J24="NS")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1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63" t="s">
        <v>2968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</row>
    <row r="2" spans="1:11" ht="14.4" customHeight="1" thickBot="1" x14ac:dyDescent="0.35">
      <c r="A2" s="374" t="s">
        <v>323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59"/>
      <c r="D3" s="560"/>
      <c r="E3" s="560"/>
      <c r="F3" s="560"/>
      <c r="G3" s="560"/>
      <c r="H3" s="260" t="s">
        <v>159</v>
      </c>
      <c r="I3" s="203">
        <f>IF(J3&lt;&gt;0,K3/J3,0)</f>
        <v>60.577854281230735</v>
      </c>
      <c r="J3" s="203">
        <f>SUBTOTAL(9,J5:J1048576)</f>
        <v>222401</v>
      </c>
      <c r="K3" s="204">
        <f>SUBTOTAL(9,K5:K1048576)</f>
        <v>13472575.369999997</v>
      </c>
    </row>
    <row r="4" spans="1:11" s="330" customFormat="1" ht="14.4" customHeight="1" thickBot="1" x14ac:dyDescent="0.35">
      <c r="A4" s="816" t="s">
        <v>4</v>
      </c>
      <c r="B4" s="817" t="s">
        <v>5</v>
      </c>
      <c r="C4" s="817" t="s">
        <v>0</v>
      </c>
      <c r="D4" s="817" t="s">
        <v>6</v>
      </c>
      <c r="E4" s="817" t="s">
        <v>7</v>
      </c>
      <c r="F4" s="817" t="s">
        <v>1</v>
      </c>
      <c r="G4" s="817" t="s">
        <v>90</v>
      </c>
      <c r="H4" s="715" t="s">
        <v>11</v>
      </c>
      <c r="I4" s="716" t="s">
        <v>184</v>
      </c>
      <c r="J4" s="716" t="s">
        <v>13</v>
      </c>
      <c r="K4" s="717" t="s">
        <v>201</v>
      </c>
    </row>
    <row r="5" spans="1:11" ht="14.4" customHeight="1" x14ac:dyDescent="0.3">
      <c r="A5" s="799" t="s">
        <v>552</v>
      </c>
      <c r="B5" s="800" t="s">
        <v>1679</v>
      </c>
      <c r="C5" s="803" t="s">
        <v>558</v>
      </c>
      <c r="D5" s="818" t="s">
        <v>559</v>
      </c>
      <c r="E5" s="803" t="s">
        <v>2942</v>
      </c>
      <c r="F5" s="818" t="s">
        <v>2943</v>
      </c>
      <c r="G5" s="803" t="s">
        <v>2098</v>
      </c>
      <c r="H5" s="803" t="s">
        <v>2099</v>
      </c>
      <c r="I5" s="225">
        <v>166.73</v>
      </c>
      <c r="J5" s="225">
        <v>1</v>
      </c>
      <c r="K5" s="813">
        <v>166.73</v>
      </c>
    </row>
    <row r="6" spans="1:11" ht="14.4" customHeight="1" x14ac:dyDescent="0.3">
      <c r="A6" s="724" t="s">
        <v>552</v>
      </c>
      <c r="B6" s="725" t="s">
        <v>1679</v>
      </c>
      <c r="C6" s="726" t="s">
        <v>558</v>
      </c>
      <c r="D6" s="727" t="s">
        <v>559</v>
      </c>
      <c r="E6" s="726" t="s">
        <v>2942</v>
      </c>
      <c r="F6" s="727" t="s">
        <v>2943</v>
      </c>
      <c r="G6" s="726" t="s">
        <v>2100</v>
      </c>
      <c r="H6" s="726" t="s">
        <v>2101</v>
      </c>
      <c r="I6" s="728">
        <v>2.19</v>
      </c>
      <c r="J6" s="728">
        <v>100</v>
      </c>
      <c r="K6" s="729">
        <v>219</v>
      </c>
    </row>
    <row r="7" spans="1:11" ht="14.4" customHeight="1" x14ac:dyDescent="0.3">
      <c r="A7" s="724" t="s">
        <v>552</v>
      </c>
      <c r="B7" s="725" t="s">
        <v>1679</v>
      </c>
      <c r="C7" s="726" t="s">
        <v>558</v>
      </c>
      <c r="D7" s="727" t="s">
        <v>559</v>
      </c>
      <c r="E7" s="726" t="s">
        <v>2942</v>
      </c>
      <c r="F7" s="727" t="s">
        <v>2943</v>
      </c>
      <c r="G7" s="726" t="s">
        <v>2102</v>
      </c>
      <c r="H7" s="726" t="s">
        <v>2103</v>
      </c>
      <c r="I7" s="728">
        <v>4.3099999999999996</v>
      </c>
      <c r="J7" s="728">
        <v>100</v>
      </c>
      <c r="K7" s="729">
        <v>431</v>
      </c>
    </row>
    <row r="8" spans="1:11" ht="14.4" customHeight="1" x14ac:dyDescent="0.3">
      <c r="A8" s="724" t="s">
        <v>552</v>
      </c>
      <c r="B8" s="725" t="s">
        <v>1679</v>
      </c>
      <c r="C8" s="726" t="s">
        <v>558</v>
      </c>
      <c r="D8" s="727" t="s">
        <v>559</v>
      </c>
      <c r="E8" s="726" t="s">
        <v>2942</v>
      </c>
      <c r="F8" s="727" t="s">
        <v>2943</v>
      </c>
      <c r="G8" s="726" t="s">
        <v>2104</v>
      </c>
      <c r="H8" s="726" t="s">
        <v>2105</v>
      </c>
      <c r="I8" s="728">
        <v>28.73</v>
      </c>
      <c r="J8" s="728">
        <v>24</v>
      </c>
      <c r="K8" s="729">
        <v>689.52</v>
      </c>
    </row>
    <row r="9" spans="1:11" ht="14.4" customHeight="1" x14ac:dyDescent="0.3">
      <c r="A9" s="724" t="s">
        <v>552</v>
      </c>
      <c r="B9" s="725" t="s">
        <v>1679</v>
      </c>
      <c r="C9" s="726" t="s">
        <v>558</v>
      </c>
      <c r="D9" s="727" t="s">
        <v>559</v>
      </c>
      <c r="E9" s="726" t="s">
        <v>2942</v>
      </c>
      <c r="F9" s="727" t="s">
        <v>2943</v>
      </c>
      <c r="G9" s="726" t="s">
        <v>2106</v>
      </c>
      <c r="H9" s="726" t="s">
        <v>2107</v>
      </c>
      <c r="I9" s="728">
        <v>6.2450000000000001</v>
      </c>
      <c r="J9" s="728">
        <v>100</v>
      </c>
      <c r="K9" s="729">
        <v>624.5</v>
      </c>
    </row>
    <row r="10" spans="1:11" ht="14.4" customHeight="1" x14ac:dyDescent="0.3">
      <c r="A10" s="724" t="s">
        <v>552</v>
      </c>
      <c r="B10" s="725" t="s">
        <v>1679</v>
      </c>
      <c r="C10" s="726" t="s">
        <v>558</v>
      </c>
      <c r="D10" s="727" t="s">
        <v>559</v>
      </c>
      <c r="E10" s="726" t="s">
        <v>2942</v>
      </c>
      <c r="F10" s="727" t="s">
        <v>2943</v>
      </c>
      <c r="G10" s="726" t="s">
        <v>2108</v>
      </c>
      <c r="H10" s="726" t="s">
        <v>2109</v>
      </c>
      <c r="I10" s="728">
        <v>1.38</v>
      </c>
      <c r="J10" s="728">
        <v>150</v>
      </c>
      <c r="K10" s="729">
        <v>207</v>
      </c>
    </row>
    <row r="11" spans="1:11" ht="14.4" customHeight="1" x14ac:dyDescent="0.3">
      <c r="A11" s="724" t="s">
        <v>552</v>
      </c>
      <c r="B11" s="725" t="s">
        <v>1679</v>
      </c>
      <c r="C11" s="726" t="s">
        <v>558</v>
      </c>
      <c r="D11" s="727" t="s">
        <v>559</v>
      </c>
      <c r="E11" s="726" t="s">
        <v>2942</v>
      </c>
      <c r="F11" s="727" t="s">
        <v>2943</v>
      </c>
      <c r="G11" s="726" t="s">
        <v>2110</v>
      </c>
      <c r="H11" s="726" t="s">
        <v>2111</v>
      </c>
      <c r="I11" s="728">
        <v>0.67</v>
      </c>
      <c r="J11" s="728">
        <v>800</v>
      </c>
      <c r="K11" s="729">
        <v>536</v>
      </c>
    </row>
    <row r="12" spans="1:11" ht="14.4" customHeight="1" x14ac:dyDescent="0.3">
      <c r="A12" s="724" t="s">
        <v>552</v>
      </c>
      <c r="B12" s="725" t="s">
        <v>1679</v>
      </c>
      <c r="C12" s="726" t="s">
        <v>558</v>
      </c>
      <c r="D12" s="727" t="s">
        <v>559</v>
      </c>
      <c r="E12" s="726" t="s">
        <v>2942</v>
      </c>
      <c r="F12" s="727" t="s">
        <v>2943</v>
      </c>
      <c r="G12" s="726" t="s">
        <v>2112</v>
      </c>
      <c r="H12" s="726" t="s">
        <v>2113</v>
      </c>
      <c r="I12" s="728">
        <v>8.58</v>
      </c>
      <c r="J12" s="728">
        <v>12</v>
      </c>
      <c r="K12" s="729">
        <v>102.96</v>
      </c>
    </row>
    <row r="13" spans="1:11" ht="14.4" customHeight="1" x14ac:dyDescent="0.3">
      <c r="A13" s="724" t="s">
        <v>552</v>
      </c>
      <c r="B13" s="725" t="s">
        <v>1679</v>
      </c>
      <c r="C13" s="726" t="s">
        <v>558</v>
      </c>
      <c r="D13" s="727" t="s">
        <v>559</v>
      </c>
      <c r="E13" s="726" t="s">
        <v>2942</v>
      </c>
      <c r="F13" s="727" t="s">
        <v>2943</v>
      </c>
      <c r="G13" s="726" t="s">
        <v>2114</v>
      </c>
      <c r="H13" s="726" t="s">
        <v>2115</v>
      </c>
      <c r="I13" s="728">
        <v>27.88</v>
      </c>
      <c r="J13" s="728">
        <v>7</v>
      </c>
      <c r="K13" s="729">
        <v>195.16</v>
      </c>
    </row>
    <row r="14" spans="1:11" ht="14.4" customHeight="1" x14ac:dyDescent="0.3">
      <c r="A14" s="724" t="s">
        <v>552</v>
      </c>
      <c r="B14" s="725" t="s">
        <v>1679</v>
      </c>
      <c r="C14" s="726" t="s">
        <v>558</v>
      </c>
      <c r="D14" s="727" t="s">
        <v>559</v>
      </c>
      <c r="E14" s="726" t="s">
        <v>2942</v>
      </c>
      <c r="F14" s="727" t="s">
        <v>2943</v>
      </c>
      <c r="G14" s="726" t="s">
        <v>2116</v>
      </c>
      <c r="H14" s="726" t="s">
        <v>2117</v>
      </c>
      <c r="I14" s="728">
        <v>1.292</v>
      </c>
      <c r="J14" s="728">
        <v>1350</v>
      </c>
      <c r="K14" s="729">
        <v>1744</v>
      </c>
    </row>
    <row r="15" spans="1:11" ht="14.4" customHeight="1" x14ac:dyDescent="0.3">
      <c r="A15" s="724" t="s">
        <v>552</v>
      </c>
      <c r="B15" s="725" t="s">
        <v>1679</v>
      </c>
      <c r="C15" s="726" t="s">
        <v>558</v>
      </c>
      <c r="D15" s="727" t="s">
        <v>559</v>
      </c>
      <c r="E15" s="726" t="s">
        <v>2942</v>
      </c>
      <c r="F15" s="727" t="s">
        <v>2943</v>
      </c>
      <c r="G15" s="726" t="s">
        <v>2118</v>
      </c>
      <c r="H15" s="726" t="s">
        <v>2119</v>
      </c>
      <c r="I15" s="728">
        <v>7.51</v>
      </c>
      <c r="J15" s="728">
        <v>36</v>
      </c>
      <c r="K15" s="729">
        <v>270.36</v>
      </c>
    </row>
    <row r="16" spans="1:11" ht="14.4" customHeight="1" x14ac:dyDescent="0.3">
      <c r="A16" s="724" t="s">
        <v>552</v>
      </c>
      <c r="B16" s="725" t="s">
        <v>1679</v>
      </c>
      <c r="C16" s="726" t="s">
        <v>558</v>
      </c>
      <c r="D16" s="727" t="s">
        <v>559</v>
      </c>
      <c r="E16" s="726" t="s">
        <v>2942</v>
      </c>
      <c r="F16" s="727" t="s">
        <v>2943</v>
      </c>
      <c r="G16" s="726" t="s">
        <v>2120</v>
      </c>
      <c r="H16" s="726" t="s">
        <v>2121</v>
      </c>
      <c r="I16" s="728">
        <v>1.52</v>
      </c>
      <c r="J16" s="728">
        <v>100</v>
      </c>
      <c r="K16" s="729">
        <v>152</v>
      </c>
    </row>
    <row r="17" spans="1:11" ht="14.4" customHeight="1" x14ac:dyDescent="0.3">
      <c r="A17" s="724" t="s">
        <v>552</v>
      </c>
      <c r="B17" s="725" t="s">
        <v>1679</v>
      </c>
      <c r="C17" s="726" t="s">
        <v>558</v>
      </c>
      <c r="D17" s="727" t="s">
        <v>559</v>
      </c>
      <c r="E17" s="726" t="s">
        <v>2942</v>
      </c>
      <c r="F17" s="727" t="s">
        <v>2943</v>
      </c>
      <c r="G17" s="726" t="s">
        <v>2122</v>
      </c>
      <c r="H17" s="726" t="s">
        <v>2123</v>
      </c>
      <c r="I17" s="728">
        <v>2.06</v>
      </c>
      <c r="J17" s="728">
        <v>150</v>
      </c>
      <c r="K17" s="729">
        <v>309</v>
      </c>
    </row>
    <row r="18" spans="1:11" ht="14.4" customHeight="1" x14ac:dyDescent="0.3">
      <c r="A18" s="724" t="s">
        <v>552</v>
      </c>
      <c r="B18" s="725" t="s">
        <v>1679</v>
      </c>
      <c r="C18" s="726" t="s">
        <v>558</v>
      </c>
      <c r="D18" s="727" t="s">
        <v>559</v>
      </c>
      <c r="E18" s="726" t="s">
        <v>2942</v>
      </c>
      <c r="F18" s="727" t="s">
        <v>2943</v>
      </c>
      <c r="G18" s="726" t="s">
        <v>2124</v>
      </c>
      <c r="H18" s="726" t="s">
        <v>2125</v>
      </c>
      <c r="I18" s="728">
        <v>3.36</v>
      </c>
      <c r="J18" s="728">
        <v>300</v>
      </c>
      <c r="K18" s="729">
        <v>1008</v>
      </c>
    </row>
    <row r="19" spans="1:11" ht="14.4" customHeight="1" x14ac:dyDescent="0.3">
      <c r="A19" s="724" t="s">
        <v>552</v>
      </c>
      <c r="B19" s="725" t="s">
        <v>1679</v>
      </c>
      <c r="C19" s="726" t="s">
        <v>558</v>
      </c>
      <c r="D19" s="727" t="s">
        <v>559</v>
      </c>
      <c r="E19" s="726" t="s">
        <v>2942</v>
      </c>
      <c r="F19" s="727" t="s">
        <v>2943</v>
      </c>
      <c r="G19" s="726" t="s">
        <v>2126</v>
      </c>
      <c r="H19" s="726" t="s">
        <v>2127</v>
      </c>
      <c r="I19" s="728">
        <v>96.194999999999993</v>
      </c>
      <c r="J19" s="728">
        <v>3</v>
      </c>
      <c r="K19" s="729">
        <v>288.58</v>
      </c>
    </row>
    <row r="20" spans="1:11" ht="14.4" customHeight="1" x14ac:dyDescent="0.3">
      <c r="A20" s="724" t="s">
        <v>552</v>
      </c>
      <c r="B20" s="725" t="s">
        <v>1679</v>
      </c>
      <c r="C20" s="726" t="s">
        <v>558</v>
      </c>
      <c r="D20" s="727" t="s">
        <v>559</v>
      </c>
      <c r="E20" s="726" t="s">
        <v>2942</v>
      </c>
      <c r="F20" s="727" t="s">
        <v>2943</v>
      </c>
      <c r="G20" s="726" t="s">
        <v>2128</v>
      </c>
      <c r="H20" s="726" t="s">
        <v>2129</v>
      </c>
      <c r="I20" s="728">
        <v>13.04</v>
      </c>
      <c r="J20" s="728">
        <v>10</v>
      </c>
      <c r="K20" s="729">
        <v>130.4</v>
      </c>
    </row>
    <row r="21" spans="1:11" ht="14.4" customHeight="1" x14ac:dyDescent="0.3">
      <c r="A21" s="724" t="s">
        <v>552</v>
      </c>
      <c r="B21" s="725" t="s">
        <v>1679</v>
      </c>
      <c r="C21" s="726" t="s">
        <v>558</v>
      </c>
      <c r="D21" s="727" t="s">
        <v>559</v>
      </c>
      <c r="E21" s="726" t="s">
        <v>2942</v>
      </c>
      <c r="F21" s="727" t="s">
        <v>2943</v>
      </c>
      <c r="G21" s="726" t="s">
        <v>2130</v>
      </c>
      <c r="H21" s="726" t="s">
        <v>2131</v>
      </c>
      <c r="I21" s="728">
        <v>10.52</v>
      </c>
      <c r="J21" s="728">
        <v>70</v>
      </c>
      <c r="K21" s="729">
        <v>736.40000000000009</v>
      </c>
    </row>
    <row r="22" spans="1:11" ht="14.4" customHeight="1" x14ac:dyDescent="0.3">
      <c r="A22" s="724" t="s">
        <v>552</v>
      </c>
      <c r="B22" s="725" t="s">
        <v>1679</v>
      </c>
      <c r="C22" s="726" t="s">
        <v>558</v>
      </c>
      <c r="D22" s="727" t="s">
        <v>559</v>
      </c>
      <c r="E22" s="726" t="s">
        <v>2942</v>
      </c>
      <c r="F22" s="727" t="s">
        <v>2943</v>
      </c>
      <c r="G22" s="726" t="s">
        <v>2132</v>
      </c>
      <c r="H22" s="726" t="s">
        <v>2133</v>
      </c>
      <c r="I22" s="728">
        <v>111.55</v>
      </c>
      <c r="J22" s="728">
        <v>1</v>
      </c>
      <c r="K22" s="729">
        <v>111.55</v>
      </c>
    </row>
    <row r="23" spans="1:11" ht="14.4" customHeight="1" x14ac:dyDescent="0.3">
      <c r="A23" s="724" t="s">
        <v>552</v>
      </c>
      <c r="B23" s="725" t="s">
        <v>1679</v>
      </c>
      <c r="C23" s="726" t="s">
        <v>558</v>
      </c>
      <c r="D23" s="727" t="s">
        <v>559</v>
      </c>
      <c r="E23" s="726" t="s">
        <v>2942</v>
      </c>
      <c r="F23" s="727" t="s">
        <v>2943</v>
      </c>
      <c r="G23" s="726" t="s">
        <v>2134</v>
      </c>
      <c r="H23" s="726" t="s">
        <v>2135</v>
      </c>
      <c r="I23" s="728">
        <v>112.53</v>
      </c>
      <c r="J23" s="728">
        <v>4</v>
      </c>
      <c r="K23" s="729">
        <v>450.12</v>
      </c>
    </row>
    <row r="24" spans="1:11" ht="14.4" customHeight="1" x14ac:dyDescent="0.3">
      <c r="A24" s="724" t="s">
        <v>552</v>
      </c>
      <c r="B24" s="725" t="s">
        <v>1679</v>
      </c>
      <c r="C24" s="726" t="s">
        <v>558</v>
      </c>
      <c r="D24" s="727" t="s">
        <v>559</v>
      </c>
      <c r="E24" s="726" t="s">
        <v>2944</v>
      </c>
      <c r="F24" s="727" t="s">
        <v>2945</v>
      </c>
      <c r="G24" s="726" t="s">
        <v>2136</v>
      </c>
      <c r="H24" s="726" t="s">
        <v>2137</v>
      </c>
      <c r="I24" s="728">
        <v>1.0900000000000001</v>
      </c>
      <c r="J24" s="728">
        <v>400</v>
      </c>
      <c r="K24" s="729">
        <v>436</v>
      </c>
    </row>
    <row r="25" spans="1:11" ht="14.4" customHeight="1" x14ac:dyDescent="0.3">
      <c r="A25" s="724" t="s">
        <v>552</v>
      </c>
      <c r="B25" s="725" t="s">
        <v>1679</v>
      </c>
      <c r="C25" s="726" t="s">
        <v>558</v>
      </c>
      <c r="D25" s="727" t="s">
        <v>559</v>
      </c>
      <c r="E25" s="726" t="s">
        <v>2944</v>
      </c>
      <c r="F25" s="727" t="s">
        <v>2945</v>
      </c>
      <c r="G25" s="726" t="s">
        <v>2138</v>
      </c>
      <c r="H25" s="726" t="s">
        <v>2139</v>
      </c>
      <c r="I25" s="728">
        <v>1.67</v>
      </c>
      <c r="J25" s="728">
        <v>100</v>
      </c>
      <c r="K25" s="729">
        <v>167</v>
      </c>
    </row>
    <row r="26" spans="1:11" ht="14.4" customHeight="1" x14ac:dyDescent="0.3">
      <c r="A26" s="724" t="s">
        <v>552</v>
      </c>
      <c r="B26" s="725" t="s">
        <v>1679</v>
      </c>
      <c r="C26" s="726" t="s">
        <v>558</v>
      </c>
      <c r="D26" s="727" t="s">
        <v>559</v>
      </c>
      <c r="E26" s="726" t="s">
        <v>2944</v>
      </c>
      <c r="F26" s="727" t="s">
        <v>2945</v>
      </c>
      <c r="G26" s="726" t="s">
        <v>2140</v>
      </c>
      <c r="H26" s="726" t="s">
        <v>2141</v>
      </c>
      <c r="I26" s="728">
        <v>0.48</v>
      </c>
      <c r="J26" s="728">
        <v>900</v>
      </c>
      <c r="K26" s="729">
        <v>432</v>
      </c>
    </row>
    <row r="27" spans="1:11" ht="14.4" customHeight="1" x14ac:dyDescent="0.3">
      <c r="A27" s="724" t="s">
        <v>552</v>
      </c>
      <c r="B27" s="725" t="s">
        <v>1679</v>
      </c>
      <c r="C27" s="726" t="s">
        <v>558</v>
      </c>
      <c r="D27" s="727" t="s">
        <v>559</v>
      </c>
      <c r="E27" s="726" t="s">
        <v>2944</v>
      </c>
      <c r="F27" s="727" t="s">
        <v>2945</v>
      </c>
      <c r="G27" s="726" t="s">
        <v>2142</v>
      </c>
      <c r="H27" s="726" t="s">
        <v>2143</v>
      </c>
      <c r="I27" s="728">
        <v>0.67</v>
      </c>
      <c r="J27" s="728">
        <v>300</v>
      </c>
      <c r="K27" s="729">
        <v>201</v>
      </c>
    </row>
    <row r="28" spans="1:11" ht="14.4" customHeight="1" x14ac:dyDescent="0.3">
      <c r="A28" s="724" t="s">
        <v>552</v>
      </c>
      <c r="B28" s="725" t="s">
        <v>1679</v>
      </c>
      <c r="C28" s="726" t="s">
        <v>558</v>
      </c>
      <c r="D28" s="727" t="s">
        <v>559</v>
      </c>
      <c r="E28" s="726" t="s">
        <v>2944</v>
      </c>
      <c r="F28" s="727" t="s">
        <v>2945</v>
      </c>
      <c r="G28" s="726" t="s">
        <v>2144</v>
      </c>
      <c r="H28" s="726" t="s">
        <v>2145</v>
      </c>
      <c r="I28" s="728">
        <v>6.17</v>
      </c>
      <c r="J28" s="728">
        <v>70</v>
      </c>
      <c r="K28" s="729">
        <v>431.9</v>
      </c>
    </row>
    <row r="29" spans="1:11" ht="14.4" customHeight="1" x14ac:dyDescent="0.3">
      <c r="A29" s="724" t="s">
        <v>552</v>
      </c>
      <c r="B29" s="725" t="s">
        <v>1679</v>
      </c>
      <c r="C29" s="726" t="s">
        <v>558</v>
      </c>
      <c r="D29" s="727" t="s">
        <v>559</v>
      </c>
      <c r="E29" s="726" t="s">
        <v>2944</v>
      </c>
      <c r="F29" s="727" t="s">
        <v>2945</v>
      </c>
      <c r="G29" s="726" t="s">
        <v>2146</v>
      </c>
      <c r="H29" s="726" t="s">
        <v>2147</v>
      </c>
      <c r="I29" s="728">
        <v>1.9849999999999999</v>
      </c>
      <c r="J29" s="728">
        <v>100</v>
      </c>
      <c r="K29" s="729">
        <v>198.5</v>
      </c>
    </row>
    <row r="30" spans="1:11" ht="14.4" customHeight="1" x14ac:dyDescent="0.3">
      <c r="A30" s="724" t="s">
        <v>552</v>
      </c>
      <c r="B30" s="725" t="s">
        <v>1679</v>
      </c>
      <c r="C30" s="726" t="s">
        <v>558</v>
      </c>
      <c r="D30" s="727" t="s">
        <v>559</v>
      </c>
      <c r="E30" s="726" t="s">
        <v>2944</v>
      </c>
      <c r="F30" s="727" t="s">
        <v>2945</v>
      </c>
      <c r="G30" s="726" t="s">
        <v>2148</v>
      </c>
      <c r="H30" s="726" t="s">
        <v>2149</v>
      </c>
      <c r="I30" s="728">
        <v>2.0499999999999998</v>
      </c>
      <c r="J30" s="728">
        <v>50</v>
      </c>
      <c r="K30" s="729">
        <v>102.5</v>
      </c>
    </row>
    <row r="31" spans="1:11" ht="14.4" customHeight="1" x14ac:dyDescent="0.3">
      <c r="A31" s="724" t="s">
        <v>552</v>
      </c>
      <c r="B31" s="725" t="s">
        <v>1679</v>
      </c>
      <c r="C31" s="726" t="s">
        <v>558</v>
      </c>
      <c r="D31" s="727" t="s">
        <v>559</v>
      </c>
      <c r="E31" s="726" t="s">
        <v>2944</v>
      </c>
      <c r="F31" s="727" t="s">
        <v>2945</v>
      </c>
      <c r="G31" s="726" t="s">
        <v>2150</v>
      </c>
      <c r="H31" s="726" t="s">
        <v>2151</v>
      </c>
      <c r="I31" s="728">
        <v>1.92</v>
      </c>
      <c r="J31" s="728">
        <v>50</v>
      </c>
      <c r="K31" s="729">
        <v>96</v>
      </c>
    </row>
    <row r="32" spans="1:11" ht="14.4" customHeight="1" x14ac:dyDescent="0.3">
      <c r="A32" s="724" t="s">
        <v>552</v>
      </c>
      <c r="B32" s="725" t="s">
        <v>1679</v>
      </c>
      <c r="C32" s="726" t="s">
        <v>558</v>
      </c>
      <c r="D32" s="727" t="s">
        <v>559</v>
      </c>
      <c r="E32" s="726" t="s">
        <v>2944</v>
      </c>
      <c r="F32" s="727" t="s">
        <v>2945</v>
      </c>
      <c r="G32" s="726" t="s">
        <v>2152</v>
      </c>
      <c r="H32" s="726" t="s">
        <v>2153</v>
      </c>
      <c r="I32" s="728">
        <v>2.17</v>
      </c>
      <c r="J32" s="728">
        <v>50</v>
      </c>
      <c r="K32" s="729">
        <v>108.5</v>
      </c>
    </row>
    <row r="33" spans="1:11" ht="14.4" customHeight="1" x14ac:dyDescent="0.3">
      <c r="A33" s="724" t="s">
        <v>552</v>
      </c>
      <c r="B33" s="725" t="s">
        <v>1679</v>
      </c>
      <c r="C33" s="726" t="s">
        <v>558</v>
      </c>
      <c r="D33" s="727" t="s">
        <v>559</v>
      </c>
      <c r="E33" s="726" t="s">
        <v>2944</v>
      </c>
      <c r="F33" s="727" t="s">
        <v>2945</v>
      </c>
      <c r="G33" s="726" t="s">
        <v>2154</v>
      </c>
      <c r="H33" s="726" t="s">
        <v>2155</v>
      </c>
      <c r="I33" s="728">
        <v>2.7</v>
      </c>
      <c r="J33" s="728">
        <v>100</v>
      </c>
      <c r="K33" s="729">
        <v>270</v>
      </c>
    </row>
    <row r="34" spans="1:11" ht="14.4" customHeight="1" x14ac:dyDescent="0.3">
      <c r="A34" s="724" t="s">
        <v>552</v>
      </c>
      <c r="B34" s="725" t="s">
        <v>1679</v>
      </c>
      <c r="C34" s="726" t="s">
        <v>558</v>
      </c>
      <c r="D34" s="727" t="s">
        <v>559</v>
      </c>
      <c r="E34" s="726" t="s">
        <v>2944</v>
      </c>
      <c r="F34" s="727" t="s">
        <v>2945</v>
      </c>
      <c r="G34" s="726" t="s">
        <v>2156</v>
      </c>
      <c r="H34" s="726" t="s">
        <v>2157</v>
      </c>
      <c r="I34" s="728">
        <v>2.1800000000000002</v>
      </c>
      <c r="J34" s="728">
        <v>300</v>
      </c>
      <c r="K34" s="729">
        <v>654</v>
      </c>
    </row>
    <row r="35" spans="1:11" ht="14.4" customHeight="1" x14ac:dyDescent="0.3">
      <c r="A35" s="724" t="s">
        <v>552</v>
      </c>
      <c r="B35" s="725" t="s">
        <v>1679</v>
      </c>
      <c r="C35" s="726" t="s">
        <v>558</v>
      </c>
      <c r="D35" s="727" t="s">
        <v>559</v>
      </c>
      <c r="E35" s="726" t="s">
        <v>2944</v>
      </c>
      <c r="F35" s="727" t="s">
        <v>2945</v>
      </c>
      <c r="G35" s="726" t="s">
        <v>2158</v>
      </c>
      <c r="H35" s="726" t="s">
        <v>2159</v>
      </c>
      <c r="I35" s="728">
        <v>127.05</v>
      </c>
      <c r="J35" s="728">
        <v>1</v>
      </c>
      <c r="K35" s="729">
        <v>127.05</v>
      </c>
    </row>
    <row r="36" spans="1:11" ht="14.4" customHeight="1" x14ac:dyDescent="0.3">
      <c r="A36" s="724" t="s">
        <v>552</v>
      </c>
      <c r="B36" s="725" t="s">
        <v>1679</v>
      </c>
      <c r="C36" s="726" t="s">
        <v>558</v>
      </c>
      <c r="D36" s="727" t="s">
        <v>559</v>
      </c>
      <c r="E36" s="726" t="s">
        <v>2944</v>
      </c>
      <c r="F36" s="727" t="s">
        <v>2945</v>
      </c>
      <c r="G36" s="726" t="s">
        <v>2160</v>
      </c>
      <c r="H36" s="726" t="s">
        <v>2161</v>
      </c>
      <c r="I36" s="728">
        <v>17.98</v>
      </c>
      <c r="J36" s="728">
        <v>50</v>
      </c>
      <c r="K36" s="729">
        <v>899</v>
      </c>
    </row>
    <row r="37" spans="1:11" ht="14.4" customHeight="1" x14ac:dyDescent="0.3">
      <c r="A37" s="724" t="s">
        <v>552</v>
      </c>
      <c r="B37" s="725" t="s">
        <v>1679</v>
      </c>
      <c r="C37" s="726" t="s">
        <v>558</v>
      </c>
      <c r="D37" s="727" t="s">
        <v>559</v>
      </c>
      <c r="E37" s="726" t="s">
        <v>2944</v>
      </c>
      <c r="F37" s="727" t="s">
        <v>2945</v>
      </c>
      <c r="G37" s="726" t="s">
        <v>2162</v>
      </c>
      <c r="H37" s="726" t="s">
        <v>2163</v>
      </c>
      <c r="I37" s="728">
        <v>17.98</v>
      </c>
      <c r="J37" s="728">
        <v>50</v>
      </c>
      <c r="K37" s="729">
        <v>899</v>
      </c>
    </row>
    <row r="38" spans="1:11" ht="14.4" customHeight="1" x14ac:dyDescent="0.3">
      <c r="A38" s="724" t="s">
        <v>552</v>
      </c>
      <c r="B38" s="725" t="s">
        <v>1679</v>
      </c>
      <c r="C38" s="726" t="s">
        <v>558</v>
      </c>
      <c r="D38" s="727" t="s">
        <v>559</v>
      </c>
      <c r="E38" s="726" t="s">
        <v>2944</v>
      </c>
      <c r="F38" s="727" t="s">
        <v>2945</v>
      </c>
      <c r="G38" s="726" t="s">
        <v>2164</v>
      </c>
      <c r="H38" s="726" t="s">
        <v>2165</v>
      </c>
      <c r="I38" s="728">
        <v>11.74</v>
      </c>
      <c r="J38" s="728">
        <v>30</v>
      </c>
      <c r="K38" s="729">
        <v>352.20000000000005</v>
      </c>
    </row>
    <row r="39" spans="1:11" ht="14.4" customHeight="1" x14ac:dyDescent="0.3">
      <c r="A39" s="724" t="s">
        <v>552</v>
      </c>
      <c r="B39" s="725" t="s">
        <v>1679</v>
      </c>
      <c r="C39" s="726" t="s">
        <v>558</v>
      </c>
      <c r="D39" s="727" t="s">
        <v>559</v>
      </c>
      <c r="E39" s="726" t="s">
        <v>2944</v>
      </c>
      <c r="F39" s="727" t="s">
        <v>2945</v>
      </c>
      <c r="G39" s="726" t="s">
        <v>2166</v>
      </c>
      <c r="H39" s="726" t="s">
        <v>2167</v>
      </c>
      <c r="I39" s="728">
        <v>13.199999999999998</v>
      </c>
      <c r="J39" s="728">
        <v>80</v>
      </c>
      <c r="K39" s="729">
        <v>1056</v>
      </c>
    </row>
    <row r="40" spans="1:11" ht="14.4" customHeight="1" x14ac:dyDescent="0.3">
      <c r="A40" s="724" t="s">
        <v>552</v>
      </c>
      <c r="B40" s="725" t="s">
        <v>1679</v>
      </c>
      <c r="C40" s="726" t="s">
        <v>558</v>
      </c>
      <c r="D40" s="727" t="s">
        <v>559</v>
      </c>
      <c r="E40" s="726" t="s">
        <v>2944</v>
      </c>
      <c r="F40" s="727" t="s">
        <v>2945</v>
      </c>
      <c r="G40" s="726" t="s">
        <v>2168</v>
      </c>
      <c r="H40" s="726" t="s">
        <v>2169</v>
      </c>
      <c r="I40" s="728">
        <v>1.27</v>
      </c>
      <c r="J40" s="728">
        <v>75</v>
      </c>
      <c r="K40" s="729">
        <v>95.25</v>
      </c>
    </row>
    <row r="41" spans="1:11" ht="14.4" customHeight="1" x14ac:dyDescent="0.3">
      <c r="A41" s="724" t="s">
        <v>552</v>
      </c>
      <c r="B41" s="725" t="s">
        <v>1679</v>
      </c>
      <c r="C41" s="726" t="s">
        <v>558</v>
      </c>
      <c r="D41" s="727" t="s">
        <v>559</v>
      </c>
      <c r="E41" s="726" t="s">
        <v>2944</v>
      </c>
      <c r="F41" s="727" t="s">
        <v>2945</v>
      </c>
      <c r="G41" s="726" t="s">
        <v>2170</v>
      </c>
      <c r="H41" s="726" t="s">
        <v>2171</v>
      </c>
      <c r="I41" s="728">
        <v>21.23</v>
      </c>
      <c r="J41" s="728">
        <v>10</v>
      </c>
      <c r="K41" s="729">
        <v>212.3</v>
      </c>
    </row>
    <row r="42" spans="1:11" ht="14.4" customHeight="1" x14ac:dyDescent="0.3">
      <c r="A42" s="724" t="s">
        <v>552</v>
      </c>
      <c r="B42" s="725" t="s">
        <v>1679</v>
      </c>
      <c r="C42" s="726" t="s">
        <v>558</v>
      </c>
      <c r="D42" s="727" t="s">
        <v>559</v>
      </c>
      <c r="E42" s="726" t="s">
        <v>2944</v>
      </c>
      <c r="F42" s="727" t="s">
        <v>2945</v>
      </c>
      <c r="G42" s="726" t="s">
        <v>2172</v>
      </c>
      <c r="H42" s="726" t="s">
        <v>2173</v>
      </c>
      <c r="I42" s="728">
        <v>21.24</v>
      </c>
      <c r="J42" s="728">
        <v>10</v>
      </c>
      <c r="K42" s="729">
        <v>212.4</v>
      </c>
    </row>
    <row r="43" spans="1:11" ht="14.4" customHeight="1" x14ac:dyDescent="0.3">
      <c r="A43" s="724" t="s">
        <v>552</v>
      </c>
      <c r="B43" s="725" t="s">
        <v>1679</v>
      </c>
      <c r="C43" s="726" t="s">
        <v>558</v>
      </c>
      <c r="D43" s="727" t="s">
        <v>559</v>
      </c>
      <c r="E43" s="726" t="s">
        <v>2944</v>
      </c>
      <c r="F43" s="727" t="s">
        <v>2945</v>
      </c>
      <c r="G43" s="726" t="s">
        <v>2174</v>
      </c>
      <c r="H43" s="726" t="s">
        <v>2175</v>
      </c>
      <c r="I43" s="728">
        <v>0.47</v>
      </c>
      <c r="J43" s="728">
        <v>400</v>
      </c>
      <c r="K43" s="729">
        <v>188</v>
      </c>
    </row>
    <row r="44" spans="1:11" ht="14.4" customHeight="1" x14ac:dyDescent="0.3">
      <c r="A44" s="724" t="s">
        <v>552</v>
      </c>
      <c r="B44" s="725" t="s">
        <v>1679</v>
      </c>
      <c r="C44" s="726" t="s">
        <v>558</v>
      </c>
      <c r="D44" s="727" t="s">
        <v>559</v>
      </c>
      <c r="E44" s="726" t="s">
        <v>2944</v>
      </c>
      <c r="F44" s="727" t="s">
        <v>2945</v>
      </c>
      <c r="G44" s="726" t="s">
        <v>2176</v>
      </c>
      <c r="H44" s="726" t="s">
        <v>2177</v>
      </c>
      <c r="I44" s="728">
        <v>2.29</v>
      </c>
      <c r="J44" s="728">
        <v>50</v>
      </c>
      <c r="K44" s="729">
        <v>114.5</v>
      </c>
    </row>
    <row r="45" spans="1:11" ht="14.4" customHeight="1" x14ac:dyDescent="0.3">
      <c r="A45" s="724" t="s">
        <v>552</v>
      </c>
      <c r="B45" s="725" t="s">
        <v>1679</v>
      </c>
      <c r="C45" s="726" t="s">
        <v>558</v>
      </c>
      <c r="D45" s="727" t="s">
        <v>559</v>
      </c>
      <c r="E45" s="726" t="s">
        <v>2944</v>
      </c>
      <c r="F45" s="727" t="s">
        <v>2945</v>
      </c>
      <c r="G45" s="726" t="s">
        <v>2178</v>
      </c>
      <c r="H45" s="726" t="s">
        <v>2179</v>
      </c>
      <c r="I45" s="728">
        <v>9.1999999999999993</v>
      </c>
      <c r="J45" s="728">
        <v>50</v>
      </c>
      <c r="K45" s="729">
        <v>460</v>
      </c>
    </row>
    <row r="46" spans="1:11" ht="14.4" customHeight="1" x14ac:dyDescent="0.3">
      <c r="A46" s="724" t="s">
        <v>552</v>
      </c>
      <c r="B46" s="725" t="s">
        <v>1679</v>
      </c>
      <c r="C46" s="726" t="s">
        <v>558</v>
      </c>
      <c r="D46" s="727" t="s">
        <v>559</v>
      </c>
      <c r="E46" s="726" t="s">
        <v>2944</v>
      </c>
      <c r="F46" s="727" t="s">
        <v>2945</v>
      </c>
      <c r="G46" s="726" t="s">
        <v>2180</v>
      </c>
      <c r="H46" s="726" t="s">
        <v>2181</v>
      </c>
      <c r="I46" s="728">
        <v>172.5</v>
      </c>
      <c r="J46" s="728">
        <v>1</v>
      </c>
      <c r="K46" s="729">
        <v>172.5</v>
      </c>
    </row>
    <row r="47" spans="1:11" ht="14.4" customHeight="1" x14ac:dyDescent="0.3">
      <c r="A47" s="724" t="s">
        <v>552</v>
      </c>
      <c r="B47" s="725" t="s">
        <v>1679</v>
      </c>
      <c r="C47" s="726" t="s">
        <v>558</v>
      </c>
      <c r="D47" s="727" t="s">
        <v>559</v>
      </c>
      <c r="E47" s="726" t="s">
        <v>2944</v>
      </c>
      <c r="F47" s="727" t="s">
        <v>2945</v>
      </c>
      <c r="G47" s="726" t="s">
        <v>2182</v>
      </c>
      <c r="H47" s="726" t="s">
        <v>2183</v>
      </c>
      <c r="I47" s="728">
        <v>5</v>
      </c>
      <c r="J47" s="728">
        <v>100</v>
      </c>
      <c r="K47" s="729">
        <v>500</v>
      </c>
    </row>
    <row r="48" spans="1:11" ht="14.4" customHeight="1" x14ac:dyDescent="0.3">
      <c r="A48" s="724" t="s">
        <v>552</v>
      </c>
      <c r="B48" s="725" t="s">
        <v>1679</v>
      </c>
      <c r="C48" s="726" t="s">
        <v>558</v>
      </c>
      <c r="D48" s="727" t="s">
        <v>559</v>
      </c>
      <c r="E48" s="726" t="s">
        <v>2944</v>
      </c>
      <c r="F48" s="727" t="s">
        <v>2945</v>
      </c>
      <c r="G48" s="726" t="s">
        <v>2184</v>
      </c>
      <c r="H48" s="726" t="s">
        <v>2185</v>
      </c>
      <c r="I48" s="728">
        <v>15.36</v>
      </c>
      <c r="J48" s="728">
        <v>2</v>
      </c>
      <c r="K48" s="729">
        <v>30.72</v>
      </c>
    </row>
    <row r="49" spans="1:11" ht="14.4" customHeight="1" x14ac:dyDescent="0.3">
      <c r="A49" s="724" t="s">
        <v>552</v>
      </c>
      <c r="B49" s="725" t="s">
        <v>1679</v>
      </c>
      <c r="C49" s="726" t="s">
        <v>558</v>
      </c>
      <c r="D49" s="727" t="s">
        <v>559</v>
      </c>
      <c r="E49" s="726" t="s">
        <v>2944</v>
      </c>
      <c r="F49" s="727" t="s">
        <v>2945</v>
      </c>
      <c r="G49" s="726" t="s">
        <v>2186</v>
      </c>
      <c r="H49" s="726" t="s">
        <v>2187</v>
      </c>
      <c r="I49" s="728">
        <v>3.42</v>
      </c>
      <c r="J49" s="728">
        <v>40</v>
      </c>
      <c r="K49" s="729">
        <v>136.80000000000001</v>
      </c>
    </row>
    <row r="50" spans="1:11" ht="14.4" customHeight="1" x14ac:dyDescent="0.3">
      <c r="A50" s="724" t="s">
        <v>552</v>
      </c>
      <c r="B50" s="725" t="s">
        <v>1679</v>
      </c>
      <c r="C50" s="726" t="s">
        <v>558</v>
      </c>
      <c r="D50" s="727" t="s">
        <v>559</v>
      </c>
      <c r="E50" s="726" t="s">
        <v>2944</v>
      </c>
      <c r="F50" s="727" t="s">
        <v>2945</v>
      </c>
      <c r="G50" s="726" t="s">
        <v>2188</v>
      </c>
      <c r="H50" s="726" t="s">
        <v>2189</v>
      </c>
      <c r="I50" s="728">
        <v>9.68</v>
      </c>
      <c r="J50" s="728">
        <v>100</v>
      </c>
      <c r="K50" s="729">
        <v>968</v>
      </c>
    </row>
    <row r="51" spans="1:11" ht="14.4" customHeight="1" x14ac:dyDescent="0.3">
      <c r="A51" s="724" t="s">
        <v>552</v>
      </c>
      <c r="B51" s="725" t="s">
        <v>1679</v>
      </c>
      <c r="C51" s="726" t="s">
        <v>558</v>
      </c>
      <c r="D51" s="727" t="s">
        <v>559</v>
      </c>
      <c r="E51" s="726" t="s">
        <v>2946</v>
      </c>
      <c r="F51" s="727" t="s">
        <v>2947</v>
      </c>
      <c r="G51" s="726" t="s">
        <v>2190</v>
      </c>
      <c r="H51" s="726" t="s">
        <v>2191</v>
      </c>
      <c r="I51" s="728">
        <v>9.5300000000000011</v>
      </c>
      <c r="J51" s="728">
        <v>200</v>
      </c>
      <c r="K51" s="729">
        <v>1906</v>
      </c>
    </row>
    <row r="52" spans="1:11" ht="14.4" customHeight="1" x14ac:dyDescent="0.3">
      <c r="A52" s="724" t="s">
        <v>552</v>
      </c>
      <c r="B52" s="725" t="s">
        <v>1679</v>
      </c>
      <c r="C52" s="726" t="s">
        <v>558</v>
      </c>
      <c r="D52" s="727" t="s">
        <v>559</v>
      </c>
      <c r="E52" s="726" t="s">
        <v>2948</v>
      </c>
      <c r="F52" s="727" t="s">
        <v>2949</v>
      </c>
      <c r="G52" s="726" t="s">
        <v>2192</v>
      </c>
      <c r="H52" s="726" t="s">
        <v>2193</v>
      </c>
      <c r="I52" s="728">
        <v>0.3</v>
      </c>
      <c r="J52" s="728">
        <v>600</v>
      </c>
      <c r="K52" s="729">
        <v>180</v>
      </c>
    </row>
    <row r="53" spans="1:11" ht="14.4" customHeight="1" x14ac:dyDescent="0.3">
      <c r="A53" s="724" t="s">
        <v>552</v>
      </c>
      <c r="B53" s="725" t="s">
        <v>1679</v>
      </c>
      <c r="C53" s="726" t="s">
        <v>558</v>
      </c>
      <c r="D53" s="727" t="s">
        <v>559</v>
      </c>
      <c r="E53" s="726" t="s">
        <v>2948</v>
      </c>
      <c r="F53" s="727" t="s">
        <v>2949</v>
      </c>
      <c r="G53" s="726" t="s">
        <v>2194</v>
      </c>
      <c r="H53" s="726" t="s">
        <v>2195</v>
      </c>
      <c r="I53" s="728">
        <v>0.3</v>
      </c>
      <c r="J53" s="728">
        <v>300</v>
      </c>
      <c r="K53" s="729">
        <v>90</v>
      </c>
    </row>
    <row r="54" spans="1:11" ht="14.4" customHeight="1" x14ac:dyDescent="0.3">
      <c r="A54" s="724" t="s">
        <v>552</v>
      </c>
      <c r="B54" s="725" t="s">
        <v>1679</v>
      </c>
      <c r="C54" s="726" t="s">
        <v>558</v>
      </c>
      <c r="D54" s="727" t="s">
        <v>559</v>
      </c>
      <c r="E54" s="726" t="s">
        <v>2948</v>
      </c>
      <c r="F54" s="727" t="s">
        <v>2949</v>
      </c>
      <c r="G54" s="726" t="s">
        <v>2196</v>
      </c>
      <c r="H54" s="726" t="s">
        <v>2197</v>
      </c>
      <c r="I54" s="728">
        <v>0.48499999999999999</v>
      </c>
      <c r="J54" s="728">
        <v>600</v>
      </c>
      <c r="K54" s="729">
        <v>291</v>
      </c>
    </row>
    <row r="55" spans="1:11" ht="14.4" customHeight="1" x14ac:dyDescent="0.3">
      <c r="A55" s="724" t="s">
        <v>552</v>
      </c>
      <c r="B55" s="725" t="s">
        <v>1679</v>
      </c>
      <c r="C55" s="726" t="s">
        <v>558</v>
      </c>
      <c r="D55" s="727" t="s">
        <v>559</v>
      </c>
      <c r="E55" s="726" t="s">
        <v>2948</v>
      </c>
      <c r="F55" s="727" t="s">
        <v>2949</v>
      </c>
      <c r="G55" s="726" t="s">
        <v>2198</v>
      </c>
      <c r="H55" s="726" t="s">
        <v>2199</v>
      </c>
      <c r="I55" s="728">
        <v>1.81</v>
      </c>
      <c r="J55" s="728">
        <v>100</v>
      </c>
      <c r="K55" s="729">
        <v>181</v>
      </c>
    </row>
    <row r="56" spans="1:11" ht="14.4" customHeight="1" x14ac:dyDescent="0.3">
      <c r="A56" s="724" t="s">
        <v>552</v>
      </c>
      <c r="B56" s="725" t="s">
        <v>1679</v>
      </c>
      <c r="C56" s="726" t="s">
        <v>558</v>
      </c>
      <c r="D56" s="727" t="s">
        <v>559</v>
      </c>
      <c r="E56" s="726" t="s">
        <v>2950</v>
      </c>
      <c r="F56" s="727" t="s">
        <v>2951</v>
      </c>
      <c r="G56" s="726" t="s">
        <v>2200</v>
      </c>
      <c r="H56" s="726" t="s">
        <v>2201</v>
      </c>
      <c r="I56" s="728">
        <v>0.69</v>
      </c>
      <c r="J56" s="728">
        <v>1600</v>
      </c>
      <c r="K56" s="729">
        <v>1104</v>
      </c>
    </row>
    <row r="57" spans="1:11" ht="14.4" customHeight="1" x14ac:dyDescent="0.3">
      <c r="A57" s="724" t="s">
        <v>552</v>
      </c>
      <c r="B57" s="725" t="s">
        <v>1679</v>
      </c>
      <c r="C57" s="726" t="s">
        <v>558</v>
      </c>
      <c r="D57" s="727" t="s">
        <v>559</v>
      </c>
      <c r="E57" s="726" t="s">
        <v>2950</v>
      </c>
      <c r="F57" s="727" t="s">
        <v>2951</v>
      </c>
      <c r="G57" s="726" t="s">
        <v>2202</v>
      </c>
      <c r="H57" s="726" t="s">
        <v>2203</v>
      </c>
      <c r="I57" s="728">
        <v>0.69</v>
      </c>
      <c r="J57" s="728">
        <v>3000</v>
      </c>
      <c r="K57" s="729">
        <v>2070</v>
      </c>
    </row>
    <row r="58" spans="1:11" ht="14.4" customHeight="1" x14ac:dyDescent="0.3">
      <c r="A58" s="724" t="s">
        <v>552</v>
      </c>
      <c r="B58" s="725" t="s">
        <v>1679</v>
      </c>
      <c r="C58" s="726" t="s">
        <v>558</v>
      </c>
      <c r="D58" s="727" t="s">
        <v>559</v>
      </c>
      <c r="E58" s="726" t="s">
        <v>2950</v>
      </c>
      <c r="F58" s="727" t="s">
        <v>2951</v>
      </c>
      <c r="G58" s="726" t="s">
        <v>2204</v>
      </c>
      <c r="H58" s="726" t="s">
        <v>2205</v>
      </c>
      <c r="I58" s="728">
        <v>12.58</v>
      </c>
      <c r="J58" s="728">
        <v>20</v>
      </c>
      <c r="K58" s="729">
        <v>251.6</v>
      </c>
    </row>
    <row r="59" spans="1:11" ht="14.4" customHeight="1" x14ac:dyDescent="0.3">
      <c r="A59" s="724" t="s">
        <v>552</v>
      </c>
      <c r="B59" s="725" t="s">
        <v>1679</v>
      </c>
      <c r="C59" s="726" t="s">
        <v>558</v>
      </c>
      <c r="D59" s="727" t="s">
        <v>559</v>
      </c>
      <c r="E59" s="726" t="s">
        <v>2952</v>
      </c>
      <c r="F59" s="727" t="s">
        <v>2953</v>
      </c>
      <c r="G59" s="726" t="s">
        <v>2206</v>
      </c>
      <c r="H59" s="726" t="s">
        <v>2207</v>
      </c>
      <c r="I59" s="728">
        <v>36.369999999999997</v>
      </c>
      <c r="J59" s="728">
        <v>45</v>
      </c>
      <c r="K59" s="729">
        <v>1636.77</v>
      </c>
    </row>
    <row r="60" spans="1:11" ht="14.4" customHeight="1" x14ac:dyDescent="0.3">
      <c r="A60" s="724" t="s">
        <v>552</v>
      </c>
      <c r="B60" s="725" t="s">
        <v>1679</v>
      </c>
      <c r="C60" s="726" t="s">
        <v>563</v>
      </c>
      <c r="D60" s="727" t="s">
        <v>564</v>
      </c>
      <c r="E60" s="726" t="s">
        <v>2942</v>
      </c>
      <c r="F60" s="727" t="s">
        <v>2943</v>
      </c>
      <c r="G60" s="726" t="s">
        <v>2208</v>
      </c>
      <c r="H60" s="726" t="s">
        <v>2209</v>
      </c>
      <c r="I60" s="728">
        <v>3.56</v>
      </c>
      <c r="J60" s="728">
        <v>20</v>
      </c>
      <c r="K60" s="729">
        <v>71.2</v>
      </c>
    </row>
    <row r="61" spans="1:11" ht="14.4" customHeight="1" x14ac:dyDescent="0.3">
      <c r="A61" s="724" t="s">
        <v>552</v>
      </c>
      <c r="B61" s="725" t="s">
        <v>1679</v>
      </c>
      <c r="C61" s="726" t="s">
        <v>563</v>
      </c>
      <c r="D61" s="727" t="s">
        <v>564</v>
      </c>
      <c r="E61" s="726" t="s">
        <v>2942</v>
      </c>
      <c r="F61" s="727" t="s">
        <v>2943</v>
      </c>
      <c r="G61" s="726" t="s">
        <v>2104</v>
      </c>
      <c r="H61" s="726" t="s">
        <v>2105</v>
      </c>
      <c r="I61" s="728">
        <v>28.73</v>
      </c>
      <c r="J61" s="728">
        <v>10</v>
      </c>
      <c r="K61" s="729">
        <v>287.3</v>
      </c>
    </row>
    <row r="62" spans="1:11" ht="14.4" customHeight="1" x14ac:dyDescent="0.3">
      <c r="A62" s="724" t="s">
        <v>552</v>
      </c>
      <c r="B62" s="725" t="s">
        <v>1679</v>
      </c>
      <c r="C62" s="726" t="s">
        <v>563</v>
      </c>
      <c r="D62" s="727" t="s">
        <v>564</v>
      </c>
      <c r="E62" s="726" t="s">
        <v>2942</v>
      </c>
      <c r="F62" s="727" t="s">
        <v>2943</v>
      </c>
      <c r="G62" s="726" t="s">
        <v>2210</v>
      </c>
      <c r="H62" s="726" t="s">
        <v>2211</v>
      </c>
      <c r="I62" s="728">
        <v>46.32</v>
      </c>
      <c r="J62" s="728">
        <v>2</v>
      </c>
      <c r="K62" s="729">
        <v>92.64</v>
      </c>
    </row>
    <row r="63" spans="1:11" ht="14.4" customHeight="1" x14ac:dyDescent="0.3">
      <c r="A63" s="724" t="s">
        <v>552</v>
      </c>
      <c r="B63" s="725" t="s">
        <v>1679</v>
      </c>
      <c r="C63" s="726" t="s">
        <v>563</v>
      </c>
      <c r="D63" s="727" t="s">
        <v>564</v>
      </c>
      <c r="E63" s="726" t="s">
        <v>2942</v>
      </c>
      <c r="F63" s="727" t="s">
        <v>2943</v>
      </c>
      <c r="G63" s="726" t="s">
        <v>2106</v>
      </c>
      <c r="H63" s="726" t="s">
        <v>2107</v>
      </c>
      <c r="I63" s="728">
        <v>6.2399999999999993</v>
      </c>
      <c r="J63" s="728">
        <v>200</v>
      </c>
      <c r="K63" s="729">
        <v>1248</v>
      </c>
    </row>
    <row r="64" spans="1:11" ht="14.4" customHeight="1" x14ac:dyDescent="0.3">
      <c r="A64" s="724" t="s">
        <v>552</v>
      </c>
      <c r="B64" s="725" t="s">
        <v>1679</v>
      </c>
      <c r="C64" s="726" t="s">
        <v>563</v>
      </c>
      <c r="D64" s="727" t="s">
        <v>564</v>
      </c>
      <c r="E64" s="726" t="s">
        <v>2942</v>
      </c>
      <c r="F64" s="727" t="s">
        <v>2943</v>
      </c>
      <c r="G64" s="726" t="s">
        <v>2212</v>
      </c>
      <c r="H64" s="726" t="s">
        <v>2213</v>
      </c>
      <c r="I64" s="728">
        <v>30.17</v>
      </c>
      <c r="J64" s="728">
        <v>25</v>
      </c>
      <c r="K64" s="729">
        <v>754.25</v>
      </c>
    </row>
    <row r="65" spans="1:11" ht="14.4" customHeight="1" x14ac:dyDescent="0.3">
      <c r="A65" s="724" t="s">
        <v>552</v>
      </c>
      <c r="B65" s="725" t="s">
        <v>1679</v>
      </c>
      <c r="C65" s="726" t="s">
        <v>563</v>
      </c>
      <c r="D65" s="727" t="s">
        <v>564</v>
      </c>
      <c r="E65" s="726" t="s">
        <v>2942</v>
      </c>
      <c r="F65" s="727" t="s">
        <v>2943</v>
      </c>
      <c r="G65" s="726" t="s">
        <v>2108</v>
      </c>
      <c r="H65" s="726" t="s">
        <v>2109</v>
      </c>
      <c r="I65" s="728">
        <v>1.38</v>
      </c>
      <c r="J65" s="728">
        <v>100</v>
      </c>
      <c r="K65" s="729">
        <v>138</v>
      </c>
    </row>
    <row r="66" spans="1:11" ht="14.4" customHeight="1" x14ac:dyDescent="0.3">
      <c r="A66" s="724" t="s">
        <v>552</v>
      </c>
      <c r="B66" s="725" t="s">
        <v>1679</v>
      </c>
      <c r="C66" s="726" t="s">
        <v>563</v>
      </c>
      <c r="D66" s="727" t="s">
        <v>564</v>
      </c>
      <c r="E66" s="726" t="s">
        <v>2942</v>
      </c>
      <c r="F66" s="727" t="s">
        <v>2943</v>
      </c>
      <c r="G66" s="726" t="s">
        <v>2110</v>
      </c>
      <c r="H66" s="726" t="s">
        <v>2111</v>
      </c>
      <c r="I66" s="728">
        <v>0.67</v>
      </c>
      <c r="J66" s="728">
        <v>1000</v>
      </c>
      <c r="K66" s="729">
        <v>670</v>
      </c>
    </row>
    <row r="67" spans="1:11" ht="14.4" customHeight="1" x14ac:dyDescent="0.3">
      <c r="A67" s="724" t="s">
        <v>552</v>
      </c>
      <c r="B67" s="725" t="s">
        <v>1679</v>
      </c>
      <c r="C67" s="726" t="s">
        <v>563</v>
      </c>
      <c r="D67" s="727" t="s">
        <v>564</v>
      </c>
      <c r="E67" s="726" t="s">
        <v>2942</v>
      </c>
      <c r="F67" s="727" t="s">
        <v>2943</v>
      </c>
      <c r="G67" s="726" t="s">
        <v>2214</v>
      </c>
      <c r="H67" s="726" t="s">
        <v>2215</v>
      </c>
      <c r="I67" s="728">
        <v>0.44</v>
      </c>
      <c r="J67" s="728">
        <v>1000</v>
      </c>
      <c r="K67" s="729">
        <v>440</v>
      </c>
    </row>
    <row r="68" spans="1:11" ht="14.4" customHeight="1" x14ac:dyDescent="0.3">
      <c r="A68" s="724" t="s">
        <v>552</v>
      </c>
      <c r="B68" s="725" t="s">
        <v>1679</v>
      </c>
      <c r="C68" s="726" t="s">
        <v>563</v>
      </c>
      <c r="D68" s="727" t="s">
        <v>564</v>
      </c>
      <c r="E68" s="726" t="s">
        <v>2942</v>
      </c>
      <c r="F68" s="727" t="s">
        <v>2943</v>
      </c>
      <c r="G68" s="726" t="s">
        <v>2112</v>
      </c>
      <c r="H68" s="726" t="s">
        <v>2113</v>
      </c>
      <c r="I68" s="728">
        <v>8.58</v>
      </c>
      <c r="J68" s="728">
        <v>24</v>
      </c>
      <c r="K68" s="729">
        <v>205.92</v>
      </c>
    </row>
    <row r="69" spans="1:11" ht="14.4" customHeight="1" x14ac:dyDescent="0.3">
      <c r="A69" s="724" t="s">
        <v>552</v>
      </c>
      <c r="B69" s="725" t="s">
        <v>1679</v>
      </c>
      <c r="C69" s="726" t="s">
        <v>563</v>
      </c>
      <c r="D69" s="727" t="s">
        <v>564</v>
      </c>
      <c r="E69" s="726" t="s">
        <v>2942</v>
      </c>
      <c r="F69" s="727" t="s">
        <v>2943</v>
      </c>
      <c r="G69" s="726" t="s">
        <v>2114</v>
      </c>
      <c r="H69" s="726" t="s">
        <v>2115</v>
      </c>
      <c r="I69" s="728">
        <v>27.88</v>
      </c>
      <c r="J69" s="728">
        <v>6</v>
      </c>
      <c r="K69" s="729">
        <v>167.28</v>
      </c>
    </row>
    <row r="70" spans="1:11" ht="14.4" customHeight="1" x14ac:dyDescent="0.3">
      <c r="A70" s="724" t="s">
        <v>552</v>
      </c>
      <c r="B70" s="725" t="s">
        <v>1679</v>
      </c>
      <c r="C70" s="726" t="s">
        <v>563</v>
      </c>
      <c r="D70" s="727" t="s">
        <v>564</v>
      </c>
      <c r="E70" s="726" t="s">
        <v>2942</v>
      </c>
      <c r="F70" s="727" t="s">
        <v>2943</v>
      </c>
      <c r="G70" s="726" t="s">
        <v>2116</v>
      </c>
      <c r="H70" s="726" t="s">
        <v>2117</v>
      </c>
      <c r="I70" s="728">
        <v>1.29</v>
      </c>
      <c r="J70" s="728">
        <v>1500</v>
      </c>
      <c r="K70" s="729">
        <v>1935</v>
      </c>
    </row>
    <row r="71" spans="1:11" ht="14.4" customHeight="1" x14ac:dyDescent="0.3">
      <c r="A71" s="724" t="s">
        <v>552</v>
      </c>
      <c r="B71" s="725" t="s">
        <v>1679</v>
      </c>
      <c r="C71" s="726" t="s">
        <v>563</v>
      </c>
      <c r="D71" s="727" t="s">
        <v>564</v>
      </c>
      <c r="E71" s="726" t="s">
        <v>2942</v>
      </c>
      <c r="F71" s="727" t="s">
        <v>2943</v>
      </c>
      <c r="G71" s="726" t="s">
        <v>2216</v>
      </c>
      <c r="H71" s="726" t="s">
        <v>2217</v>
      </c>
      <c r="I71" s="728">
        <v>0.98</v>
      </c>
      <c r="J71" s="728">
        <v>500</v>
      </c>
      <c r="K71" s="729">
        <v>490</v>
      </c>
    </row>
    <row r="72" spans="1:11" ht="14.4" customHeight="1" x14ac:dyDescent="0.3">
      <c r="A72" s="724" t="s">
        <v>552</v>
      </c>
      <c r="B72" s="725" t="s">
        <v>1679</v>
      </c>
      <c r="C72" s="726" t="s">
        <v>563</v>
      </c>
      <c r="D72" s="727" t="s">
        <v>564</v>
      </c>
      <c r="E72" s="726" t="s">
        <v>2942</v>
      </c>
      <c r="F72" s="727" t="s">
        <v>2943</v>
      </c>
      <c r="G72" s="726" t="s">
        <v>2218</v>
      </c>
      <c r="H72" s="726" t="s">
        <v>2219</v>
      </c>
      <c r="I72" s="728">
        <v>123.19</v>
      </c>
      <c r="J72" s="728">
        <v>10</v>
      </c>
      <c r="K72" s="729">
        <v>1231.8800000000001</v>
      </c>
    </row>
    <row r="73" spans="1:11" ht="14.4" customHeight="1" x14ac:dyDescent="0.3">
      <c r="A73" s="724" t="s">
        <v>552</v>
      </c>
      <c r="B73" s="725" t="s">
        <v>1679</v>
      </c>
      <c r="C73" s="726" t="s">
        <v>563</v>
      </c>
      <c r="D73" s="727" t="s">
        <v>564</v>
      </c>
      <c r="E73" s="726" t="s">
        <v>2942</v>
      </c>
      <c r="F73" s="727" t="s">
        <v>2943</v>
      </c>
      <c r="G73" s="726" t="s">
        <v>2118</v>
      </c>
      <c r="H73" s="726" t="s">
        <v>2119</v>
      </c>
      <c r="I73" s="728">
        <v>7.5100000000000007</v>
      </c>
      <c r="J73" s="728">
        <v>48</v>
      </c>
      <c r="K73" s="729">
        <v>360.48</v>
      </c>
    </row>
    <row r="74" spans="1:11" ht="14.4" customHeight="1" x14ac:dyDescent="0.3">
      <c r="A74" s="724" t="s">
        <v>552</v>
      </c>
      <c r="B74" s="725" t="s">
        <v>1679</v>
      </c>
      <c r="C74" s="726" t="s">
        <v>563</v>
      </c>
      <c r="D74" s="727" t="s">
        <v>564</v>
      </c>
      <c r="E74" s="726" t="s">
        <v>2942</v>
      </c>
      <c r="F74" s="727" t="s">
        <v>2943</v>
      </c>
      <c r="G74" s="726" t="s">
        <v>2220</v>
      </c>
      <c r="H74" s="726" t="s">
        <v>2221</v>
      </c>
      <c r="I74" s="728">
        <v>0.85</v>
      </c>
      <c r="J74" s="728">
        <v>100</v>
      </c>
      <c r="K74" s="729">
        <v>85</v>
      </c>
    </row>
    <row r="75" spans="1:11" ht="14.4" customHeight="1" x14ac:dyDescent="0.3">
      <c r="A75" s="724" t="s">
        <v>552</v>
      </c>
      <c r="B75" s="725" t="s">
        <v>1679</v>
      </c>
      <c r="C75" s="726" t="s">
        <v>563</v>
      </c>
      <c r="D75" s="727" t="s">
        <v>564</v>
      </c>
      <c r="E75" s="726" t="s">
        <v>2942</v>
      </c>
      <c r="F75" s="727" t="s">
        <v>2943</v>
      </c>
      <c r="G75" s="726" t="s">
        <v>2122</v>
      </c>
      <c r="H75" s="726" t="s">
        <v>2123</v>
      </c>
      <c r="I75" s="728">
        <v>2.06</v>
      </c>
      <c r="J75" s="728">
        <v>100</v>
      </c>
      <c r="K75" s="729">
        <v>206</v>
      </c>
    </row>
    <row r="76" spans="1:11" ht="14.4" customHeight="1" x14ac:dyDescent="0.3">
      <c r="A76" s="724" t="s">
        <v>552</v>
      </c>
      <c r="B76" s="725" t="s">
        <v>1679</v>
      </c>
      <c r="C76" s="726" t="s">
        <v>563</v>
      </c>
      <c r="D76" s="727" t="s">
        <v>564</v>
      </c>
      <c r="E76" s="726" t="s">
        <v>2942</v>
      </c>
      <c r="F76" s="727" t="s">
        <v>2943</v>
      </c>
      <c r="G76" s="726" t="s">
        <v>2124</v>
      </c>
      <c r="H76" s="726" t="s">
        <v>2125</v>
      </c>
      <c r="I76" s="728">
        <v>3.36</v>
      </c>
      <c r="J76" s="728">
        <v>100</v>
      </c>
      <c r="K76" s="729">
        <v>336</v>
      </c>
    </row>
    <row r="77" spans="1:11" ht="14.4" customHeight="1" x14ac:dyDescent="0.3">
      <c r="A77" s="724" t="s">
        <v>552</v>
      </c>
      <c r="B77" s="725" t="s">
        <v>1679</v>
      </c>
      <c r="C77" s="726" t="s">
        <v>563</v>
      </c>
      <c r="D77" s="727" t="s">
        <v>564</v>
      </c>
      <c r="E77" s="726" t="s">
        <v>2942</v>
      </c>
      <c r="F77" s="727" t="s">
        <v>2943</v>
      </c>
      <c r="G77" s="726" t="s">
        <v>2222</v>
      </c>
      <c r="H77" s="726" t="s">
        <v>2223</v>
      </c>
      <c r="I77" s="728">
        <v>13.23</v>
      </c>
      <c r="J77" s="728">
        <v>70</v>
      </c>
      <c r="K77" s="729">
        <v>926.1</v>
      </c>
    </row>
    <row r="78" spans="1:11" ht="14.4" customHeight="1" x14ac:dyDescent="0.3">
      <c r="A78" s="724" t="s">
        <v>552</v>
      </c>
      <c r="B78" s="725" t="s">
        <v>1679</v>
      </c>
      <c r="C78" s="726" t="s">
        <v>563</v>
      </c>
      <c r="D78" s="727" t="s">
        <v>564</v>
      </c>
      <c r="E78" s="726" t="s">
        <v>2942</v>
      </c>
      <c r="F78" s="727" t="s">
        <v>2943</v>
      </c>
      <c r="G78" s="726" t="s">
        <v>2132</v>
      </c>
      <c r="H78" s="726" t="s">
        <v>2133</v>
      </c>
      <c r="I78" s="728">
        <v>111.55</v>
      </c>
      <c r="J78" s="728">
        <v>2</v>
      </c>
      <c r="K78" s="729">
        <v>223.1</v>
      </c>
    </row>
    <row r="79" spans="1:11" ht="14.4" customHeight="1" x14ac:dyDescent="0.3">
      <c r="A79" s="724" t="s">
        <v>552</v>
      </c>
      <c r="B79" s="725" t="s">
        <v>1679</v>
      </c>
      <c r="C79" s="726" t="s">
        <v>563</v>
      </c>
      <c r="D79" s="727" t="s">
        <v>564</v>
      </c>
      <c r="E79" s="726" t="s">
        <v>2944</v>
      </c>
      <c r="F79" s="727" t="s">
        <v>2945</v>
      </c>
      <c r="G79" s="726" t="s">
        <v>2224</v>
      </c>
      <c r="H79" s="726" t="s">
        <v>2225</v>
      </c>
      <c r="I79" s="728">
        <v>268.62</v>
      </c>
      <c r="J79" s="728">
        <v>11</v>
      </c>
      <c r="K79" s="729">
        <v>2954.82</v>
      </c>
    </row>
    <row r="80" spans="1:11" ht="14.4" customHeight="1" x14ac:dyDescent="0.3">
      <c r="A80" s="724" t="s">
        <v>552</v>
      </c>
      <c r="B80" s="725" t="s">
        <v>1679</v>
      </c>
      <c r="C80" s="726" t="s">
        <v>563</v>
      </c>
      <c r="D80" s="727" t="s">
        <v>564</v>
      </c>
      <c r="E80" s="726" t="s">
        <v>2944</v>
      </c>
      <c r="F80" s="727" t="s">
        <v>2945</v>
      </c>
      <c r="G80" s="726" t="s">
        <v>2226</v>
      </c>
      <c r="H80" s="726" t="s">
        <v>2227</v>
      </c>
      <c r="I80" s="728">
        <v>2.83</v>
      </c>
      <c r="J80" s="728">
        <v>5</v>
      </c>
      <c r="K80" s="729">
        <v>14.15</v>
      </c>
    </row>
    <row r="81" spans="1:11" ht="14.4" customHeight="1" x14ac:dyDescent="0.3">
      <c r="A81" s="724" t="s">
        <v>552</v>
      </c>
      <c r="B81" s="725" t="s">
        <v>1679</v>
      </c>
      <c r="C81" s="726" t="s">
        <v>563</v>
      </c>
      <c r="D81" s="727" t="s">
        <v>564</v>
      </c>
      <c r="E81" s="726" t="s">
        <v>2944</v>
      </c>
      <c r="F81" s="727" t="s">
        <v>2945</v>
      </c>
      <c r="G81" s="726" t="s">
        <v>2228</v>
      </c>
      <c r="H81" s="726" t="s">
        <v>2229</v>
      </c>
      <c r="I81" s="728">
        <v>11.145</v>
      </c>
      <c r="J81" s="728">
        <v>100</v>
      </c>
      <c r="K81" s="729">
        <v>1114.5</v>
      </c>
    </row>
    <row r="82" spans="1:11" ht="14.4" customHeight="1" x14ac:dyDescent="0.3">
      <c r="A82" s="724" t="s">
        <v>552</v>
      </c>
      <c r="B82" s="725" t="s">
        <v>1679</v>
      </c>
      <c r="C82" s="726" t="s">
        <v>563</v>
      </c>
      <c r="D82" s="727" t="s">
        <v>564</v>
      </c>
      <c r="E82" s="726" t="s">
        <v>2944</v>
      </c>
      <c r="F82" s="727" t="s">
        <v>2945</v>
      </c>
      <c r="G82" s="726" t="s">
        <v>2136</v>
      </c>
      <c r="H82" s="726" t="s">
        <v>2137</v>
      </c>
      <c r="I82" s="728">
        <v>1.0900000000000001</v>
      </c>
      <c r="J82" s="728">
        <v>500</v>
      </c>
      <c r="K82" s="729">
        <v>545</v>
      </c>
    </row>
    <row r="83" spans="1:11" ht="14.4" customHeight="1" x14ac:dyDescent="0.3">
      <c r="A83" s="724" t="s">
        <v>552</v>
      </c>
      <c r="B83" s="725" t="s">
        <v>1679</v>
      </c>
      <c r="C83" s="726" t="s">
        <v>563</v>
      </c>
      <c r="D83" s="727" t="s">
        <v>564</v>
      </c>
      <c r="E83" s="726" t="s">
        <v>2944</v>
      </c>
      <c r="F83" s="727" t="s">
        <v>2945</v>
      </c>
      <c r="G83" s="726" t="s">
        <v>2138</v>
      </c>
      <c r="H83" s="726" t="s">
        <v>2139</v>
      </c>
      <c r="I83" s="728">
        <v>1.67</v>
      </c>
      <c r="J83" s="728">
        <v>200</v>
      </c>
      <c r="K83" s="729">
        <v>334</v>
      </c>
    </row>
    <row r="84" spans="1:11" ht="14.4" customHeight="1" x14ac:dyDescent="0.3">
      <c r="A84" s="724" t="s">
        <v>552</v>
      </c>
      <c r="B84" s="725" t="s">
        <v>1679</v>
      </c>
      <c r="C84" s="726" t="s">
        <v>563</v>
      </c>
      <c r="D84" s="727" t="s">
        <v>564</v>
      </c>
      <c r="E84" s="726" t="s">
        <v>2944</v>
      </c>
      <c r="F84" s="727" t="s">
        <v>2945</v>
      </c>
      <c r="G84" s="726" t="s">
        <v>2140</v>
      </c>
      <c r="H84" s="726" t="s">
        <v>2141</v>
      </c>
      <c r="I84" s="728">
        <v>0.48</v>
      </c>
      <c r="J84" s="728">
        <v>600</v>
      </c>
      <c r="K84" s="729">
        <v>288</v>
      </c>
    </row>
    <row r="85" spans="1:11" ht="14.4" customHeight="1" x14ac:dyDescent="0.3">
      <c r="A85" s="724" t="s">
        <v>552</v>
      </c>
      <c r="B85" s="725" t="s">
        <v>1679</v>
      </c>
      <c r="C85" s="726" t="s">
        <v>563</v>
      </c>
      <c r="D85" s="727" t="s">
        <v>564</v>
      </c>
      <c r="E85" s="726" t="s">
        <v>2944</v>
      </c>
      <c r="F85" s="727" t="s">
        <v>2945</v>
      </c>
      <c r="G85" s="726" t="s">
        <v>2142</v>
      </c>
      <c r="H85" s="726" t="s">
        <v>2143</v>
      </c>
      <c r="I85" s="728">
        <v>0.67</v>
      </c>
      <c r="J85" s="728">
        <v>100</v>
      </c>
      <c r="K85" s="729">
        <v>67</v>
      </c>
    </row>
    <row r="86" spans="1:11" ht="14.4" customHeight="1" x14ac:dyDescent="0.3">
      <c r="A86" s="724" t="s">
        <v>552</v>
      </c>
      <c r="B86" s="725" t="s">
        <v>1679</v>
      </c>
      <c r="C86" s="726" t="s">
        <v>563</v>
      </c>
      <c r="D86" s="727" t="s">
        <v>564</v>
      </c>
      <c r="E86" s="726" t="s">
        <v>2944</v>
      </c>
      <c r="F86" s="727" t="s">
        <v>2945</v>
      </c>
      <c r="G86" s="726" t="s">
        <v>2230</v>
      </c>
      <c r="H86" s="726" t="s">
        <v>2231</v>
      </c>
      <c r="I86" s="728">
        <v>6.29</v>
      </c>
      <c r="J86" s="728">
        <v>30</v>
      </c>
      <c r="K86" s="729">
        <v>188.7</v>
      </c>
    </row>
    <row r="87" spans="1:11" ht="14.4" customHeight="1" x14ac:dyDescent="0.3">
      <c r="A87" s="724" t="s">
        <v>552</v>
      </c>
      <c r="B87" s="725" t="s">
        <v>1679</v>
      </c>
      <c r="C87" s="726" t="s">
        <v>563</v>
      </c>
      <c r="D87" s="727" t="s">
        <v>564</v>
      </c>
      <c r="E87" s="726" t="s">
        <v>2944</v>
      </c>
      <c r="F87" s="727" t="s">
        <v>2945</v>
      </c>
      <c r="G87" s="726" t="s">
        <v>2232</v>
      </c>
      <c r="H87" s="726" t="s">
        <v>2233</v>
      </c>
      <c r="I87" s="728">
        <v>2.1800000000000002</v>
      </c>
      <c r="J87" s="728">
        <v>200</v>
      </c>
      <c r="K87" s="729">
        <v>435.48</v>
      </c>
    </row>
    <row r="88" spans="1:11" ht="14.4" customHeight="1" x14ac:dyDescent="0.3">
      <c r="A88" s="724" t="s">
        <v>552</v>
      </c>
      <c r="B88" s="725" t="s">
        <v>1679</v>
      </c>
      <c r="C88" s="726" t="s">
        <v>563</v>
      </c>
      <c r="D88" s="727" t="s">
        <v>564</v>
      </c>
      <c r="E88" s="726" t="s">
        <v>2944</v>
      </c>
      <c r="F88" s="727" t="s">
        <v>2945</v>
      </c>
      <c r="G88" s="726" t="s">
        <v>2144</v>
      </c>
      <c r="H88" s="726" t="s">
        <v>2145</v>
      </c>
      <c r="I88" s="728">
        <v>6.169999999999999</v>
      </c>
      <c r="J88" s="728">
        <v>70</v>
      </c>
      <c r="K88" s="729">
        <v>431.9</v>
      </c>
    </row>
    <row r="89" spans="1:11" ht="14.4" customHeight="1" x14ac:dyDescent="0.3">
      <c r="A89" s="724" t="s">
        <v>552</v>
      </c>
      <c r="B89" s="725" t="s">
        <v>1679</v>
      </c>
      <c r="C89" s="726" t="s">
        <v>563</v>
      </c>
      <c r="D89" s="727" t="s">
        <v>564</v>
      </c>
      <c r="E89" s="726" t="s">
        <v>2944</v>
      </c>
      <c r="F89" s="727" t="s">
        <v>2945</v>
      </c>
      <c r="G89" s="726" t="s">
        <v>2146</v>
      </c>
      <c r="H89" s="726" t="s">
        <v>2147</v>
      </c>
      <c r="I89" s="728">
        <v>1.98</v>
      </c>
      <c r="J89" s="728">
        <v>50</v>
      </c>
      <c r="K89" s="729">
        <v>99</v>
      </c>
    </row>
    <row r="90" spans="1:11" ht="14.4" customHeight="1" x14ac:dyDescent="0.3">
      <c r="A90" s="724" t="s">
        <v>552</v>
      </c>
      <c r="B90" s="725" t="s">
        <v>1679</v>
      </c>
      <c r="C90" s="726" t="s">
        <v>563</v>
      </c>
      <c r="D90" s="727" t="s">
        <v>564</v>
      </c>
      <c r="E90" s="726" t="s">
        <v>2944</v>
      </c>
      <c r="F90" s="727" t="s">
        <v>2945</v>
      </c>
      <c r="G90" s="726" t="s">
        <v>2148</v>
      </c>
      <c r="H90" s="726" t="s">
        <v>2149</v>
      </c>
      <c r="I90" s="728">
        <v>2.04</v>
      </c>
      <c r="J90" s="728">
        <v>50</v>
      </c>
      <c r="K90" s="729">
        <v>102</v>
      </c>
    </row>
    <row r="91" spans="1:11" ht="14.4" customHeight="1" x14ac:dyDescent="0.3">
      <c r="A91" s="724" t="s">
        <v>552</v>
      </c>
      <c r="B91" s="725" t="s">
        <v>1679</v>
      </c>
      <c r="C91" s="726" t="s">
        <v>563</v>
      </c>
      <c r="D91" s="727" t="s">
        <v>564</v>
      </c>
      <c r="E91" s="726" t="s">
        <v>2944</v>
      </c>
      <c r="F91" s="727" t="s">
        <v>2945</v>
      </c>
      <c r="G91" s="726" t="s">
        <v>2234</v>
      </c>
      <c r="H91" s="726" t="s">
        <v>2235</v>
      </c>
      <c r="I91" s="728">
        <v>0.02</v>
      </c>
      <c r="J91" s="728">
        <v>200</v>
      </c>
      <c r="K91" s="729">
        <v>4</v>
      </c>
    </row>
    <row r="92" spans="1:11" ht="14.4" customHeight="1" x14ac:dyDescent="0.3">
      <c r="A92" s="724" t="s">
        <v>552</v>
      </c>
      <c r="B92" s="725" t="s">
        <v>1679</v>
      </c>
      <c r="C92" s="726" t="s">
        <v>563</v>
      </c>
      <c r="D92" s="727" t="s">
        <v>564</v>
      </c>
      <c r="E92" s="726" t="s">
        <v>2944</v>
      </c>
      <c r="F92" s="727" t="s">
        <v>2945</v>
      </c>
      <c r="G92" s="726" t="s">
        <v>2236</v>
      </c>
      <c r="H92" s="726" t="s">
        <v>2237</v>
      </c>
      <c r="I92" s="728">
        <v>3.08</v>
      </c>
      <c r="J92" s="728">
        <v>50</v>
      </c>
      <c r="K92" s="729">
        <v>154</v>
      </c>
    </row>
    <row r="93" spans="1:11" ht="14.4" customHeight="1" x14ac:dyDescent="0.3">
      <c r="A93" s="724" t="s">
        <v>552</v>
      </c>
      <c r="B93" s="725" t="s">
        <v>1679</v>
      </c>
      <c r="C93" s="726" t="s">
        <v>563</v>
      </c>
      <c r="D93" s="727" t="s">
        <v>564</v>
      </c>
      <c r="E93" s="726" t="s">
        <v>2944</v>
      </c>
      <c r="F93" s="727" t="s">
        <v>2945</v>
      </c>
      <c r="G93" s="726" t="s">
        <v>2152</v>
      </c>
      <c r="H93" s="726" t="s">
        <v>2153</v>
      </c>
      <c r="I93" s="728">
        <v>2.17</v>
      </c>
      <c r="J93" s="728">
        <v>50</v>
      </c>
      <c r="K93" s="729">
        <v>108.5</v>
      </c>
    </row>
    <row r="94" spans="1:11" ht="14.4" customHeight="1" x14ac:dyDescent="0.3">
      <c r="A94" s="724" t="s">
        <v>552</v>
      </c>
      <c r="B94" s="725" t="s">
        <v>1679</v>
      </c>
      <c r="C94" s="726" t="s">
        <v>563</v>
      </c>
      <c r="D94" s="727" t="s">
        <v>564</v>
      </c>
      <c r="E94" s="726" t="s">
        <v>2944</v>
      </c>
      <c r="F94" s="727" t="s">
        <v>2945</v>
      </c>
      <c r="G94" s="726" t="s">
        <v>2160</v>
      </c>
      <c r="H94" s="726" t="s">
        <v>2161</v>
      </c>
      <c r="I94" s="728">
        <v>17.98</v>
      </c>
      <c r="J94" s="728">
        <v>50</v>
      </c>
      <c r="K94" s="729">
        <v>899</v>
      </c>
    </row>
    <row r="95" spans="1:11" ht="14.4" customHeight="1" x14ac:dyDescent="0.3">
      <c r="A95" s="724" t="s">
        <v>552</v>
      </c>
      <c r="B95" s="725" t="s">
        <v>1679</v>
      </c>
      <c r="C95" s="726" t="s">
        <v>563</v>
      </c>
      <c r="D95" s="727" t="s">
        <v>564</v>
      </c>
      <c r="E95" s="726" t="s">
        <v>2944</v>
      </c>
      <c r="F95" s="727" t="s">
        <v>2945</v>
      </c>
      <c r="G95" s="726" t="s">
        <v>2162</v>
      </c>
      <c r="H95" s="726" t="s">
        <v>2163</v>
      </c>
      <c r="I95" s="728">
        <v>17.98</v>
      </c>
      <c r="J95" s="728">
        <v>50</v>
      </c>
      <c r="K95" s="729">
        <v>899</v>
      </c>
    </row>
    <row r="96" spans="1:11" ht="14.4" customHeight="1" x14ac:dyDescent="0.3">
      <c r="A96" s="724" t="s">
        <v>552</v>
      </c>
      <c r="B96" s="725" t="s">
        <v>1679</v>
      </c>
      <c r="C96" s="726" t="s">
        <v>563</v>
      </c>
      <c r="D96" s="727" t="s">
        <v>564</v>
      </c>
      <c r="E96" s="726" t="s">
        <v>2944</v>
      </c>
      <c r="F96" s="727" t="s">
        <v>2945</v>
      </c>
      <c r="G96" s="726" t="s">
        <v>2238</v>
      </c>
      <c r="H96" s="726" t="s">
        <v>2239</v>
      </c>
      <c r="I96" s="728">
        <v>13.31</v>
      </c>
      <c r="J96" s="728">
        <v>20</v>
      </c>
      <c r="K96" s="729">
        <v>266.2</v>
      </c>
    </row>
    <row r="97" spans="1:11" ht="14.4" customHeight="1" x14ac:dyDescent="0.3">
      <c r="A97" s="724" t="s">
        <v>552</v>
      </c>
      <c r="B97" s="725" t="s">
        <v>1679</v>
      </c>
      <c r="C97" s="726" t="s">
        <v>563</v>
      </c>
      <c r="D97" s="727" t="s">
        <v>564</v>
      </c>
      <c r="E97" s="726" t="s">
        <v>2944</v>
      </c>
      <c r="F97" s="727" t="s">
        <v>2945</v>
      </c>
      <c r="G97" s="726" t="s">
        <v>2170</v>
      </c>
      <c r="H97" s="726" t="s">
        <v>2171</v>
      </c>
      <c r="I97" s="728">
        <v>21.234999999999999</v>
      </c>
      <c r="J97" s="728">
        <v>14</v>
      </c>
      <c r="K97" s="729">
        <v>297.29999999999995</v>
      </c>
    </row>
    <row r="98" spans="1:11" ht="14.4" customHeight="1" x14ac:dyDescent="0.3">
      <c r="A98" s="724" t="s">
        <v>552</v>
      </c>
      <c r="B98" s="725" t="s">
        <v>1679</v>
      </c>
      <c r="C98" s="726" t="s">
        <v>563</v>
      </c>
      <c r="D98" s="727" t="s">
        <v>564</v>
      </c>
      <c r="E98" s="726" t="s">
        <v>2944</v>
      </c>
      <c r="F98" s="727" t="s">
        <v>2945</v>
      </c>
      <c r="G98" s="726" t="s">
        <v>2172</v>
      </c>
      <c r="H98" s="726" t="s">
        <v>2173</v>
      </c>
      <c r="I98" s="728">
        <v>21.23</v>
      </c>
      <c r="J98" s="728">
        <v>20</v>
      </c>
      <c r="K98" s="729">
        <v>424.6</v>
      </c>
    </row>
    <row r="99" spans="1:11" ht="14.4" customHeight="1" x14ac:dyDescent="0.3">
      <c r="A99" s="724" t="s">
        <v>552</v>
      </c>
      <c r="B99" s="725" t="s">
        <v>1679</v>
      </c>
      <c r="C99" s="726" t="s">
        <v>563</v>
      </c>
      <c r="D99" s="727" t="s">
        <v>564</v>
      </c>
      <c r="E99" s="726" t="s">
        <v>2944</v>
      </c>
      <c r="F99" s="727" t="s">
        <v>2945</v>
      </c>
      <c r="G99" s="726" t="s">
        <v>2174</v>
      </c>
      <c r="H99" s="726" t="s">
        <v>2175</v>
      </c>
      <c r="I99" s="728">
        <v>0.47</v>
      </c>
      <c r="J99" s="728">
        <v>100</v>
      </c>
      <c r="K99" s="729">
        <v>47</v>
      </c>
    </row>
    <row r="100" spans="1:11" ht="14.4" customHeight="1" x14ac:dyDescent="0.3">
      <c r="A100" s="724" t="s">
        <v>552</v>
      </c>
      <c r="B100" s="725" t="s">
        <v>1679</v>
      </c>
      <c r="C100" s="726" t="s">
        <v>563</v>
      </c>
      <c r="D100" s="727" t="s">
        <v>564</v>
      </c>
      <c r="E100" s="726" t="s">
        <v>2944</v>
      </c>
      <c r="F100" s="727" t="s">
        <v>2945</v>
      </c>
      <c r="G100" s="726" t="s">
        <v>2178</v>
      </c>
      <c r="H100" s="726" t="s">
        <v>2179</v>
      </c>
      <c r="I100" s="728">
        <v>9.1999999999999993</v>
      </c>
      <c r="J100" s="728">
        <v>350</v>
      </c>
      <c r="K100" s="729">
        <v>3220</v>
      </c>
    </row>
    <row r="101" spans="1:11" ht="14.4" customHeight="1" x14ac:dyDescent="0.3">
      <c r="A101" s="724" t="s">
        <v>552</v>
      </c>
      <c r="B101" s="725" t="s">
        <v>1679</v>
      </c>
      <c r="C101" s="726" t="s">
        <v>563</v>
      </c>
      <c r="D101" s="727" t="s">
        <v>564</v>
      </c>
      <c r="E101" s="726" t="s">
        <v>2944</v>
      </c>
      <c r="F101" s="727" t="s">
        <v>2945</v>
      </c>
      <c r="G101" s="726" t="s">
        <v>2180</v>
      </c>
      <c r="H101" s="726" t="s">
        <v>2181</v>
      </c>
      <c r="I101" s="728">
        <v>172.5</v>
      </c>
      <c r="J101" s="728">
        <v>1</v>
      </c>
      <c r="K101" s="729">
        <v>172.5</v>
      </c>
    </row>
    <row r="102" spans="1:11" ht="14.4" customHeight="1" x14ac:dyDescent="0.3">
      <c r="A102" s="724" t="s">
        <v>552</v>
      </c>
      <c r="B102" s="725" t="s">
        <v>1679</v>
      </c>
      <c r="C102" s="726" t="s">
        <v>563</v>
      </c>
      <c r="D102" s="727" t="s">
        <v>564</v>
      </c>
      <c r="E102" s="726" t="s">
        <v>2944</v>
      </c>
      <c r="F102" s="727" t="s">
        <v>2945</v>
      </c>
      <c r="G102" s="726" t="s">
        <v>2186</v>
      </c>
      <c r="H102" s="726" t="s">
        <v>2187</v>
      </c>
      <c r="I102" s="728">
        <v>3.4366666666666661</v>
      </c>
      <c r="J102" s="728">
        <v>120</v>
      </c>
      <c r="K102" s="729">
        <v>412.4</v>
      </c>
    </row>
    <row r="103" spans="1:11" ht="14.4" customHeight="1" x14ac:dyDescent="0.3">
      <c r="A103" s="724" t="s">
        <v>552</v>
      </c>
      <c r="B103" s="725" t="s">
        <v>1679</v>
      </c>
      <c r="C103" s="726" t="s">
        <v>563</v>
      </c>
      <c r="D103" s="727" t="s">
        <v>564</v>
      </c>
      <c r="E103" s="726" t="s">
        <v>2944</v>
      </c>
      <c r="F103" s="727" t="s">
        <v>2945</v>
      </c>
      <c r="G103" s="726" t="s">
        <v>2240</v>
      </c>
      <c r="H103" s="726" t="s">
        <v>2241</v>
      </c>
      <c r="I103" s="728">
        <v>22.99</v>
      </c>
      <c r="J103" s="728">
        <v>10</v>
      </c>
      <c r="K103" s="729">
        <v>229.9</v>
      </c>
    </row>
    <row r="104" spans="1:11" ht="14.4" customHeight="1" x14ac:dyDescent="0.3">
      <c r="A104" s="724" t="s">
        <v>552</v>
      </c>
      <c r="B104" s="725" t="s">
        <v>1679</v>
      </c>
      <c r="C104" s="726" t="s">
        <v>563</v>
      </c>
      <c r="D104" s="727" t="s">
        <v>564</v>
      </c>
      <c r="E104" s="726" t="s">
        <v>2944</v>
      </c>
      <c r="F104" s="727" t="s">
        <v>2945</v>
      </c>
      <c r="G104" s="726" t="s">
        <v>2242</v>
      </c>
      <c r="H104" s="726" t="s">
        <v>2243</v>
      </c>
      <c r="I104" s="728">
        <v>22.99</v>
      </c>
      <c r="J104" s="728">
        <v>10</v>
      </c>
      <c r="K104" s="729">
        <v>229.9</v>
      </c>
    </row>
    <row r="105" spans="1:11" ht="14.4" customHeight="1" x14ac:dyDescent="0.3">
      <c r="A105" s="724" t="s">
        <v>552</v>
      </c>
      <c r="B105" s="725" t="s">
        <v>1679</v>
      </c>
      <c r="C105" s="726" t="s">
        <v>563</v>
      </c>
      <c r="D105" s="727" t="s">
        <v>564</v>
      </c>
      <c r="E105" s="726" t="s">
        <v>2944</v>
      </c>
      <c r="F105" s="727" t="s">
        <v>2945</v>
      </c>
      <c r="G105" s="726" t="s">
        <v>2244</v>
      </c>
      <c r="H105" s="726" t="s">
        <v>2245</v>
      </c>
      <c r="I105" s="728">
        <v>4.7300000000000004</v>
      </c>
      <c r="J105" s="728">
        <v>20</v>
      </c>
      <c r="K105" s="729">
        <v>94.6</v>
      </c>
    </row>
    <row r="106" spans="1:11" ht="14.4" customHeight="1" x14ac:dyDescent="0.3">
      <c r="A106" s="724" t="s">
        <v>552</v>
      </c>
      <c r="B106" s="725" t="s">
        <v>1679</v>
      </c>
      <c r="C106" s="726" t="s">
        <v>563</v>
      </c>
      <c r="D106" s="727" t="s">
        <v>564</v>
      </c>
      <c r="E106" s="726" t="s">
        <v>2946</v>
      </c>
      <c r="F106" s="727" t="s">
        <v>2947</v>
      </c>
      <c r="G106" s="726" t="s">
        <v>2190</v>
      </c>
      <c r="H106" s="726" t="s">
        <v>2191</v>
      </c>
      <c r="I106" s="728">
        <v>9.5300000000000011</v>
      </c>
      <c r="J106" s="728">
        <v>200</v>
      </c>
      <c r="K106" s="729">
        <v>1906</v>
      </c>
    </row>
    <row r="107" spans="1:11" ht="14.4" customHeight="1" x14ac:dyDescent="0.3">
      <c r="A107" s="724" t="s">
        <v>552</v>
      </c>
      <c r="B107" s="725" t="s">
        <v>1679</v>
      </c>
      <c r="C107" s="726" t="s">
        <v>563</v>
      </c>
      <c r="D107" s="727" t="s">
        <v>564</v>
      </c>
      <c r="E107" s="726" t="s">
        <v>2948</v>
      </c>
      <c r="F107" s="727" t="s">
        <v>2949</v>
      </c>
      <c r="G107" s="726" t="s">
        <v>2246</v>
      </c>
      <c r="H107" s="726" t="s">
        <v>2247</v>
      </c>
      <c r="I107" s="728">
        <v>0.3</v>
      </c>
      <c r="J107" s="728">
        <v>100</v>
      </c>
      <c r="K107" s="729">
        <v>30</v>
      </c>
    </row>
    <row r="108" spans="1:11" ht="14.4" customHeight="1" x14ac:dyDescent="0.3">
      <c r="A108" s="724" t="s">
        <v>552</v>
      </c>
      <c r="B108" s="725" t="s">
        <v>1679</v>
      </c>
      <c r="C108" s="726" t="s">
        <v>563</v>
      </c>
      <c r="D108" s="727" t="s">
        <v>564</v>
      </c>
      <c r="E108" s="726" t="s">
        <v>2948</v>
      </c>
      <c r="F108" s="727" t="s">
        <v>2949</v>
      </c>
      <c r="G108" s="726" t="s">
        <v>2192</v>
      </c>
      <c r="H108" s="726" t="s">
        <v>2193</v>
      </c>
      <c r="I108" s="728">
        <v>0.3</v>
      </c>
      <c r="J108" s="728">
        <v>300</v>
      </c>
      <c r="K108" s="729">
        <v>90</v>
      </c>
    </row>
    <row r="109" spans="1:11" ht="14.4" customHeight="1" x14ac:dyDescent="0.3">
      <c r="A109" s="724" t="s">
        <v>552</v>
      </c>
      <c r="B109" s="725" t="s">
        <v>1679</v>
      </c>
      <c r="C109" s="726" t="s">
        <v>563</v>
      </c>
      <c r="D109" s="727" t="s">
        <v>564</v>
      </c>
      <c r="E109" s="726" t="s">
        <v>2948</v>
      </c>
      <c r="F109" s="727" t="s">
        <v>2949</v>
      </c>
      <c r="G109" s="726" t="s">
        <v>2194</v>
      </c>
      <c r="H109" s="726" t="s">
        <v>2195</v>
      </c>
      <c r="I109" s="728">
        <v>0.3</v>
      </c>
      <c r="J109" s="728">
        <v>200</v>
      </c>
      <c r="K109" s="729">
        <v>60</v>
      </c>
    </row>
    <row r="110" spans="1:11" ht="14.4" customHeight="1" x14ac:dyDescent="0.3">
      <c r="A110" s="724" t="s">
        <v>552</v>
      </c>
      <c r="B110" s="725" t="s">
        <v>1679</v>
      </c>
      <c r="C110" s="726" t="s">
        <v>563</v>
      </c>
      <c r="D110" s="727" t="s">
        <v>564</v>
      </c>
      <c r="E110" s="726" t="s">
        <v>2948</v>
      </c>
      <c r="F110" s="727" t="s">
        <v>2949</v>
      </c>
      <c r="G110" s="726" t="s">
        <v>2196</v>
      </c>
      <c r="H110" s="726" t="s">
        <v>2197</v>
      </c>
      <c r="I110" s="728">
        <v>0.48</v>
      </c>
      <c r="J110" s="728">
        <v>300</v>
      </c>
      <c r="K110" s="729">
        <v>144</v>
      </c>
    </row>
    <row r="111" spans="1:11" ht="14.4" customHeight="1" x14ac:dyDescent="0.3">
      <c r="A111" s="724" t="s">
        <v>552</v>
      </c>
      <c r="B111" s="725" t="s">
        <v>1679</v>
      </c>
      <c r="C111" s="726" t="s">
        <v>563</v>
      </c>
      <c r="D111" s="727" t="s">
        <v>564</v>
      </c>
      <c r="E111" s="726" t="s">
        <v>2948</v>
      </c>
      <c r="F111" s="727" t="s">
        <v>2949</v>
      </c>
      <c r="G111" s="726" t="s">
        <v>2248</v>
      </c>
      <c r="H111" s="726" t="s">
        <v>2249</v>
      </c>
      <c r="I111" s="728">
        <v>1.8</v>
      </c>
      <c r="J111" s="728">
        <v>100</v>
      </c>
      <c r="K111" s="729">
        <v>180</v>
      </c>
    </row>
    <row r="112" spans="1:11" ht="14.4" customHeight="1" x14ac:dyDescent="0.3">
      <c r="A112" s="724" t="s">
        <v>552</v>
      </c>
      <c r="B112" s="725" t="s">
        <v>1679</v>
      </c>
      <c r="C112" s="726" t="s">
        <v>563</v>
      </c>
      <c r="D112" s="727" t="s">
        <v>564</v>
      </c>
      <c r="E112" s="726" t="s">
        <v>2948</v>
      </c>
      <c r="F112" s="727" t="s">
        <v>2949</v>
      </c>
      <c r="G112" s="726" t="s">
        <v>2198</v>
      </c>
      <c r="H112" s="726" t="s">
        <v>2199</v>
      </c>
      <c r="I112" s="728">
        <v>1.8</v>
      </c>
      <c r="J112" s="728">
        <v>100</v>
      </c>
      <c r="K112" s="729">
        <v>180</v>
      </c>
    </row>
    <row r="113" spans="1:11" ht="14.4" customHeight="1" x14ac:dyDescent="0.3">
      <c r="A113" s="724" t="s">
        <v>552</v>
      </c>
      <c r="B113" s="725" t="s">
        <v>1679</v>
      </c>
      <c r="C113" s="726" t="s">
        <v>563</v>
      </c>
      <c r="D113" s="727" t="s">
        <v>564</v>
      </c>
      <c r="E113" s="726" t="s">
        <v>2950</v>
      </c>
      <c r="F113" s="727" t="s">
        <v>2951</v>
      </c>
      <c r="G113" s="726" t="s">
        <v>2200</v>
      </c>
      <c r="H113" s="726" t="s">
        <v>2201</v>
      </c>
      <c r="I113" s="728">
        <v>0.69</v>
      </c>
      <c r="J113" s="728">
        <v>3800</v>
      </c>
      <c r="K113" s="729">
        <v>2622</v>
      </c>
    </row>
    <row r="114" spans="1:11" ht="14.4" customHeight="1" x14ac:dyDescent="0.3">
      <c r="A114" s="724" t="s">
        <v>552</v>
      </c>
      <c r="B114" s="725" t="s">
        <v>1679</v>
      </c>
      <c r="C114" s="726" t="s">
        <v>563</v>
      </c>
      <c r="D114" s="727" t="s">
        <v>564</v>
      </c>
      <c r="E114" s="726" t="s">
        <v>2950</v>
      </c>
      <c r="F114" s="727" t="s">
        <v>2951</v>
      </c>
      <c r="G114" s="726" t="s">
        <v>2250</v>
      </c>
      <c r="H114" s="726" t="s">
        <v>2251</v>
      </c>
      <c r="I114" s="728">
        <v>12.58</v>
      </c>
      <c r="J114" s="728">
        <v>50</v>
      </c>
      <c r="K114" s="729">
        <v>629</v>
      </c>
    </row>
    <row r="115" spans="1:11" ht="14.4" customHeight="1" x14ac:dyDescent="0.3">
      <c r="A115" s="724" t="s">
        <v>552</v>
      </c>
      <c r="B115" s="725" t="s">
        <v>1679</v>
      </c>
      <c r="C115" s="726" t="s">
        <v>563</v>
      </c>
      <c r="D115" s="727" t="s">
        <v>564</v>
      </c>
      <c r="E115" s="726" t="s">
        <v>2950</v>
      </c>
      <c r="F115" s="727" t="s">
        <v>2951</v>
      </c>
      <c r="G115" s="726" t="s">
        <v>2252</v>
      </c>
      <c r="H115" s="726" t="s">
        <v>2253</v>
      </c>
      <c r="I115" s="728">
        <v>6.24</v>
      </c>
      <c r="J115" s="728">
        <v>140</v>
      </c>
      <c r="K115" s="729">
        <v>873.6</v>
      </c>
    </row>
    <row r="116" spans="1:11" ht="14.4" customHeight="1" x14ac:dyDescent="0.3">
      <c r="A116" s="724" t="s">
        <v>552</v>
      </c>
      <c r="B116" s="725" t="s">
        <v>1679</v>
      </c>
      <c r="C116" s="726" t="s">
        <v>566</v>
      </c>
      <c r="D116" s="727" t="s">
        <v>567</v>
      </c>
      <c r="E116" s="726" t="s">
        <v>2942</v>
      </c>
      <c r="F116" s="727" t="s">
        <v>2943</v>
      </c>
      <c r="G116" s="726" t="s">
        <v>2254</v>
      </c>
      <c r="H116" s="726" t="s">
        <v>2255</v>
      </c>
      <c r="I116" s="728">
        <v>3.01</v>
      </c>
      <c r="J116" s="728">
        <v>40</v>
      </c>
      <c r="K116" s="729">
        <v>120.4</v>
      </c>
    </row>
    <row r="117" spans="1:11" ht="14.4" customHeight="1" x14ac:dyDescent="0.3">
      <c r="A117" s="724" t="s">
        <v>552</v>
      </c>
      <c r="B117" s="725" t="s">
        <v>1679</v>
      </c>
      <c r="C117" s="726" t="s">
        <v>566</v>
      </c>
      <c r="D117" s="727" t="s">
        <v>567</v>
      </c>
      <c r="E117" s="726" t="s">
        <v>2942</v>
      </c>
      <c r="F117" s="727" t="s">
        <v>2943</v>
      </c>
      <c r="G117" s="726" t="s">
        <v>2256</v>
      </c>
      <c r="H117" s="726" t="s">
        <v>2257</v>
      </c>
      <c r="I117" s="728">
        <v>0.88</v>
      </c>
      <c r="J117" s="728">
        <v>500</v>
      </c>
      <c r="K117" s="729">
        <v>440</v>
      </c>
    </row>
    <row r="118" spans="1:11" ht="14.4" customHeight="1" x14ac:dyDescent="0.3">
      <c r="A118" s="724" t="s">
        <v>552</v>
      </c>
      <c r="B118" s="725" t="s">
        <v>1679</v>
      </c>
      <c r="C118" s="726" t="s">
        <v>566</v>
      </c>
      <c r="D118" s="727" t="s">
        <v>567</v>
      </c>
      <c r="E118" s="726" t="s">
        <v>2942</v>
      </c>
      <c r="F118" s="727" t="s">
        <v>2943</v>
      </c>
      <c r="G118" s="726" t="s">
        <v>2110</v>
      </c>
      <c r="H118" s="726" t="s">
        <v>2111</v>
      </c>
      <c r="I118" s="728">
        <v>0.67</v>
      </c>
      <c r="J118" s="728">
        <v>200</v>
      </c>
      <c r="K118" s="729">
        <v>134</v>
      </c>
    </row>
    <row r="119" spans="1:11" ht="14.4" customHeight="1" x14ac:dyDescent="0.3">
      <c r="A119" s="724" t="s">
        <v>552</v>
      </c>
      <c r="B119" s="725" t="s">
        <v>1679</v>
      </c>
      <c r="C119" s="726" t="s">
        <v>566</v>
      </c>
      <c r="D119" s="727" t="s">
        <v>567</v>
      </c>
      <c r="E119" s="726" t="s">
        <v>2942</v>
      </c>
      <c r="F119" s="727" t="s">
        <v>2943</v>
      </c>
      <c r="G119" s="726" t="s">
        <v>2116</v>
      </c>
      <c r="H119" s="726" t="s">
        <v>2117</v>
      </c>
      <c r="I119" s="728">
        <v>1.29</v>
      </c>
      <c r="J119" s="728">
        <v>100</v>
      </c>
      <c r="K119" s="729">
        <v>129</v>
      </c>
    </row>
    <row r="120" spans="1:11" ht="14.4" customHeight="1" x14ac:dyDescent="0.3">
      <c r="A120" s="724" t="s">
        <v>552</v>
      </c>
      <c r="B120" s="725" t="s">
        <v>1679</v>
      </c>
      <c r="C120" s="726" t="s">
        <v>566</v>
      </c>
      <c r="D120" s="727" t="s">
        <v>567</v>
      </c>
      <c r="E120" s="726" t="s">
        <v>2944</v>
      </c>
      <c r="F120" s="727" t="s">
        <v>2945</v>
      </c>
      <c r="G120" s="726" t="s">
        <v>2136</v>
      </c>
      <c r="H120" s="726" t="s">
        <v>2137</v>
      </c>
      <c r="I120" s="728">
        <v>1.0900000000000001</v>
      </c>
      <c r="J120" s="728">
        <v>100</v>
      </c>
      <c r="K120" s="729">
        <v>109</v>
      </c>
    </row>
    <row r="121" spans="1:11" ht="14.4" customHeight="1" x14ac:dyDescent="0.3">
      <c r="A121" s="724" t="s">
        <v>552</v>
      </c>
      <c r="B121" s="725" t="s">
        <v>1679</v>
      </c>
      <c r="C121" s="726" t="s">
        <v>566</v>
      </c>
      <c r="D121" s="727" t="s">
        <v>567</v>
      </c>
      <c r="E121" s="726" t="s">
        <v>2944</v>
      </c>
      <c r="F121" s="727" t="s">
        <v>2945</v>
      </c>
      <c r="G121" s="726" t="s">
        <v>2234</v>
      </c>
      <c r="H121" s="726" t="s">
        <v>2235</v>
      </c>
      <c r="I121" s="728">
        <v>0.01</v>
      </c>
      <c r="J121" s="728">
        <v>30</v>
      </c>
      <c r="K121" s="729">
        <v>0.3</v>
      </c>
    </row>
    <row r="122" spans="1:11" ht="14.4" customHeight="1" x14ac:dyDescent="0.3">
      <c r="A122" s="724" t="s">
        <v>552</v>
      </c>
      <c r="B122" s="725" t="s">
        <v>1679</v>
      </c>
      <c r="C122" s="726" t="s">
        <v>566</v>
      </c>
      <c r="D122" s="727" t="s">
        <v>567</v>
      </c>
      <c r="E122" s="726" t="s">
        <v>2944</v>
      </c>
      <c r="F122" s="727" t="s">
        <v>2945</v>
      </c>
      <c r="G122" s="726" t="s">
        <v>2152</v>
      </c>
      <c r="H122" s="726" t="s">
        <v>2153</v>
      </c>
      <c r="I122" s="728">
        <v>2.16</v>
      </c>
      <c r="J122" s="728">
        <v>10</v>
      </c>
      <c r="K122" s="729">
        <v>21.6</v>
      </c>
    </row>
    <row r="123" spans="1:11" ht="14.4" customHeight="1" x14ac:dyDescent="0.3">
      <c r="A123" s="724" t="s">
        <v>552</v>
      </c>
      <c r="B123" s="725" t="s">
        <v>1679</v>
      </c>
      <c r="C123" s="726" t="s">
        <v>566</v>
      </c>
      <c r="D123" s="727" t="s">
        <v>567</v>
      </c>
      <c r="E123" s="726" t="s">
        <v>2944</v>
      </c>
      <c r="F123" s="727" t="s">
        <v>2945</v>
      </c>
      <c r="G123" s="726" t="s">
        <v>2176</v>
      </c>
      <c r="H123" s="726" t="s">
        <v>2177</v>
      </c>
      <c r="I123" s="728">
        <v>2.2799999999999998</v>
      </c>
      <c r="J123" s="728">
        <v>75</v>
      </c>
      <c r="K123" s="729">
        <v>171</v>
      </c>
    </row>
    <row r="124" spans="1:11" ht="14.4" customHeight="1" x14ac:dyDescent="0.3">
      <c r="A124" s="724" t="s">
        <v>552</v>
      </c>
      <c r="B124" s="725" t="s">
        <v>1679</v>
      </c>
      <c r="C124" s="726" t="s">
        <v>566</v>
      </c>
      <c r="D124" s="727" t="s">
        <v>567</v>
      </c>
      <c r="E124" s="726" t="s">
        <v>2944</v>
      </c>
      <c r="F124" s="727" t="s">
        <v>2945</v>
      </c>
      <c r="G124" s="726" t="s">
        <v>2186</v>
      </c>
      <c r="H124" s="726" t="s">
        <v>2187</v>
      </c>
      <c r="I124" s="728">
        <v>3.43</v>
      </c>
      <c r="J124" s="728">
        <v>40</v>
      </c>
      <c r="K124" s="729">
        <v>137.19999999999999</v>
      </c>
    </row>
    <row r="125" spans="1:11" ht="14.4" customHeight="1" x14ac:dyDescent="0.3">
      <c r="A125" s="724" t="s">
        <v>552</v>
      </c>
      <c r="B125" s="725" t="s">
        <v>1679</v>
      </c>
      <c r="C125" s="726" t="s">
        <v>566</v>
      </c>
      <c r="D125" s="727" t="s">
        <v>567</v>
      </c>
      <c r="E125" s="726" t="s">
        <v>2944</v>
      </c>
      <c r="F125" s="727" t="s">
        <v>2945</v>
      </c>
      <c r="G125" s="726" t="s">
        <v>2258</v>
      </c>
      <c r="H125" s="726" t="s">
        <v>2259</v>
      </c>
      <c r="I125" s="728">
        <v>62.78</v>
      </c>
      <c r="J125" s="728">
        <v>6</v>
      </c>
      <c r="K125" s="729">
        <v>376.68</v>
      </c>
    </row>
    <row r="126" spans="1:11" ht="14.4" customHeight="1" x14ac:dyDescent="0.3">
      <c r="A126" s="724" t="s">
        <v>552</v>
      </c>
      <c r="B126" s="725" t="s">
        <v>1679</v>
      </c>
      <c r="C126" s="726" t="s">
        <v>566</v>
      </c>
      <c r="D126" s="727" t="s">
        <v>567</v>
      </c>
      <c r="E126" s="726" t="s">
        <v>2948</v>
      </c>
      <c r="F126" s="727" t="s">
        <v>2949</v>
      </c>
      <c r="G126" s="726" t="s">
        <v>2196</v>
      </c>
      <c r="H126" s="726" t="s">
        <v>2197</v>
      </c>
      <c r="I126" s="728">
        <v>0.49</v>
      </c>
      <c r="J126" s="728">
        <v>100</v>
      </c>
      <c r="K126" s="729">
        <v>49</v>
      </c>
    </row>
    <row r="127" spans="1:11" ht="14.4" customHeight="1" x14ac:dyDescent="0.3">
      <c r="A127" s="724" t="s">
        <v>552</v>
      </c>
      <c r="B127" s="725" t="s">
        <v>1679</v>
      </c>
      <c r="C127" s="726" t="s">
        <v>566</v>
      </c>
      <c r="D127" s="727" t="s">
        <v>567</v>
      </c>
      <c r="E127" s="726" t="s">
        <v>2950</v>
      </c>
      <c r="F127" s="727" t="s">
        <v>2951</v>
      </c>
      <c r="G127" s="726" t="s">
        <v>2250</v>
      </c>
      <c r="H127" s="726" t="s">
        <v>2251</v>
      </c>
      <c r="I127" s="728">
        <v>12.43</v>
      </c>
      <c r="J127" s="728">
        <v>50</v>
      </c>
      <c r="K127" s="729">
        <v>621.5</v>
      </c>
    </row>
    <row r="128" spans="1:11" ht="14.4" customHeight="1" x14ac:dyDescent="0.3">
      <c r="A128" s="724" t="s">
        <v>552</v>
      </c>
      <c r="B128" s="725" t="s">
        <v>1679</v>
      </c>
      <c r="C128" s="726" t="s">
        <v>569</v>
      </c>
      <c r="D128" s="727" t="s">
        <v>1680</v>
      </c>
      <c r="E128" s="726" t="s">
        <v>2942</v>
      </c>
      <c r="F128" s="727" t="s">
        <v>2943</v>
      </c>
      <c r="G128" s="726" t="s">
        <v>2098</v>
      </c>
      <c r="H128" s="726" t="s">
        <v>2099</v>
      </c>
      <c r="I128" s="728">
        <v>166.73500000000001</v>
      </c>
      <c r="J128" s="728">
        <v>8</v>
      </c>
      <c r="K128" s="729">
        <v>1333.8899999999999</v>
      </c>
    </row>
    <row r="129" spans="1:11" ht="14.4" customHeight="1" x14ac:dyDescent="0.3">
      <c r="A129" s="724" t="s">
        <v>552</v>
      </c>
      <c r="B129" s="725" t="s">
        <v>1679</v>
      </c>
      <c r="C129" s="726" t="s">
        <v>569</v>
      </c>
      <c r="D129" s="727" t="s">
        <v>1680</v>
      </c>
      <c r="E129" s="726" t="s">
        <v>2942</v>
      </c>
      <c r="F129" s="727" t="s">
        <v>2943</v>
      </c>
      <c r="G129" s="726" t="s">
        <v>2260</v>
      </c>
      <c r="H129" s="726" t="s">
        <v>2261</v>
      </c>
      <c r="I129" s="728">
        <v>9.2899999999999991</v>
      </c>
      <c r="J129" s="728">
        <v>200</v>
      </c>
      <c r="K129" s="729">
        <v>1858</v>
      </c>
    </row>
    <row r="130" spans="1:11" ht="14.4" customHeight="1" x14ac:dyDescent="0.3">
      <c r="A130" s="724" t="s">
        <v>552</v>
      </c>
      <c r="B130" s="725" t="s">
        <v>1679</v>
      </c>
      <c r="C130" s="726" t="s">
        <v>569</v>
      </c>
      <c r="D130" s="727" t="s">
        <v>1680</v>
      </c>
      <c r="E130" s="726" t="s">
        <v>2942</v>
      </c>
      <c r="F130" s="727" t="s">
        <v>2943</v>
      </c>
      <c r="G130" s="726" t="s">
        <v>2208</v>
      </c>
      <c r="H130" s="726" t="s">
        <v>2209</v>
      </c>
      <c r="I130" s="728">
        <v>3.5666666666666664</v>
      </c>
      <c r="J130" s="728">
        <v>130</v>
      </c>
      <c r="K130" s="729">
        <v>463.6</v>
      </c>
    </row>
    <row r="131" spans="1:11" ht="14.4" customHeight="1" x14ac:dyDescent="0.3">
      <c r="A131" s="724" t="s">
        <v>552</v>
      </c>
      <c r="B131" s="725" t="s">
        <v>1679</v>
      </c>
      <c r="C131" s="726" t="s">
        <v>569</v>
      </c>
      <c r="D131" s="727" t="s">
        <v>1680</v>
      </c>
      <c r="E131" s="726" t="s">
        <v>2942</v>
      </c>
      <c r="F131" s="727" t="s">
        <v>2943</v>
      </c>
      <c r="G131" s="726" t="s">
        <v>2262</v>
      </c>
      <c r="H131" s="726" t="s">
        <v>2263</v>
      </c>
      <c r="I131" s="728">
        <v>0.42</v>
      </c>
      <c r="J131" s="728">
        <v>11000</v>
      </c>
      <c r="K131" s="729">
        <v>4620</v>
      </c>
    </row>
    <row r="132" spans="1:11" ht="14.4" customHeight="1" x14ac:dyDescent="0.3">
      <c r="A132" s="724" t="s">
        <v>552</v>
      </c>
      <c r="B132" s="725" t="s">
        <v>1679</v>
      </c>
      <c r="C132" s="726" t="s">
        <v>569</v>
      </c>
      <c r="D132" s="727" t="s">
        <v>1680</v>
      </c>
      <c r="E132" s="726" t="s">
        <v>2942</v>
      </c>
      <c r="F132" s="727" t="s">
        <v>2943</v>
      </c>
      <c r="G132" s="726" t="s">
        <v>2104</v>
      </c>
      <c r="H132" s="726" t="s">
        <v>2105</v>
      </c>
      <c r="I132" s="728">
        <v>28.73</v>
      </c>
      <c r="J132" s="728">
        <v>240</v>
      </c>
      <c r="K132" s="729">
        <v>6895.2000000000007</v>
      </c>
    </row>
    <row r="133" spans="1:11" ht="14.4" customHeight="1" x14ac:dyDescent="0.3">
      <c r="A133" s="724" t="s">
        <v>552</v>
      </c>
      <c r="B133" s="725" t="s">
        <v>1679</v>
      </c>
      <c r="C133" s="726" t="s">
        <v>569</v>
      </c>
      <c r="D133" s="727" t="s">
        <v>1680</v>
      </c>
      <c r="E133" s="726" t="s">
        <v>2942</v>
      </c>
      <c r="F133" s="727" t="s">
        <v>2943</v>
      </c>
      <c r="G133" s="726" t="s">
        <v>2106</v>
      </c>
      <c r="H133" s="726" t="s">
        <v>2107</v>
      </c>
      <c r="I133" s="728">
        <v>6.25</v>
      </c>
      <c r="J133" s="728">
        <v>200</v>
      </c>
      <c r="K133" s="729">
        <v>1250</v>
      </c>
    </row>
    <row r="134" spans="1:11" ht="14.4" customHeight="1" x14ac:dyDescent="0.3">
      <c r="A134" s="724" t="s">
        <v>552</v>
      </c>
      <c r="B134" s="725" t="s">
        <v>1679</v>
      </c>
      <c r="C134" s="726" t="s">
        <v>569</v>
      </c>
      <c r="D134" s="727" t="s">
        <v>1680</v>
      </c>
      <c r="E134" s="726" t="s">
        <v>2942</v>
      </c>
      <c r="F134" s="727" t="s">
        <v>2943</v>
      </c>
      <c r="G134" s="726" t="s">
        <v>2264</v>
      </c>
      <c r="H134" s="726" t="s">
        <v>2265</v>
      </c>
      <c r="I134" s="728">
        <v>0.14000000000000001</v>
      </c>
      <c r="J134" s="728">
        <v>200</v>
      </c>
      <c r="K134" s="729">
        <v>28</v>
      </c>
    </row>
    <row r="135" spans="1:11" ht="14.4" customHeight="1" x14ac:dyDescent="0.3">
      <c r="A135" s="724" t="s">
        <v>552</v>
      </c>
      <c r="B135" s="725" t="s">
        <v>1679</v>
      </c>
      <c r="C135" s="726" t="s">
        <v>569</v>
      </c>
      <c r="D135" s="727" t="s">
        <v>1680</v>
      </c>
      <c r="E135" s="726" t="s">
        <v>2942</v>
      </c>
      <c r="F135" s="727" t="s">
        <v>2943</v>
      </c>
      <c r="G135" s="726" t="s">
        <v>2266</v>
      </c>
      <c r="H135" s="726" t="s">
        <v>2267</v>
      </c>
      <c r="I135" s="728">
        <v>129.26</v>
      </c>
      <c r="J135" s="728">
        <v>10</v>
      </c>
      <c r="K135" s="729">
        <v>1292.5999999999999</v>
      </c>
    </row>
    <row r="136" spans="1:11" ht="14.4" customHeight="1" x14ac:dyDescent="0.3">
      <c r="A136" s="724" t="s">
        <v>552</v>
      </c>
      <c r="B136" s="725" t="s">
        <v>1679</v>
      </c>
      <c r="C136" s="726" t="s">
        <v>569</v>
      </c>
      <c r="D136" s="727" t="s">
        <v>1680</v>
      </c>
      <c r="E136" s="726" t="s">
        <v>2942</v>
      </c>
      <c r="F136" s="727" t="s">
        <v>2943</v>
      </c>
      <c r="G136" s="726" t="s">
        <v>2268</v>
      </c>
      <c r="H136" s="726" t="s">
        <v>2269</v>
      </c>
      <c r="I136" s="728">
        <v>26.233333333333334</v>
      </c>
      <c r="J136" s="728">
        <v>72</v>
      </c>
      <c r="K136" s="729">
        <v>1888.74</v>
      </c>
    </row>
    <row r="137" spans="1:11" ht="14.4" customHeight="1" x14ac:dyDescent="0.3">
      <c r="A137" s="724" t="s">
        <v>552</v>
      </c>
      <c r="B137" s="725" t="s">
        <v>1679</v>
      </c>
      <c r="C137" s="726" t="s">
        <v>569</v>
      </c>
      <c r="D137" s="727" t="s">
        <v>1680</v>
      </c>
      <c r="E137" s="726" t="s">
        <v>2942</v>
      </c>
      <c r="F137" s="727" t="s">
        <v>2943</v>
      </c>
      <c r="G137" s="726" t="s">
        <v>2212</v>
      </c>
      <c r="H137" s="726" t="s">
        <v>2213</v>
      </c>
      <c r="I137" s="728">
        <v>30.179999999999996</v>
      </c>
      <c r="J137" s="728">
        <v>85</v>
      </c>
      <c r="K137" s="729">
        <v>2565.3000000000002</v>
      </c>
    </row>
    <row r="138" spans="1:11" ht="14.4" customHeight="1" x14ac:dyDescent="0.3">
      <c r="A138" s="724" t="s">
        <v>552</v>
      </c>
      <c r="B138" s="725" t="s">
        <v>1679</v>
      </c>
      <c r="C138" s="726" t="s">
        <v>569</v>
      </c>
      <c r="D138" s="727" t="s">
        <v>1680</v>
      </c>
      <c r="E138" s="726" t="s">
        <v>2942</v>
      </c>
      <c r="F138" s="727" t="s">
        <v>2943</v>
      </c>
      <c r="G138" s="726" t="s">
        <v>2108</v>
      </c>
      <c r="H138" s="726" t="s">
        <v>2109</v>
      </c>
      <c r="I138" s="728">
        <v>1.38</v>
      </c>
      <c r="J138" s="728">
        <v>400</v>
      </c>
      <c r="K138" s="729">
        <v>552</v>
      </c>
    </row>
    <row r="139" spans="1:11" ht="14.4" customHeight="1" x14ac:dyDescent="0.3">
      <c r="A139" s="724" t="s">
        <v>552</v>
      </c>
      <c r="B139" s="725" t="s">
        <v>1679</v>
      </c>
      <c r="C139" s="726" t="s">
        <v>569</v>
      </c>
      <c r="D139" s="727" t="s">
        <v>1680</v>
      </c>
      <c r="E139" s="726" t="s">
        <v>2942</v>
      </c>
      <c r="F139" s="727" t="s">
        <v>2943</v>
      </c>
      <c r="G139" s="726" t="s">
        <v>2270</v>
      </c>
      <c r="H139" s="726" t="s">
        <v>2271</v>
      </c>
      <c r="I139" s="728">
        <v>3.9433333333333334</v>
      </c>
      <c r="J139" s="728">
        <v>2250</v>
      </c>
      <c r="K139" s="729">
        <v>8879.9500000000007</v>
      </c>
    </row>
    <row r="140" spans="1:11" ht="14.4" customHeight="1" x14ac:dyDescent="0.3">
      <c r="A140" s="724" t="s">
        <v>552</v>
      </c>
      <c r="B140" s="725" t="s">
        <v>1679</v>
      </c>
      <c r="C140" s="726" t="s">
        <v>569</v>
      </c>
      <c r="D140" s="727" t="s">
        <v>1680</v>
      </c>
      <c r="E140" s="726" t="s">
        <v>2942</v>
      </c>
      <c r="F140" s="727" t="s">
        <v>2943</v>
      </c>
      <c r="G140" s="726" t="s">
        <v>2214</v>
      </c>
      <c r="H140" s="726" t="s">
        <v>2215</v>
      </c>
      <c r="I140" s="728">
        <v>0.44</v>
      </c>
      <c r="J140" s="728">
        <v>16000</v>
      </c>
      <c r="K140" s="729">
        <v>7040</v>
      </c>
    </row>
    <row r="141" spans="1:11" ht="14.4" customHeight="1" x14ac:dyDescent="0.3">
      <c r="A141" s="724" t="s">
        <v>552</v>
      </c>
      <c r="B141" s="725" t="s">
        <v>1679</v>
      </c>
      <c r="C141" s="726" t="s">
        <v>569</v>
      </c>
      <c r="D141" s="727" t="s">
        <v>1680</v>
      </c>
      <c r="E141" s="726" t="s">
        <v>2942</v>
      </c>
      <c r="F141" s="727" t="s">
        <v>2943</v>
      </c>
      <c r="G141" s="726" t="s">
        <v>2112</v>
      </c>
      <c r="H141" s="726" t="s">
        <v>2113</v>
      </c>
      <c r="I141" s="728">
        <v>8.58</v>
      </c>
      <c r="J141" s="728">
        <v>180</v>
      </c>
      <c r="K141" s="729">
        <v>1544.4</v>
      </c>
    </row>
    <row r="142" spans="1:11" ht="14.4" customHeight="1" x14ac:dyDescent="0.3">
      <c r="A142" s="724" t="s">
        <v>552</v>
      </c>
      <c r="B142" s="725" t="s">
        <v>1679</v>
      </c>
      <c r="C142" s="726" t="s">
        <v>569</v>
      </c>
      <c r="D142" s="727" t="s">
        <v>1680</v>
      </c>
      <c r="E142" s="726" t="s">
        <v>2942</v>
      </c>
      <c r="F142" s="727" t="s">
        <v>2943</v>
      </c>
      <c r="G142" s="726" t="s">
        <v>2114</v>
      </c>
      <c r="H142" s="726" t="s">
        <v>2115</v>
      </c>
      <c r="I142" s="728">
        <v>27.88</v>
      </c>
      <c r="J142" s="728">
        <v>4</v>
      </c>
      <c r="K142" s="729">
        <v>111.52</v>
      </c>
    </row>
    <row r="143" spans="1:11" ht="14.4" customHeight="1" x14ac:dyDescent="0.3">
      <c r="A143" s="724" t="s">
        <v>552</v>
      </c>
      <c r="B143" s="725" t="s">
        <v>1679</v>
      </c>
      <c r="C143" s="726" t="s">
        <v>569</v>
      </c>
      <c r="D143" s="727" t="s">
        <v>1680</v>
      </c>
      <c r="E143" s="726" t="s">
        <v>2942</v>
      </c>
      <c r="F143" s="727" t="s">
        <v>2943</v>
      </c>
      <c r="G143" s="726" t="s">
        <v>2272</v>
      </c>
      <c r="H143" s="726" t="s">
        <v>2273</v>
      </c>
      <c r="I143" s="728">
        <v>0.63</v>
      </c>
      <c r="J143" s="728">
        <v>1000</v>
      </c>
      <c r="K143" s="729">
        <v>630</v>
      </c>
    </row>
    <row r="144" spans="1:11" ht="14.4" customHeight="1" x14ac:dyDescent="0.3">
      <c r="A144" s="724" t="s">
        <v>552</v>
      </c>
      <c r="B144" s="725" t="s">
        <v>1679</v>
      </c>
      <c r="C144" s="726" t="s">
        <v>569</v>
      </c>
      <c r="D144" s="727" t="s">
        <v>1680</v>
      </c>
      <c r="E144" s="726" t="s">
        <v>2942</v>
      </c>
      <c r="F144" s="727" t="s">
        <v>2943</v>
      </c>
      <c r="G144" s="726" t="s">
        <v>2274</v>
      </c>
      <c r="H144" s="726" t="s">
        <v>2275</v>
      </c>
      <c r="I144" s="728">
        <v>98.37</v>
      </c>
      <c r="J144" s="728">
        <v>6</v>
      </c>
      <c r="K144" s="729">
        <v>590.22</v>
      </c>
    </row>
    <row r="145" spans="1:11" ht="14.4" customHeight="1" x14ac:dyDescent="0.3">
      <c r="A145" s="724" t="s">
        <v>552</v>
      </c>
      <c r="B145" s="725" t="s">
        <v>1679</v>
      </c>
      <c r="C145" s="726" t="s">
        <v>569</v>
      </c>
      <c r="D145" s="727" t="s">
        <v>1680</v>
      </c>
      <c r="E145" s="726" t="s">
        <v>2942</v>
      </c>
      <c r="F145" s="727" t="s">
        <v>2943</v>
      </c>
      <c r="G145" s="726" t="s">
        <v>2220</v>
      </c>
      <c r="H145" s="726" t="s">
        <v>2221</v>
      </c>
      <c r="I145" s="728">
        <v>0.85</v>
      </c>
      <c r="J145" s="728">
        <v>100</v>
      </c>
      <c r="K145" s="729">
        <v>85</v>
      </c>
    </row>
    <row r="146" spans="1:11" ht="14.4" customHeight="1" x14ac:dyDescent="0.3">
      <c r="A146" s="724" t="s">
        <v>552</v>
      </c>
      <c r="B146" s="725" t="s">
        <v>1679</v>
      </c>
      <c r="C146" s="726" t="s">
        <v>569</v>
      </c>
      <c r="D146" s="727" t="s">
        <v>1680</v>
      </c>
      <c r="E146" s="726" t="s">
        <v>2942</v>
      </c>
      <c r="F146" s="727" t="s">
        <v>2943</v>
      </c>
      <c r="G146" s="726" t="s">
        <v>2276</v>
      </c>
      <c r="H146" s="726" t="s">
        <v>2277</v>
      </c>
      <c r="I146" s="728">
        <v>217.81</v>
      </c>
      <c r="J146" s="728">
        <v>150</v>
      </c>
      <c r="K146" s="729">
        <v>32671.5</v>
      </c>
    </row>
    <row r="147" spans="1:11" ht="14.4" customHeight="1" x14ac:dyDescent="0.3">
      <c r="A147" s="724" t="s">
        <v>552</v>
      </c>
      <c r="B147" s="725" t="s">
        <v>1679</v>
      </c>
      <c r="C147" s="726" t="s">
        <v>569</v>
      </c>
      <c r="D147" s="727" t="s">
        <v>1680</v>
      </c>
      <c r="E147" s="726" t="s">
        <v>2942</v>
      </c>
      <c r="F147" s="727" t="s">
        <v>2943</v>
      </c>
      <c r="G147" s="726" t="s">
        <v>2278</v>
      </c>
      <c r="H147" s="726" t="s">
        <v>2279</v>
      </c>
      <c r="I147" s="728">
        <v>749.27</v>
      </c>
      <c r="J147" s="728">
        <v>1</v>
      </c>
      <c r="K147" s="729">
        <v>749.27</v>
      </c>
    </row>
    <row r="148" spans="1:11" ht="14.4" customHeight="1" x14ac:dyDescent="0.3">
      <c r="A148" s="724" t="s">
        <v>552</v>
      </c>
      <c r="B148" s="725" t="s">
        <v>1679</v>
      </c>
      <c r="C148" s="726" t="s">
        <v>569</v>
      </c>
      <c r="D148" s="727" t="s">
        <v>1680</v>
      </c>
      <c r="E148" s="726" t="s">
        <v>2942</v>
      </c>
      <c r="F148" s="727" t="s">
        <v>2943</v>
      </c>
      <c r="G148" s="726" t="s">
        <v>2280</v>
      </c>
      <c r="H148" s="726" t="s">
        <v>2281</v>
      </c>
      <c r="I148" s="728">
        <v>899.84</v>
      </c>
      <c r="J148" s="728">
        <v>1</v>
      </c>
      <c r="K148" s="729">
        <v>899.84</v>
      </c>
    </row>
    <row r="149" spans="1:11" ht="14.4" customHeight="1" x14ac:dyDescent="0.3">
      <c r="A149" s="724" t="s">
        <v>552</v>
      </c>
      <c r="B149" s="725" t="s">
        <v>1679</v>
      </c>
      <c r="C149" s="726" t="s">
        <v>569</v>
      </c>
      <c r="D149" s="727" t="s">
        <v>1680</v>
      </c>
      <c r="E149" s="726" t="s">
        <v>2942</v>
      </c>
      <c r="F149" s="727" t="s">
        <v>2943</v>
      </c>
      <c r="G149" s="726" t="s">
        <v>2282</v>
      </c>
      <c r="H149" s="726" t="s">
        <v>2283</v>
      </c>
      <c r="I149" s="728">
        <v>1083.8900000000001</v>
      </c>
      <c r="J149" s="728">
        <v>1</v>
      </c>
      <c r="K149" s="729">
        <v>1083.8900000000001</v>
      </c>
    </row>
    <row r="150" spans="1:11" ht="14.4" customHeight="1" x14ac:dyDescent="0.3">
      <c r="A150" s="724" t="s">
        <v>552</v>
      </c>
      <c r="B150" s="725" t="s">
        <v>1679</v>
      </c>
      <c r="C150" s="726" t="s">
        <v>569</v>
      </c>
      <c r="D150" s="727" t="s">
        <v>1680</v>
      </c>
      <c r="E150" s="726" t="s">
        <v>2942</v>
      </c>
      <c r="F150" s="727" t="s">
        <v>2943</v>
      </c>
      <c r="G150" s="726" t="s">
        <v>2284</v>
      </c>
      <c r="H150" s="726" t="s">
        <v>2285</v>
      </c>
      <c r="I150" s="728">
        <v>39.1</v>
      </c>
      <c r="J150" s="728">
        <v>75</v>
      </c>
      <c r="K150" s="729">
        <v>2932.5</v>
      </c>
    </row>
    <row r="151" spans="1:11" ht="14.4" customHeight="1" x14ac:dyDescent="0.3">
      <c r="A151" s="724" t="s">
        <v>552</v>
      </c>
      <c r="B151" s="725" t="s">
        <v>1679</v>
      </c>
      <c r="C151" s="726" t="s">
        <v>569</v>
      </c>
      <c r="D151" s="727" t="s">
        <v>1680</v>
      </c>
      <c r="E151" s="726" t="s">
        <v>2942</v>
      </c>
      <c r="F151" s="727" t="s">
        <v>2943</v>
      </c>
      <c r="G151" s="726" t="s">
        <v>2286</v>
      </c>
      <c r="H151" s="726" t="s">
        <v>2287</v>
      </c>
      <c r="I151" s="728">
        <v>713.56</v>
      </c>
      <c r="J151" s="728">
        <v>1</v>
      </c>
      <c r="K151" s="729">
        <v>713.56</v>
      </c>
    </row>
    <row r="152" spans="1:11" ht="14.4" customHeight="1" x14ac:dyDescent="0.3">
      <c r="A152" s="724" t="s">
        <v>552</v>
      </c>
      <c r="B152" s="725" t="s">
        <v>1679</v>
      </c>
      <c r="C152" s="726" t="s">
        <v>569</v>
      </c>
      <c r="D152" s="727" t="s">
        <v>1680</v>
      </c>
      <c r="E152" s="726" t="s">
        <v>2942</v>
      </c>
      <c r="F152" s="727" t="s">
        <v>2943</v>
      </c>
      <c r="G152" s="726" t="s">
        <v>2288</v>
      </c>
      <c r="H152" s="726" t="s">
        <v>2289</v>
      </c>
      <c r="I152" s="728">
        <v>15.64</v>
      </c>
      <c r="J152" s="728">
        <v>40</v>
      </c>
      <c r="K152" s="729">
        <v>625.6</v>
      </c>
    </row>
    <row r="153" spans="1:11" ht="14.4" customHeight="1" x14ac:dyDescent="0.3">
      <c r="A153" s="724" t="s">
        <v>552</v>
      </c>
      <c r="B153" s="725" t="s">
        <v>1679</v>
      </c>
      <c r="C153" s="726" t="s">
        <v>569</v>
      </c>
      <c r="D153" s="727" t="s">
        <v>1680</v>
      </c>
      <c r="E153" s="726" t="s">
        <v>2942</v>
      </c>
      <c r="F153" s="727" t="s">
        <v>2943</v>
      </c>
      <c r="G153" s="726" t="s">
        <v>2290</v>
      </c>
      <c r="H153" s="726" t="s">
        <v>2291</v>
      </c>
      <c r="I153" s="728">
        <v>17.13</v>
      </c>
      <c r="J153" s="728">
        <v>90</v>
      </c>
      <c r="K153" s="729">
        <v>1542.1999999999998</v>
      </c>
    </row>
    <row r="154" spans="1:11" ht="14.4" customHeight="1" x14ac:dyDescent="0.3">
      <c r="A154" s="724" t="s">
        <v>552</v>
      </c>
      <c r="B154" s="725" t="s">
        <v>1679</v>
      </c>
      <c r="C154" s="726" t="s">
        <v>569</v>
      </c>
      <c r="D154" s="727" t="s">
        <v>1680</v>
      </c>
      <c r="E154" s="726" t="s">
        <v>2942</v>
      </c>
      <c r="F154" s="727" t="s">
        <v>2943</v>
      </c>
      <c r="G154" s="726" t="s">
        <v>2222</v>
      </c>
      <c r="H154" s="726" t="s">
        <v>2223</v>
      </c>
      <c r="I154" s="728">
        <v>13.22</v>
      </c>
      <c r="J154" s="728">
        <v>50</v>
      </c>
      <c r="K154" s="729">
        <v>661</v>
      </c>
    </row>
    <row r="155" spans="1:11" ht="14.4" customHeight="1" x14ac:dyDescent="0.3">
      <c r="A155" s="724" t="s">
        <v>552</v>
      </c>
      <c r="B155" s="725" t="s">
        <v>1679</v>
      </c>
      <c r="C155" s="726" t="s">
        <v>569</v>
      </c>
      <c r="D155" s="727" t="s">
        <v>1680</v>
      </c>
      <c r="E155" s="726" t="s">
        <v>2942</v>
      </c>
      <c r="F155" s="727" t="s">
        <v>2943</v>
      </c>
      <c r="G155" s="726" t="s">
        <v>2292</v>
      </c>
      <c r="H155" s="726" t="s">
        <v>2293</v>
      </c>
      <c r="I155" s="728">
        <v>573.85</v>
      </c>
      <c r="J155" s="728">
        <v>11</v>
      </c>
      <c r="K155" s="729">
        <v>6312.35</v>
      </c>
    </row>
    <row r="156" spans="1:11" ht="14.4" customHeight="1" x14ac:dyDescent="0.3">
      <c r="A156" s="724" t="s">
        <v>552</v>
      </c>
      <c r="B156" s="725" t="s">
        <v>1679</v>
      </c>
      <c r="C156" s="726" t="s">
        <v>569</v>
      </c>
      <c r="D156" s="727" t="s">
        <v>1680</v>
      </c>
      <c r="E156" s="726" t="s">
        <v>2942</v>
      </c>
      <c r="F156" s="727" t="s">
        <v>2943</v>
      </c>
      <c r="G156" s="726" t="s">
        <v>2294</v>
      </c>
      <c r="H156" s="726" t="s">
        <v>2295</v>
      </c>
      <c r="I156" s="728">
        <v>355.35</v>
      </c>
      <c r="J156" s="728">
        <v>9</v>
      </c>
      <c r="K156" s="729">
        <v>3198.15</v>
      </c>
    </row>
    <row r="157" spans="1:11" ht="14.4" customHeight="1" x14ac:dyDescent="0.3">
      <c r="A157" s="724" t="s">
        <v>552</v>
      </c>
      <c r="B157" s="725" t="s">
        <v>1679</v>
      </c>
      <c r="C157" s="726" t="s">
        <v>569</v>
      </c>
      <c r="D157" s="727" t="s">
        <v>1680</v>
      </c>
      <c r="E157" s="726" t="s">
        <v>2942</v>
      </c>
      <c r="F157" s="727" t="s">
        <v>2943</v>
      </c>
      <c r="G157" s="726" t="s">
        <v>2296</v>
      </c>
      <c r="H157" s="726" t="s">
        <v>2297</v>
      </c>
      <c r="I157" s="728">
        <v>0.49</v>
      </c>
      <c r="J157" s="728">
        <v>4000</v>
      </c>
      <c r="K157" s="729">
        <v>1966</v>
      </c>
    </row>
    <row r="158" spans="1:11" ht="14.4" customHeight="1" x14ac:dyDescent="0.3">
      <c r="A158" s="724" t="s">
        <v>552</v>
      </c>
      <c r="B158" s="725" t="s">
        <v>1679</v>
      </c>
      <c r="C158" s="726" t="s">
        <v>569</v>
      </c>
      <c r="D158" s="727" t="s">
        <v>1680</v>
      </c>
      <c r="E158" s="726" t="s">
        <v>2942</v>
      </c>
      <c r="F158" s="727" t="s">
        <v>2943</v>
      </c>
      <c r="G158" s="726" t="s">
        <v>2298</v>
      </c>
      <c r="H158" s="726" t="s">
        <v>2299</v>
      </c>
      <c r="I158" s="728">
        <v>0.8</v>
      </c>
      <c r="J158" s="728">
        <v>1200</v>
      </c>
      <c r="K158" s="729">
        <v>964.63</v>
      </c>
    </row>
    <row r="159" spans="1:11" ht="14.4" customHeight="1" x14ac:dyDescent="0.3">
      <c r="A159" s="724" t="s">
        <v>552</v>
      </c>
      <c r="B159" s="725" t="s">
        <v>1679</v>
      </c>
      <c r="C159" s="726" t="s">
        <v>569</v>
      </c>
      <c r="D159" s="727" t="s">
        <v>1680</v>
      </c>
      <c r="E159" s="726" t="s">
        <v>2944</v>
      </c>
      <c r="F159" s="727" t="s">
        <v>2945</v>
      </c>
      <c r="G159" s="726" t="s">
        <v>2300</v>
      </c>
      <c r="H159" s="726" t="s">
        <v>2301</v>
      </c>
      <c r="I159" s="728">
        <v>63.36</v>
      </c>
      <c r="J159" s="728">
        <v>100</v>
      </c>
      <c r="K159" s="729">
        <v>6336.47</v>
      </c>
    </row>
    <row r="160" spans="1:11" ht="14.4" customHeight="1" x14ac:dyDescent="0.3">
      <c r="A160" s="724" t="s">
        <v>552</v>
      </c>
      <c r="B160" s="725" t="s">
        <v>1679</v>
      </c>
      <c r="C160" s="726" t="s">
        <v>569</v>
      </c>
      <c r="D160" s="727" t="s">
        <v>1680</v>
      </c>
      <c r="E160" s="726" t="s">
        <v>2944</v>
      </c>
      <c r="F160" s="727" t="s">
        <v>2945</v>
      </c>
      <c r="G160" s="726" t="s">
        <v>2224</v>
      </c>
      <c r="H160" s="726" t="s">
        <v>2225</v>
      </c>
      <c r="I160" s="728">
        <v>268.62</v>
      </c>
      <c r="J160" s="728">
        <v>80</v>
      </c>
      <c r="K160" s="729">
        <v>21489.599999999999</v>
      </c>
    </row>
    <row r="161" spans="1:11" ht="14.4" customHeight="1" x14ac:dyDescent="0.3">
      <c r="A161" s="724" t="s">
        <v>552</v>
      </c>
      <c r="B161" s="725" t="s">
        <v>1679</v>
      </c>
      <c r="C161" s="726" t="s">
        <v>569</v>
      </c>
      <c r="D161" s="727" t="s">
        <v>1680</v>
      </c>
      <c r="E161" s="726" t="s">
        <v>2944</v>
      </c>
      <c r="F161" s="727" t="s">
        <v>2945</v>
      </c>
      <c r="G161" s="726" t="s">
        <v>2226</v>
      </c>
      <c r="H161" s="726" t="s">
        <v>2227</v>
      </c>
      <c r="I161" s="728">
        <v>2.83</v>
      </c>
      <c r="J161" s="728">
        <v>50</v>
      </c>
      <c r="K161" s="729">
        <v>141.5</v>
      </c>
    </row>
    <row r="162" spans="1:11" ht="14.4" customHeight="1" x14ac:dyDescent="0.3">
      <c r="A162" s="724" t="s">
        <v>552</v>
      </c>
      <c r="B162" s="725" t="s">
        <v>1679</v>
      </c>
      <c r="C162" s="726" t="s">
        <v>569</v>
      </c>
      <c r="D162" s="727" t="s">
        <v>1680</v>
      </c>
      <c r="E162" s="726" t="s">
        <v>2944</v>
      </c>
      <c r="F162" s="727" t="s">
        <v>2945</v>
      </c>
      <c r="G162" s="726" t="s">
        <v>2302</v>
      </c>
      <c r="H162" s="726" t="s">
        <v>2303</v>
      </c>
      <c r="I162" s="728">
        <v>15.93</v>
      </c>
      <c r="J162" s="728">
        <v>100</v>
      </c>
      <c r="K162" s="729">
        <v>1593</v>
      </c>
    </row>
    <row r="163" spans="1:11" ht="14.4" customHeight="1" x14ac:dyDescent="0.3">
      <c r="A163" s="724" t="s">
        <v>552</v>
      </c>
      <c r="B163" s="725" t="s">
        <v>1679</v>
      </c>
      <c r="C163" s="726" t="s">
        <v>569</v>
      </c>
      <c r="D163" s="727" t="s">
        <v>1680</v>
      </c>
      <c r="E163" s="726" t="s">
        <v>2944</v>
      </c>
      <c r="F163" s="727" t="s">
        <v>2945</v>
      </c>
      <c r="G163" s="726" t="s">
        <v>2304</v>
      </c>
      <c r="H163" s="726" t="s">
        <v>2305</v>
      </c>
      <c r="I163" s="728">
        <v>7.43</v>
      </c>
      <c r="J163" s="728">
        <v>1380</v>
      </c>
      <c r="K163" s="729">
        <v>10253.4</v>
      </c>
    </row>
    <row r="164" spans="1:11" ht="14.4" customHeight="1" x14ac:dyDescent="0.3">
      <c r="A164" s="724" t="s">
        <v>552</v>
      </c>
      <c r="B164" s="725" t="s">
        <v>1679</v>
      </c>
      <c r="C164" s="726" t="s">
        <v>569</v>
      </c>
      <c r="D164" s="727" t="s">
        <v>1680</v>
      </c>
      <c r="E164" s="726" t="s">
        <v>2944</v>
      </c>
      <c r="F164" s="727" t="s">
        <v>2945</v>
      </c>
      <c r="G164" s="726" t="s">
        <v>2136</v>
      </c>
      <c r="H164" s="726" t="s">
        <v>2137</v>
      </c>
      <c r="I164" s="728">
        <v>1.0900000000000001</v>
      </c>
      <c r="J164" s="728">
        <v>2000</v>
      </c>
      <c r="K164" s="729">
        <v>2180</v>
      </c>
    </row>
    <row r="165" spans="1:11" ht="14.4" customHeight="1" x14ac:dyDescent="0.3">
      <c r="A165" s="724" t="s">
        <v>552</v>
      </c>
      <c r="B165" s="725" t="s">
        <v>1679</v>
      </c>
      <c r="C165" s="726" t="s">
        <v>569</v>
      </c>
      <c r="D165" s="727" t="s">
        <v>1680</v>
      </c>
      <c r="E165" s="726" t="s">
        <v>2944</v>
      </c>
      <c r="F165" s="727" t="s">
        <v>2945</v>
      </c>
      <c r="G165" s="726" t="s">
        <v>2138</v>
      </c>
      <c r="H165" s="726" t="s">
        <v>2139</v>
      </c>
      <c r="I165" s="728">
        <v>1.67</v>
      </c>
      <c r="J165" s="728">
        <v>1200</v>
      </c>
      <c r="K165" s="729">
        <v>2004</v>
      </c>
    </row>
    <row r="166" spans="1:11" ht="14.4" customHeight="1" x14ac:dyDescent="0.3">
      <c r="A166" s="724" t="s">
        <v>552</v>
      </c>
      <c r="B166" s="725" t="s">
        <v>1679</v>
      </c>
      <c r="C166" s="726" t="s">
        <v>569</v>
      </c>
      <c r="D166" s="727" t="s">
        <v>1680</v>
      </c>
      <c r="E166" s="726" t="s">
        <v>2944</v>
      </c>
      <c r="F166" s="727" t="s">
        <v>2945</v>
      </c>
      <c r="G166" s="726" t="s">
        <v>2140</v>
      </c>
      <c r="H166" s="726" t="s">
        <v>2141</v>
      </c>
      <c r="I166" s="728">
        <v>0.48</v>
      </c>
      <c r="J166" s="728">
        <v>1200</v>
      </c>
      <c r="K166" s="729">
        <v>576</v>
      </c>
    </row>
    <row r="167" spans="1:11" ht="14.4" customHeight="1" x14ac:dyDescent="0.3">
      <c r="A167" s="724" t="s">
        <v>552</v>
      </c>
      <c r="B167" s="725" t="s">
        <v>1679</v>
      </c>
      <c r="C167" s="726" t="s">
        <v>569</v>
      </c>
      <c r="D167" s="727" t="s">
        <v>1680</v>
      </c>
      <c r="E167" s="726" t="s">
        <v>2944</v>
      </c>
      <c r="F167" s="727" t="s">
        <v>2945</v>
      </c>
      <c r="G167" s="726" t="s">
        <v>2142</v>
      </c>
      <c r="H167" s="726" t="s">
        <v>2143</v>
      </c>
      <c r="I167" s="728">
        <v>0.67</v>
      </c>
      <c r="J167" s="728">
        <v>500</v>
      </c>
      <c r="K167" s="729">
        <v>335</v>
      </c>
    </row>
    <row r="168" spans="1:11" ht="14.4" customHeight="1" x14ac:dyDescent="0.3">
      <c r="A168" s="724" t="s">
        <v>552</v>
      </c>
      <c r="B168" s="725" t="s">
        <v>1679</v>
      </c>
      <c r="C168" s="726" t="s">
        <v>569</v>
      </c>
      <c r="D168" s="727" t="s">
        <v>1680</v>
      </c>
      <c r="E168" s="726" t="s">
        <v>2944</v>
      </c>
      <c r="F168" s="727" t="s">
        <v>2945</v>
      </c>
      <c r="G168" s="726" t="s">
        <v>2306</v>
      </c>
      <c r="H168" s="726" t="s">
        <v>2307</v>
      </c>
      <c r="I168" s="728">
        <v>6.23</v>
      </c>
      <c r="J168" s="728">
        <v>240</v>
      </c>
      <c r="K168" s="729">
        <v>1495.2</v>
      </c>
    </row>
    <row r="169" spans="1:11" ht="14.4" customHeight="1" x14ac:dyDescent="0.3">
      <c r="A169" s="724" t="s">
        <v>552</v>
      </c>
      <c r="B169" s="725" t="s">
        <v>1679</v>
      </c>
      <c r="C169" s="726" t="s">
        <v>569</v>
      </c>
      <c r="D169" s="727" t="s">
        <v>1680</v>
      </c>
      <c r="E169" s="726" t="s">
        <v>2944</v>
      </c>
      <c r="F169" s="727" t="s">
        <v>2945</v>
      </c>
      <c r="G169" s="726" t="s">
        <v>2232</v>
      </c>
      <c r="H169" s="726" t="s">
        <v>2233</v>
      </c>
      <c r="I169" s="728">
        <v>2.1800000000000002</v>
      </c>
      <c r="J169" s="728">
        <v>400</v>
      </c>
      <c r="K169" s="729">
        <v>870.96</v>
      </c>
    </row>
    <row r="170" spans="1:11" ht="14.4" customHeight="1" x14ac:dyDescent="0.3">
      <c r="A170" s="724" t="s">
        <v>552</v>
      </c>
      <c r="B170" s="725" t="s">
        <v>1679</v>
      </c>
      <c r="C170" s="726" t="s">
        <v>569</v>
      </c>
      <c r="D170" s="727" t="s">
        <v>1680</v>
      </c>
      <c r="E170" s="726" t="s">
        <v>2944</v>
      </c>
      <c r="F170" s="727" t="s">
        <v>2945</v>
      </c>
      <c r="G170" s="726" t="s">
        <v>2308</v>
      </c>
      <c r="H170" s="726" t="s">
        <v>2309</v>
      </c>
      <c r="I170" s="728">
        <v>42.35</v>
      </c>
      <c r="J170" s="728">
        <v>5</v>
      </c>
      <c r="K170" s="729">
        <v>211.75</v>
      </c>
    </row>
    <row r="171" spans="1:11" ht="14.4" customHeight="1" x14ac:dyDescent="0.3">
      <c r="A171" s="724" t="s">
        <v>552</v>
      </c>
      <c r="B171" s="725" t="s">
        <v>1679</v>
      </c>
      <c r="C171" s="726" t="s">
        <v>569</v>
      </c>
      <c r="D171" s="727" t="s">
        <v>1680</v>
      </c>
      <c r="E171" s="726" t="s">
        <v>2944</v>
      </c>
      <c r="F171" s="727" t="s">
        <v>2945</v>
      </c>
      <c r="G171" s="726" t="s">
        <v>2310</v>
      </c>
      <c r="H171" s="726" t="s">
        <v>2311</v>
      </c>
      <c r="I171" s="728">
        <v>80.569999999999993</v>
      </c>
      <c r="J171" s="728">
        <v>40</v>
      </c>
      <c r="K171" s="729">
        <v>3222.8</v>
      </c>
    </row>
    <row r="172" spans="1:11" ht="14.4" customHeight="1" x14ac:dyDescent="0.3">
      <c r="A172" s="724" t="s">
        <v>552</v>
      </c>
      <c r="B172" s="725" t="s">
        <v>1679</v>
      </c>
      <c r="C172" s="726" t="s">
        <v>569</v>
      </c>
      <c r="D172" s="727" t="s">
        <v>1680</v>
      </c>
      <c r="E172" s="726" t="s">
        <v>2944</v>
      </c>
      <c r="F172" s="727" t="s">
        <v>2945</v>
      </c>
      <c r="G172" s="726" t="s">
        <v>2312</v>
      </c>
      <c r="H172" s="726" t="s">
        <v>2313</v>
      </c>
      <c r="I172" s="728">
        <v>45.5</v>
      </c>
      <c r="J172" s="728">
        <v>60</v>
      </c>
      <c r="K172" s="729">
        <v>2729.76</v>
      </c>
    </row>
    <row r="173" spans="1:11" ht="14.4" customHeight="1" x14ac:dyDescent="0.3">
      <c r="A173" s="724" t="s">
        <v>552</v>
      </c>
      <c r="B173" s="725" t="s">
        <v>1679</v>
      </c>
      <c r="C173" s="726" t="s">
        <v>569</v>
      </c>
      <c r="D173" s="727" t="s">
        <v>1680</v>
      </c>
      <c r="E173" s="726" t="s">
        <v>2944</v>
      </c>
      <c r="F173" s="727" t="s">
        <v>2945</v>
      </c>
      <c r="G173" s="726" t="s">
        <v>2314</v>
      </c>
      <c r="H173" s="726" t="s">
        <v>2315</v>
      </c>
      <c r="I173" s="728">
        <v>2.78</v>
      </c>
      <c r="J173" s="728">
        <v>600</v>
      </c>
      <c r="K173" s="729">
        <v>1668</v>
      </c>
    </row>
    <row r="174" spans="1:11" ht="14.4" customHeight="1" x14ac:dyDescent="0.3">
      <c r="A174" s="724" t="s">
        <v>552</v>
      </c>
      <c r="B174" s="725" t="s">
        <v>1679</v>
      </c>
      <c r="C174" s="726" t="s">
        <v>569</v>
      </c>
      <c r="D174" s="727" t="s">
        <v>1680</v>
      </c>
      <c r="E174" s="726" t="s">
        <v>2944</v>
      </c>
      <c r="F174" s="727" t="s">
        <v>2945</v>
      </c>
      <c r="G174" s="726" t="s">
        <v>2146</v>
      </c>
      <c r="H174" s="726" t="s">
        <v>2147</v>
      </c>
      <c r="I174" s="728">
        <v>1.99</v>
      </c>
      <c r="J174" s="728">
        <v>400</v>
      </c>
      <c r="K174" s="729">
        <v>796</v>
      </c>
    </row>
    <row r="175" spans="1:11" ht="14.4" customHeight="1" x14ac:dyDescent="0.3">
      <c r="A175" s="724" t="s">
        <v>552</v>
      </c>
      <c r="B175" s="725" t="s">
        <v>1679</v>
      </c>
      <c r="C175" s="726" t="s">
        <v>569</v>
      </c>
      <c r="D175" s="727" t="s">
        <v>1680</v>
      </c>
      <c r="E175" s="726" t="s">
        <v>2944</v>
      </c>
      <c r="F175" s="727" t="s">
        <v>2945</v>
      </c>
      <c r="G175" s="726" t="s">
        <v>2316</v>
      </c>
      <c r="H175" s="726" t="s">
        <v>2317</v>
      </c>
      <c r="I175" s="728">
        <v>3.1</v>
      </c>
      <c r="J175" s="728">
        <v>50</v>
      </c>
      <c r="K175" s="729">
        <v>155</v>
      </c>
    </row>
    <row r="176" spans="1:11" ht="14.4" customHeight="1" x14ac:dyDescent="0.3">
      <c r="A176" s="724" t="s">
        <v>552</v>
      </c>
      <c r="B176" s="725" t="s">
        <v>1679</v>
      </c>
      <c r="C176" s="726" t="s">
        <v>569</v>
      </c>
      <c r="D176" s="727" t="s">
        <v>1680</v>
      </c>
      <c r="E176" s="726" t="s">
        <v>2944</v>
      </c>
      <c r="F176" s="727" t="s">
        <v>2945</v>
      </c>
      <c r="G176" s="726" t="s">
        <v>2318</v>
      </c>
      <c r="H176" s="726" t="s">
        <v>2319</v>
      </c>
      <c r="I176" s="728">
        <v>1.92</v>
      </c>
      <c r="J176" s="728">
        <v>50</v>
      </c>
      <c r="K176" s="729">
        <v>96</v>
      </c>
    </row>
    <row r="177" spans="1:11" ht="14.4" customHeight="1" x14ac:dyDescent="0.3">
      <c r="A177" s="724" t="s">
        <v>552</v>
      </c>
      <c r="B177" s="725" t="s">
        <v>1679</v>
      </c>
      <c r="C177" s="726" t="s">
        <v>569</v>
      </c>
      <c r="D177" s="727" t="s">
        <v>1680</v>
      </c>
      <c r="E177" s="726" t="s">
        <v>2944</v>
      </c>
      <c r="F177" s="727" t="s">
        <v>2945</v>
      </c>
      <c r="G177" s="726" t="s">
        <v>2320</v>
      </c>
      <c r="H177" s="726" t="s">
        <v>2321</v>
      </c>
      <c r="I177" s="728">
        <v>2.04</v>
      </c>
      <c r="J177" s="728">
        <v>600</v>
      </c>
      <c r="K177" s="729">
        <v>1224</v>
      </c>
    </row>
    <row r="178" spans="1:11" ht="14.4" customHeight="1" x14ac:dyDescent="0.3">
      <c r="A178" s="724" t="s">
        <v>552</v>
      </c>
      <c r="B178" s="725" t="s">
        <v>1679</v>
      </c>
      <c r="C178" s="726" t="s">
        <v>569</v>
      </c>
      <c r="D178" s="727" t="s">
        <v>1680</v>
      </c>
      <c r="E178" s="726" t="s">
        <v>2944</v>
      </c>
      <c r="F178" s="727" t="s">
        <v>2945</v>
      </c>
      <c r="G178" s="726" t="s">
        <v>2322</v>
      </c>
      <c r="H178" s="726" t="s">
        <v>2323</v>
      </c>
      <c r="I178" s="728">
        <v>1.99</v>
      </c>
      <c r="J178" s="728">
        <v>50</v>
      </c>
      <c r="K178" s="729">
        <v>99.5</v>
      </c>
    </row>
    <row r="179" spans="1:11" ht="14.4" customHeight="1" x14ac:dyDescent="0.3">
      <c r="A179" s="724" t="s">
        <v>552</v>
      </c>
      <c r="B179" s="725" t="s">
        <v>1679</v>
      </c>
      <c r="C179" s="726" t="s">
        <v>569</v>
      </c>
      <c r="D179" s="727" t="s">
        <v>1680</v>
      </c>
      <c r="E179" s="726" t="s">
        <v>2944</v>
      </c>
      <c r="F179" s="727" t="s">
        <v>2945</v>
      </c>
      <c r="G179" s="726" t="s">
        <v>2236</v>
      </c>
      <c r="H179" s="726" t="s">
        <v>2237</v>
      </c>
      <c r="I179" s="728">
        <v>3.07</v>
      </c>
      <c r="J179" s="728">
        <v>250</v>
      </c>
      <c r="K179" s="729">
        <v>767.5</v>
      </c>
    </row>
    <row r="180" spans="1:11" ht="14.4" customHeight="1" x14ac:dyDescent="0.3">
      <c r="A180" s="724" t="s">
        <v>552</v>
      </c>
      <c r="B180" s="725" t="s">
        <v>1679</v>
      </c>
      <c r="C180" s="726" t="s">
        <v>569</v>
      </c>
      <c r="D180" s="727" t="s">
        <v>1680</v>
      </c>
      <c r="E180" s="726" t="s">
        <v>2944</v>
      </c>
      <c r="F180" s="727" t="s">
        <v>2945</v>
      </c>
      <c r="G180" s="726" t="s">
        <v>2152</v>
      </c>
      <c r="H180" s="726" t="s">
        <v>2153</v>
      </c>
      <c r="I180" s="728">
        <v>2.165</v>
      </c>
      <c r="J180" s="728">
        <v>400</v>
      </c>
      <c r="K180" s="729">
        <v>865</v>
      </c>
    </row>
    <row r="181" spans="1:11" ht="14.4" customHeight="1" x14ac:dyDescent="0.3">
      <c r="A181" s="724" t="s">
        <v>552</v>
      </c>
      <c r="B181" s="725" t="s">
        <v>1679</v>
      </c>
      <c r="C181" s="726" t="s">
        <v>569</v>
      </c>
      <c r="D181" s="727" t="s">
        <v>1680</v>
      </c>
      <c r="E181" s="726" t="s">
        <v>2944</v>
      </c>
      <c r="F181" s="727" t="s">
        <v>2945</v>
      </c>
      <c r="G181" s="726" t="s">
        <v>2324</v>
      </c>
      <c r="H181" s="726" t="s">
        <v>2325</v>
      </c>
      <c r="I181" s="728">
        <v>8.76</v>
      </c>
      <c r="J181" s="728">
        <v>650</v>
      </c>
      <c r="K181" s="729">
        <v>5694.26</v>
      </c>
    </row>
    <row r="182" spans="1:11" ht="14.4" customHeight="1" x14ac:dyDescent="0.3">
      <c r="A182" s="724" t="s">
        <v>552</v>
      </c>
      <c r="B182" s="725" t="s">
        <v>1679</v>
      </c>
      <c r="C182" s="726" t="s">
        <v>569</v>
      </c>
      <c r="D182" s="727" t="s">
        <v>1680</v>
      </c>
      <c r="E182" s="726" t="s">
        <v>2944</v>
      </c>
      <c r="F182" s="727" t="s">
        <v>2945</v>
      </c>
      <c r="G182" s="726" t="s">
        <v>2326</v>
      </c>
      <c r="H182" s="726" t="s">
        <v>2327</v>
      </c>
      <c r="I182" s="728">
        <v>37.15</v>
      </c>
      <c r="J182" s="728">
        <v>400</v>
      </c>
      <c r="K182" s="729">
        <v>14859.4</v>
      </c>
    </row>
    <row r="183" spans="1:11" ht="14.4" customHeight="1" x14ac:dyDescent="0.3">
      <c r="A183" s="724" t="s">
        <v>552</v>
      </c>
      <c r="B183" s="725" t="s">
        <v>1679</v>
      </c>
      <c r="C183" s="726" t="s">
        <v>569</v>
      </c>
      <c r="D183" s="727" t="s">
        <v>1680</v>
      </c>
      <c r="E183" s="726" t="s">
        <v>2944</v>
      </c>
      <c r="F183" s="727" t="s">
        <v>2945</v>
      </c>
      <c r="G183" s="726" t="s">
        <v>2328</v>
      </c>
      <c r="H183" s="726" t="s">
        <v>2329</v>
      </c>
      <c r="I183" s="728">
        <v>33.880000000000003</v>
      </c>
      <c r="J183" s="728">
        <v>5</v>
      </c>
      <c r="K183" s="729">
        <v>169.4</v>
      </c>
    </row>
    <row r="184" spans="1:11" ht="14.4" customHeight="1" x14ac:dyDescent="0.3">
      <c r="A184" s="724" t="s">
        <v>552</v>
      </c>
      <c r="B184" s="725" t="s">
        <v>1679</v>
      </c>
      <c r="C184" s="726" t="s">
        <v>569</v>
      </c>
      <c r="D184" s="727" t="s">
        <v>1680</v>
      </c>
      <c r="E184" s="726" t="s">
        <v>2944</v>
      </c>
      <c r="F184" s="727" t="s">
        <v>2945</v>
      </c>
      <c r="G184" s="726" t="s">
        <v>2156</v>
      </c>
      <c r="H184" s="726" t="s">
        <v>2157</v>
      </c>
      <c r="I184" s="728">
        <v>2.1800000000000002</v>
      </c>
      <c r="J184" s="728">
        <v>600</v>
      </c>
      <c r="K184" s="729">
        <v>1308</v>
      </c>
    </row>
    <row r="185" spans="1:11" ht="14.4" customHeight="1" x14ac:dyDescent="0.3">
      <c r="A185" s="724" t="s">
        <v>552</v>
      </c>
      <c r="B185" s="725" t="s">
        <v>1679</v>
      </c>
      <c r="C185" s="726" t="s">
        <v>569</v>
      </c>
      <c r="D185" s="727" t="s">
        <v>1680</v>
      </c>
      <c r="E185" s="726" t="s">
        <v>2944</v>
      </c>
      <c r="F185" s="727" t="s">
        <v>2945</v>
      </c>
      <c r="G185" s="726" t="s">
        <v>2330</v>
      </c>
      <c r="H185" s="726" t="s">
        <v>2331</v>
      </c>
      <c r="I185" s="728">
        <v>414</v>
      </c>
      <c r="J185" s="728">
        <v>40</v>
      </c>
      <c r="K185" s="729">
        <v>16560</v>
      </c>
    </row>
    <row r="186" spans="1:11" ht="14.4" customHeight="1" x14ac:dyDescent="0.3">
      <c r="A186" s="724" t="s">
        <v>552</v>
      </c>
      <c r="B186" s="725" t="s">
        <v>1679</v>
      </c>
      <c r="C186" s="726" t="s">
        <v>569</v>
      </c>
      <c r="D186" s="727" t="s">
        <v>1680</v>
      </c>
      <c r="E186" s="726" t="s">
        <v>2944</v>
      </c>
      <c r="F186" s="727" t="s">
        <v>2945</v>
      </c>
      <c r="G186" s="726" t="s">
        <v>2158</v>
      </c>
      <c r="H186" s="726" t="s">
        <v>2159</v>
      </c>
      <c r="I186" s="728">
        <v>112.2</v>
      </c>
      <c r="J186" s="728">
        <v>5</v>
      </c>
      <c r="K186" s="729">
        <v>561</v>
      </c>
    </row>
    <row r="187" spans="1:11" ht="14.4" customHeight="1" x14ac:dyDescent="0.3">
      <c r="A187" s="724" t="s">
        <v>552</v>
      </c>
      <c r="B187" s="725" t="s">
        <v>1679</v>
      </c>
      <c r="C187" s="726" t="s">
        <v>569</v>
      </c>
      <c r="D187" s="727" t="s">
        <v>1680</v>
      </c>
      <c r="E187" s="726" t="s">
        <v>2944</v>
      </c>
      <c r="F187" s="727" t="s">
        <v>2945</v>
      </c>
      <c r="G187" s="726" t="s">
        <v>2238</v>
      </c>
      <c r="H187" s="726" t="s">
        <v>2239</v>
      </c>
      <c r="I187" s="728">
        <v>13.31</v>
      </c>
      <c r="J187" s="728">
        <v>40</v>
      </c>
      <c r="K187" s="729">
        <v>532.4</v>
      </c>
    </row>
    <row r="188" spans="1:11" ht="14.4" customHeight="1" x14ac:dyDescent="0.3">
      <c r="A188" s="724" t="s">
        <v>552</v>
      </c>
      <c r="B188" s="725" t="s">
        <v>1679</v>
      </c>
      <c r="C188" s="726" t="s">
        <v>569</v>
      </c>
      <c r="D188" s="727" t="s">
        <v>1680</v>
      </c>
      <c r="E188" s="726" t="s">
        <v>2944</v>
      </c>
      <c r="F188" s="727" t="s">
        <v>2945</v>
      </c>
      <c r="G188" s="726" t="s">
        <v>2164</v>
      </c>
      <c r="H188" s="726" t="s">
        <v>2165</v>
      </c>
      <c r="I188" s="728">
        <v>11.74</v>
      </c>
      <c r="J188" s="728">
        <v>70</v>
      </c>
      <c r="K188" s="729">
        <v>821.8</v>
      </c>
    </row>
    <row r="189" spans="1:11" ht="14.4" customHeight="1" x14ac:dyDescent="0.3">
      <c r="A189" s="724" t="s">
        <v>552</v>
      </c>
      <c r="B189" s="725" t="s">
        <v>1679</v>
      </c>
      <c r="C189" s="726" t="s">
        <v>569</v>
      </c>
      <c r="D189" s="727" t="s">
        <v>1680</v>
      </c>
      <c r="E189" s="726" t="s">
        <v>2944</v>
      </c>
      <c r="F189" s="727" t="s">
        <v>2945</v>
      </c>
      <c r="G189" s="726" t="s">
        <v>2332</v>
      </c>
      <c r="H189" s="726" t="s">
        <v>2333</v>
      </c>
      <c r="I189" s="728">
        <v>2.52</v>
      </c>
      <c r="J189" s="728">
        <v>50</v>
      </c>
      <c r="K189" s="729">
        <v>126</v>
      </c>
    </row>
    <row r="190" spans="1:11" ht="14.4" customHeight="1" x14ac:dyDescent="0.3">
      <c r="A190" s="724" t="s">
        <v>552</v>
      </c>
      <c r="B190" s="725" t="s">
        <v>1679</v>
      </c>
      <c r="C190" s="726" t="s">
        <v>569</v>
      </c>
      <c r="D190" s="727" t="s">
        <v>1680</v>
      </c>
      <c r="E190" s="726" t="s">
        <v>2944</v>
      </c>
      <c r="F190" s="727" t="s">
        <v>2945</v>
      </c>
      <c r="G190" s="726" t="s">
        <v>2168</v>
      </c>
      <c r="H190" s="726" t="s">
        <v>2169</v>
      </c>
      <c r="I190" s="728">
        <v>1.27</v>
      </c>
      <c r="J190" s="728">
        <v>1125</v>
      </c>
      <c r="K190" s="729">
        <v>1428.75</v>
      </c>
    </row>
    <row r="191" spans="1:11" ht="14.4" customHeight="1" x14ac:dyDescent="0.3">
      <c r="A191" s="724" t="s">
        <v>552</v>
      </c>
      <c r="B191" s="725" t="s">
        <v>1679</v>
      </c>
      <c r="C191" s="726" t="s">
        <v>569</v>
      </c>
      <c r="D191" s="727" t="s">
        <v>1680</v>
      </c>
      <c r="E191" s="726" t="s">
        <v>2944</v>
      </c>
      <c r="F191" s="727" t="s">
        <v>2945</v>
      </c>
      <c r="G191" s="726" t="s">
        <v>2170</v>
      </c>
      <c r="H191" s="726" t="s">
        <v>2171</v>
      </c>
      <c r="I191" s="728">
        <v>21.24</v>
      </c>
      <c r="J191" s="728">
        <v>60</v>
      </c>
      <c r="K191" s="729">
        <v>1274.4000000000001</v>
      </c>
    </row>
    <row r="192" spans="1:11" ht="14.4" customHeight="1" x14ac:dyDescent="0.3">
      <c r="A192" s="724" t="s">
        <v>552</v>
      </c>
      <c r="B192" s="725" t="s">
        <v>1679</v>
      </c>
      <c r="C192" s="726" t="s">
        <v>569</v>
      </c>
      <c r="D192" s="727" t="s">
        <v>1680</v>
      </c>
      <c r="E192" s="726" t="s">
        <v>2944</v>
      </c>
      <c r="F192" s="727" t="s">
        <v>2945</v>
      </c>
      <c r="G192" s="726" t="s">
        <v>2172</v>
      </c>
      <c r="H192" s="726" t="s">
        <v>2173</v>
      </c>
      <c r="I192" s="728">
        <v>21.24</v>
      </c>
      <c r="J192" s="728">
        <v>50</v>
      </c>
      <c r="K192" s="729">
        <v>1062</v>
      </c>
    </row>
    <row r="193" spans="1:11" ht="14.4" customHeight="1" x14ac:dyDescent="0.3">
      <c r="A193" s="724" t="s">
        <v>552</v>
      </c>
      <c r="B193" s="725" t="s">
        <v>1679</v>
      </c>
      <c r="C193" s="726" t="s">
        <v>569</v>
      </c>
      <c r="D193" s="727" t="s">
        <v>1680</v>
      </c>
      <c r="E193" s="726" t="s">
        <v>2944</v>
      </c>
      <c r="F193" s="727" t="s">
        <v>2945</v>
      </c>
      <c r="G193" s="726" t="s">
        <v>2334</v>
      </c>
      <c r="H193" s="726" t="s">
        <v>2335</v>
      </c>
      <c r="I193" s="728">
        <v>524.78</v>
      </c>
      <c r="J193" s="728">
        <v>60</v>
      </c>
      <c r="K193" s="729">
        <v>31486.620000000003</v>
      </c>
    </row>
    <row r="194" spans="1:11" ht="14.4" customHeight="1" x14ac:dyDescent="0.3">
      <c r="A194" s="724" t="s">
        <v>552</v>
      </c>
      <c r="B194" s="725" t="s">
        <v>1679</v>
      </c>
      <c r="C194" s="726" t="s">
        <v>569</v>
      </c>
      <c r="D194" s="727" t="s">
        <v>1680</v>
      </c>
      <c r="E194" s="726" t="s">
        <v>2944</v>
      </c>
      <c r="F194" s="727" t="s">
        <v>2945</v>
      </c>
      <c r="G194" s="726" t="s">
        <v>2336</v>
      </c>
      <c r="H194" s="726" t="s">
        <v>2337</v>
      </c>
      <c r="I194" s="728">
        <v>18.149999999999999</v>
      </c>
      <c r="J194" s="728">
        <v>100</v>
      </c>
      <c r="K194" s="729">
        <v>1815</v>
      </c>
    </row>
    <row r="195" spans="1:11" ht="14.4" customHeight="1" x14ac:dyDescent="0.3">
      <c r="A195" s="724" t="s">
        <v>552</v>
      </c>
      <c r="B195" s="725" t="s">
        <v>1679</v>
      </c>
      <c r="C195" s="726" t="s">
        <v>569</v>
      </c>
      <c r="D195" s="727" t="s">
        <v>1680</v>
      </c>
      <c r="E195" s="726" t="s">
        <v>2944</v>
      </c>
      <c r="F195" s="727" t="s">
        <v>2945</v>
      </c>
      <c r="G195" s="726" t="s">
        <v>2174</v>
      </c>
      <c r="H195" s="726" t="s">
        <v>2175</v>
      </c>
      <c r="I195" s="728">
        <v>0.47</v>
      </c>
      <c r="J195" s="728">
        <v>3000</v>
      </c>
      <c r="K195" s="729">
        <v>1410</v>
      </c>
    </row>
    <row r="196" spans="1:11" ht="14.4" customHeight="1" x14ac:dyDescent="0.3">
      <c r="A196" s="724" t="s">
        <v>552</v>
      </c>
      <c r="B196" s="725" t="s">
        <v>1679</v>
      </c>
      <c r="C196" s="726" t="s">
        <v>569</v>
      </c>
      <c r="D196" s="727" t="s">
        <v>1680</v>
      </c>
      <c r="E196" s="726" t="s">
        <v>2944</v>
      </c>
      <c r="F196" s="727" t="s">
        <v>2945</v>
      </c>
      <c r="G196" s="726" t="s">
        <v>2338</v>
      </c>
      <c r="H196" s="726" t="s">
        <v>2339</v>
      </c>
      <c r="I196" s="728">
        <v>2.9</v>
      </c>
      <c r="J196" s="728">
        <v>1000</v>
      </c>
      <c r="K196" s="729">
        <v>2900</v>
      </c>
    </row>
    <row r="197" spans="1:11" ht="14.4" customHeight="1" x14ac:dyDescent="0.3">
      <c r="A197" s="724" t="s">
        <v>552</v>
      </c>
      <c r="B197" s="725" t="s">
        <v>1679</v>
      </c>
      <c r="C197" s="726" t="s">
        <v>569</v>
      </c>
      <c r="D197" s="727" t="s">
        <v>1680</v>
      </c>
      <c r="E197" s="726" t="s">
        <v>2944</v>
      </c>
      <c r="F197" s="727" t="s">
        <v>2945</v>
      </c>
      <c r="G197" s="726" t="s">
        <v>2340</v>
      </c>
      <c r="H197" s="726" t="s">
        <v>2341</v>
      </c>
      <c r="I197" s="728">
        <v>2.91</v>
      </c>
      <c r="J197" s="728">
        <v>600</v>
      </c>
      <c r="K197" s="729">
        <v>1746</v>
      </c>
    </row>
    <row r="198" spans="1:11" ht="14.4" customHeight="1" x14ac:dyDescent="0.3">
      <c r="A198" s="724" t="s">
        <v>552</v>
      </c>
      <c r="B198" s="725" t="s">
        <v>1679</v>
      </c>
      <c r="C198" s="726" t="s">
        <v>569</v>
      </c>
      <c r="D198" s="727" t="s">
        <v>1680</v>
      </c>
      <c r="E198" s="726" t="s">
        <v>2944</v>
      </c>
      <c r="F198" s="727" t="s">
        <v>2945</v>
      </c>
      <c r="G198" s="726" t="s">
        <v>2342</v>
      </c>
      <c r="H198" s="726" t="s">
        <v>2343</v>
      </c>
      <c r="I198" s="728">
        <v>484.04</v>
      </c>
      <c r="J198" s="728">
        <v>2</v>
      </c>
      <c r="K198" s="729">
        <v>968.08</v>
      </c>
    </row>
    <row r="199" spans="1:11" ht="14.4" customHeight="1" x14ac:dyDescent="0.3">
      <c r="A199" s="724" t="s">
        <v>552</v>
      </c>
      <c r="B199" s="725" t="s">
        <v>1679</v>
      </c>
      <c r="C199" s="726" t="s">
        <v>569</v>
      </c>
      <c r="D199" s="727" t="s">
        <v>1680</v>
      </c>
      <c r="E199" s="726" t="s">
        <v>2944</v>
      </c>
      <c r="F199" s="727" t="s">
        <v>2945</v>
      </c>
      <c r="G199" s="726" t="s">
        <v>2344</v>
      </c>
      <c r="H199" s="726" t="s">
        <v>2345</v>
      </c>
      <c r="I199" s="728">
        <v>527.96</v>
      </c>
      <c r="J199" s="728">
        <v>10</v>
      </c>
      <c r="K199" s="729">
        <v>5279.65</v>
      </c>
    </row>
    <row r="200" spans="1:11" ht="14.4" customHeight="1" x14ac:dyDescent="0.3">
      <c r="A200" s="724" t="s">
        <v>552</v>
      </c>
      <c r="B200" s="725" t="s">
        <v>1679</v>
      </c>
      <c r="C200" s="726" t="s">
        <v>569</v>
      </c>
      <c r="D200" s="727" t="s">
        <v>1680</v>
      </c>
      <c r="E200" s="726" t="s">
        <v>2944</v>
      </c>
      <c r="F200" s="727" t="s">
        <v>2945</v>
      </c>
      <c r="G200" s="726" t="s">
        <v>2346</v>
      </c>
      <c r="H200" s="726" t="s">
        <v>2347</v>
      </c>
      <c r="I200" s="728">
        <v>27.84</v>
      </c>
      <c r="J200" s="728">
        <v>50</v>
      </c>
      <c r="K200" s="729">
        <v>1392.11</v>
      </c>
    </row>
    <row r="201" spans="1:11" ht="14.4" customHeight="1" x14ac:dyDescent="0.3">
      <c r="A201" s="724" t="s">
        <v>552</v>
      </c>
      <c r="B201" s="725" t="s">
        <v>1679</v>
      </c>
      <c r="C201" s="726" t="s">
        <v>569</v>
      </c>
      <c r="D201" s="727" t="s">
        <v>1680</v>
      </c>
      <c r="E201" s="726" t="s">
        <v>2944</v>
      </c>
      <c r="F201" s="727" t="s">
        <v>2945</v>
      </c>
      <c r="G201" s="726" t="s">
        <v>2348</v>
      </c>
      <c r="H201" s="726" t="s">
        <v>2349</v>
      </c>
      <c r="I201" s="728">
        <v>25.71</v>
      </c>
      <c r="J201" s="728">
        <v>50</v>
      </c>
      <c r="K201" s="729">
        <v>1285.6199999999999</v>
      </c>
    </row>
    <row r="202" spans="1:11" ht="14.4" customHeight="1" x14ac:dyDescent="0.3">
      <c r="A202" s="724" t="s">
        <v>552</v>
      </c>
      <c r="B202" s="725" t="s">
        <v>1679</v>
      </c>
      <c r="C202" s="726" t="s">
        <v>569</v>
      </c>
      <c r="D202" s="727" t="s">
        <v>1680</v>
      </c>
      <c r="E202" s="726" t="s">
        <v>2944</v>
      </c>
      <c r="F202" s="727" t="s">
        <v>2945</v>
      </c>
      <c r="G202" s="726" t="s">
        <v>2350</v>
      </c>
      <c r="H202" s="726" t="s">
        <v>2351</v>
      </c>
      <c r="I202" s="728">
        <v>21.9</v>
      </c>
      <c r="J202" s="728">
        <v>100</v>
      </c>
      <c r="K202" s="729">
        <v>2190.1</v>
      </c>
    </row>
    <row r="203" spans="1:11" ht="14.4" customHeight="1" x14ac:dyDescent="0.3">
      <c r="A203" s="724" t="s">
        <v>552</v>
      </c>
      <c r="B203" s="725" t="s">
        <v>1679</v>
      </c>
      <c r="C203" s="726" t="s">
        <v>569</v>
      </c>
      <c r="D203" s="727" t="s">
        <v>1680</v>
      </c>
      <c r="E203" s="726" t="s">
        <v>2944</v>
      </c>
      <c r="F203" s="727" t="s">
        <v>2945</v>
      </c>
      <c r="G203" s="726" t="s">
        <v>2352</v>
      </c>
      <c r="H203" s="726" t="s">
        <v>2353</v>
      </c>
      <c r="I203" s="728">
        <v>21.9</v>
      </c>
      <c r="J203" s="728">
        <v>100</v>
      </c>
      <c r="K203" s="729">
        <v>2190.1</v>
      </c>
    </row>
    <row r="204" spans="1:11" ht="14.4" customHeight="1" x14ac:dyDescent="0.3">
      <c r="A204" s="724" t="s">
        <v>552</v>
      </c>
      <c r="B204" s="725" t="s">
        <v>1679</v>
      </c>
      <c r="C204" s="726" t="s">
        <v>569</v>
      </c>
      <c r="D204" s="727" t="s">
        <v>1680</v>
      </c>
      <c r="E204" s="726" t="s">
        <v>2944</v>
      </c>
      <c r="F204" s="727" t="s">
        <v>2945</v>
      </c>
      <c r="G204" s="726" t="s">
        <v>2354</v>
      </c>
      <c r="H204" s="726" t="s">
        <v>2355</v>
      </c>
      <c r="I204" s="728">
        <v>414</v>
      </c>
      <c r="J204" s="728">
        <v>20</v>
      </c>
      <c r="K204" s="729">
        <v>8280</v>
      </c>
    </row>
    <row r="205" spans="1:11" ht="14.4" customHeight="1" x14ac:dyDescent="0.3">
      <c r="A205" s="724" t="s">
        <v>552</v>
      </c>
      <c r="B205" s="725" t="s">
        <v>1679</v>
      </c>
      <c r="C205" s="726" t="s">
        <v>569</v>
      </c>
      <c r="D205" s="727" t="s">
        <v>1680</v>
      </c>
      <c r="E205" s="726" t="s">
        <v>2944</v>
      </c>
      <c r="F205" s="727" t="s">
        <v>2945</v>
      </c>
      <c r="G205" s="726" t="s">
        <v>2178</v>
      </c>
      <c r="H205" s="726" t="s">
        <v>2179</v>
      </c>
      <c r="I205" s="728">
        <v>9.1999999999999993</v>
      </c>
      <c r="J205" s="728">
        <v>900</v>
      </c>
      <c r="K205" s="729">
        <v>8280</v>
      </c>
    </row>
    <row r="206" spans="1:11" ht="14.4" customHeight="1" x14ac:dyDescent="0.3">
      <c r="A206" s="724" t="s">
        <v>552</v>
      </c>
      <c r="B206" s="725" t="s">
        <v>1679</v>
      </c>
      <c r="C206" s="726" t="s">
        <v>569</v>
      </c>
      <c r="D206" s="727" t="s">
        <v>1680</v>
      </c>
      <c r="E206" s="726" t="s">
        <v>2944</v>
      </c>
      <c r="F206" s="727" t="s">
        <v>2945</v>
      </c>
      <c r="G206" s="726" t="s">
        <v>2356</v>
      </c>
      <c r="H206" s="726" t="s">
        <v>2357</v>
      </c>
      <c r="I206" s="728">
        <v>133.1</v>
      </c>
      <c r="J206" s="728">
        <v>10</v>
      </c>
      <c r="K206" s="729">
        <v>1331</v>
      </c>
    </row>
    <row r="207" spans="1:11" ht="14.4" customHeight="1" x14ac:dyDescent="0.3">
      <c r="A207" s="724" t="s">
        <v>552</v>
      </c>
      <c r="B207" s="725" t="s">
        <v>1679</v>
      </c>
      <c r="C207" s="726" t="s">
        <v>569</v>
      </c>
      <c r="D207" s="727" t="s">
        <v>1680</v>
      </c>
      <c r="E207" s="726" t="s">
        <v>2944</v>
      </c>
      <c r="F207" s="727" t="s">
        <v>2945</v>
      </c>
      <c r="G207" s="726" t="s">
        <v>2182</v>
      </c>
      <c r="H207" s="726" t="s">
        <v>2183</v>
      </c>
      <c r="I207" s="728">
        <v>5</v>
      </c>
      <c r="J207" s="728">
        <v>100</v>
      </c>
      <c r="K207" s="729">
        <v>500</v>
      </c>
    </row>
    <row r="208" spans="1:11" ht="14.4" customHeight="1" x14ac:dyDescent="0.3">
      <c r="A208" s="724" t="s">
        <v>552</v>
      </c>
      <c r="B208" s="725" t="s">
        <v>1679</v>
      </c>
      <c r="C208" s="726" t="s">
        <v>569</v>
      </c>
      <c r="D208" s="727" t="s">
        <v>1680</v>
      </c>
      <c r="E208" s="726" t="s">
        <v>2944</v>
      </c>
      <c r="F208" s="727" t="s">
        <v>2945</v>
      </c>
      <c r="G208" s="726" t="s">
        <v>2358</v>
      </c>
      <c r="H208" s="726" t="s">
        <v>2359</v>
      </c>
      <c r="I208" s="728">
        <v>907.5</v>
      </c>
      <c r="J208" s="728">
        <v>72</v>
      </c>
      <c r="K208" s="729">
        <v>65340</v>
      </c>
    </row>
    <row r="209" spans="1:11" ht="14.4" customHeight="1" x14ac:dyDescent="0.3">
      <c r="A209" s="724" t="s">
        <v>552</v>
      </c>
      <c r="B209" s="725" t="s">
        <v>1679</v>
      </c>
      <c r="C209" s="726" t="s">
        <v>569</v>
      </c>
      <c r="D209" s="727" t="s">
        <v>1680</v>
      </c>
      <c r="E209" s="726" t="s">
        <v>2944</v>
      </c>
      <c r="F209" s="727" t="s">
        <v>2945</v>
      </c>
      <c r="G209" s="726" t="s">
        <v>2360</v>
      </c>
      <c r="H209" s="726" t="s">
        <v>2361</v>
      </c>
      <c r="I209" s="728">
        <v>15.73</v>
      </c>
      <c r="J209" s="728">
        <v>200</v>
      </c>
      <c r="K209" s="729">
        <v>3146</v>
      </c>
    </row>
    <row r="210" spans="1:11" ht="14.4" customHeight="1" x14ac:dyDescent="0.3">
      <c r="A210" s="724" t="s">
        <v>552</v>
      </c>
      <c r="B210" s="725" t="s">
        <v>1679</v>
      </c>
      <c r="C210" s="726" t="s">
        <v>569</v>
      </c>
      <c r="D210" s="727" t="s">
        <v>1680</v>
      </c>
      <c r="E210" s="726" t="s">
        <v>2944</v>
      </c>
      <c r="F210" s="727" t="s">
        <v>2945</v>
      </c>
      <c r="G210" s="726" t="s">
        <v>2186</v>
      </c>
      <c r="H210" s="726" t="s">
        <v>2187</v>
      </c>
      <c r="I210" s="728">
        <v>3.4366666666666661</v>
      </c>
      <c r="J210" s="728">
        <v>600</v>
      </c>
      <c r="K210" s="729">
        <v>2062</v>
      </c>
    </row>
    <row r="211" spans="1:11" ht="14.4" customHeight="1" x14ac:dyDescent="0.3">
      <c r="A211" s="724" t="s">
        <v>552</v>
      </c>
      <c r="B211" s="725" t="s">
        <v>1679</v>
      </c>
      <c r="C211" s="726" t="s">
        <v>569</v>
      </c>
      <c r="D211" s="727" t="s">
        <v>1680</v>
      </c>
      <c r="E211" s="726" t="s">
        <v>2944</v>
      </c>
      <c r="F211" s="727" t="s">
        <v>2945</v>
      </c>
      <c r="G211" s="726" t="s">
        <v>2362</v>
      </c>
      <c r="H211" s="726" t="s">
        <v>2363</v>
      </c>
      <c r="I211" s="728">
        <v>6.1099999999999994</v>
      </c>
      <c r="J211" s="728">
        <v>600</v>
      </c>
      <c r="K211" s="729">
        <v>3666</v>
      </c>
    </row>
    <row r="212" spans="1:11" ht="14.4" customHeight="1" x14ac:dyDescent="0.3">
      <c r="A212" s="724" t="s">
        <v>552</v>
      </c>
      <c r="B212" s="725" t="s">
        <v>1679</v>
      </c>
      <c r="C212" s="726" t="s">
        <v>569</v>
      </c>
      <c r="D212" s="727" t="s">
        <v>1680</v>
      </c>
      <c r="E212" s="726" t="s">
        <v>2944</v>
      </c>
      <c r="F212" s="727" t="s">
        <v>2945</v>
      </c>
      <c r="G212" s="726" t="s">
        <v>2240</v>
      </c>
      <c r="H212" s="726" t="s">
        <v>2241</v>
      </c>
      <c r="I212" s="728">
        <v>22.99</v>
      </c>
      <c r="J212" s="728">
        <v>10</v>
      </c>
      <c r="K212" s="729">
        <v>229.9</v>
      </c>
    </row>
    <row r="213" spans="1:11" ht="14.4" customHeight="1" x14ac:dyDescent="0.3">
      <c r="A213" s="724" t="s">
        <v>552</v>
      </c>
      <c r="B213" s="725" t="s">
        <v>1679</v>
      </c>
      <c r="C213" s="726" t="s">
        <v>569</v>
      </c>
      <c r="D213" s="727" t="s">
        <v>1680</v>
      </c>
      <c r="E213" s="726" t="s">
        <v>2944</v>
      </c>
      <c r="F213" s="727" t="s">
        <v>2945</v>
      </c>
      <c r="G213" s="726" t="s">
        <v>2242</v>
      </c>
      <c r="H213" s="726" t="s">
        <v>2243</v>
      </c>
      <c r="I213" s="728">
        <v>22.99</v>
      </c>
      <c r="J213" s="728">
        <v>50</v>
      </c>
      <c r="K213" s="729">
        <v>1149.5</v>
      </c>
    </row>
    <row r="214" spans="1:11" ht="14.4" customHeight="1" x14ac:dyDescent="0.3">
      <c r="A214" s="724" t="s">
        <v>552</v>
      </c>
      <c r="B214" s="725" t="s">
        <v>1679</v>
      </c>
      <c r="C214" s="726" t="s">
        <v>569</v>
      </c>
      <c r="D214" s="727" t="s">
        <v>1680</v>
      </c>
      <c r="E214" s="726" t="s">
        <v>2944</v>
      </c>
      <c r="F214" s="727" t="s">
        <v>2945</v>
      </c>
      <c r="G214" s="726" t="s">
        <v>2364</v>
      </c>
      <c r="H214" s="726" t="s">
        <v>2365</v>
      </c>
      <c r="I214" s="728">
        <v>22.99</v>
      </c>
      <c r="J214" s="728">
        <v>10</v>
      </c>
      <c r="K214" s="729">
        <v>229.9</v>
      </c>
    </row>
    <row r="215" spans="1:11" ht="14.4" customHeight="1" x14ac:dyDescent="0.3">
      <c r="A215" s="724" t="s">
        <v>552</v>
      </c>
      <c r="B215" s="725" t="s">
        <v>1679</v>
      </c>
      <c r="C215" s="726" t="s">
        <v>569</v>
      </c>
      <c r="D215" s="727" t="s">
        <v>1680</v>
      </c>
      <c r="E215" s="726" t="s">
        <v>2944</v>
      </c>
      <c r="F215" s="727" t="s">
        <v>2945</v>
      </c>
      <c r="G215" s="726" t="s">
        <v>2366</v>
      </c>
      <c r="H215" s="726" t="s">
        <v>2367</v>
      </c>
      <c r="I215" s="728">
        <v>22.99</v>
      </c>
      <c r="J215" s="728">
        <v>50</v>
      </c>
      <c r="K215" s="729">
        <v>1149.5</v>
      </c>
    </row>
    <row r="216" spans="1:11" ht="14.4" customHeight="1" x14ac:dyDescent="0.3">
      <c r="A216" s="724" t="s">
        <v>552</v>
      </c>
      <c r="B216" s="725" t="s">
        <v>1679</v>
      </c>
      <c r="C216" s="726" t="s">
        <v>569</v>
      </c>
      <c r="D216" s="727" t="s">
        <v>1680</v>
      </c>
      <c r="E216" s="726" t="s">
        <v>2944</v>
      </c>
      <c r="F216" s="727" t="s">
        <v>2945</v>
      </c>
      <c r="G216" s="726" t="s">
        <v>2368</v>
      </c>
      <c r="H216" s="726" t="s">
        <v>2369</v>
      </c>
      <c r="I216" s="728">
        <v>8.83</v>
      </c>
      <c r="J216" s="728">
        <v>100</v>
      </c>
      <c r="K216" s="729">
        <v>883</v>
      </c>
    </row>
    <row r="217" spans="1:11" ht="14.4" customHeight="1" x14ac:dyDescent="0.3">
      <c r="A217" s="724" t="s">
        <v>552</v>
      </c>
      <c r="B217" s="725" t="s">
        <v>1679</v>
      </c>
      <c r="C217" s="726" t="s">
        <v>569</v>
      </c>
      <c r="D217" s="727" t="s">
        <v>1680</v>
      </c>
      <c r="E217" s="726" t="s">
        <v>2944</v>
      </c>
      <c r="F217" s="727" t="s">
        <v>2945</v>
      </c>
      <c r="G217" s="726" t="s">
        <v>2370</v>
      </c>
      <c r="H217" s="726" t="s">
        <v>2371</v>
      </c>
      <c r="I217" s="728">
        <v>299</v>
      </c>
      <c r="J217" s="728">
        <v>66</v>
      </c>
      <c r="K217" s="729">
        <v>19734.21</v>
      </c>
    </row>
    <row r="218" spans="1:11" ht="14.4" customHeight="1" x14ac:dyDescent="0.3">
      <c r="A218" s="724" t="s">
        <v>552</v>
      </c>
      <c r="B218" s="725" t="s">
        <v>1679</v>
      </c>
      <c r="C218" s="726" t="s">
        <v>569</v>
      </c>
      <c r="D218" s="727" t="s">
        <v>1680</v>
      </c>
      <c r="E218" s="726" t="s">
        <v>2944</v>
      </c>
      <c r="F218" s="727" t="s">
        <v>2945</v>
      </c>
      <c r="G218" s="726" t="s">
        <v>2372</v>
      </c>
      <c r="H218" s="726" t="s">
        <v>2373</v>
      </c>
      <c r="I218" s="728">
        <v>1140.45</v>
      </c>
      <c r="J218" s="728">
        <v>2</v>
      </c>
      <c r="K218" s="729">
        <v>2280.9</v>
      </c>
    </row>
    <row r="219" spans="1:11" ht="14.4" customHeight="1" x14ac:dyDescent="0.3">
      <c r="A219" s="724" t="s">
        <v>552</v>
      </c>
      <c r="B219" s="725" t="s">
        <v>1679</v>
      </c>
      <c r="C219" s="726" t="s">
        <v>569</v>
      </c>
      <c r="D219" s="727" t="s">
        <v>1680</v>
      </c>
      <c r="E219" s="726" t="s">
        <v>2944</v>
      </c>
      <c r="F219" s="727" t="s">
        <v>2945</v>
      </c>
      <c r="G219" s="726" t="s">
        <v>2374</v>
      </c>
      <c r="H219" s="726" t="s">
        <v>2375</v>
      </c>
      <c r="I219" s="728">
        <v>154</v>
      </c>
      <c r="J219" s="728">
        <v>10</v>
      </c>
      <c r="K219" s="729">
        <v>1539.96</v>
      </c>
    </row>
    <row r="220" spans="1:11" ht="14.4" customHeight="1" x14ac:dyDescent="0.3">
      <c r="A220" s="724" t="s">
        <v>552</v>
      </c>
      <c r="B220" s="725" t="s">
        <v>1679</v>
      </c>
      <c r="C220" s="726" t="s">
        <v>569</v>
      </c>
      <c r="D220" s="727" t="s">
        <v>1680</v>
      </c>
      <c r="E220" s="726" t="s">
        <v>2944</v>
      </c>
      <c r="F220" s="727" t="s">
        <v>2945</v>
      </c>
      <c r="G220" s="726" t="s">
        <v>2376</v>
      </c>
      <c r="H220" s="726" t="s">
        <v>2377</v>
      </c>
      <c r="I220" s="728">
        <v>406.56</v>
      </c>
      <c r="J220" s="728">
        <v>4</v>
      </c>
      <c r="K220" s="729">
        <v>1626.25</v>
      </c>
    </row>
    <row r="221" spans="1:11" ht="14.4" customHeight="1" x14ac:dyDescent="0.3">
      <c r="A221" s="724" t="s">
        <v>552</v>
      </c>
      <c r="B221" s="725" t="s">
        <v>1679</v>
      </c>
      <c r="C221" s="726" t="s">
        <v>569</v>
      </c>
      <c r="D221" s="727" t="s">
        <v>1680</v>
      </c>
      <c r="E221" s="726" t="s">
        <v>2944</v>
      </c>
      <c r="F221" s="727" t="s">
        <v>2945</v>
      </c>
      <c r="G221" s="726" t="s">
        <v>2378</v>
      </c>
      <c r="H221" s="726" t="s">
        <v>2379</v>
      </c>
      <c r="I221" s="728">
        <v>9.8000000000000007</v>
      </c>
      <c r="J221" s="728">
        <v>1300</v>
      </c>
      <c r="K221" s="729">
        <v>12741.310000000001</v>
      </c>
    </row>
    <row r="222" spans="1:11" ht="14.4" customHeight="1" x14ac:dyDescent="0.3">
      <c r="A222" s="724" t="s">
        <v>552</v>
      </c>
      <c r="B222" s="725" t="s">
        <v>1679</v>
      </c>
      <c r="C222" s="726" t="s">
        <v>569</v>
      </c>
      <c r="D222" s="727" t="s">
        <v>1680</v>
      </c>
      <c r="E222" s="726" t="s">
        <v>2944</v>
      </c>
      <c r="F222" s="727" t="s">
        <v>2945</v>
      </c>
      <c r="G222" s="726" t="s">
        <v>2380</v>
      </c>
      <c r="H222" s="726" t="s">
        <v>2381</v>
      </c>
      <c r="I222" s="728">
        <v>1.905</v>
      </c>
      <c r="J222" s="728">
        <v>230</v>
      </c>
      <c r="K222" s="729">
        <v>433.15999999999997</v>
      </c>
    </row>
    <row r="223" spans="1:11" ht="14.4" customHeight="1" x14ac:dyDescent="0.3">
      <c r="A223" s="724" t="s">
        <v>552</v>
      </c>
      <c r="B223" s="725" t="s">
        <v>1679</v>
      </c>
      <c r="C223" s="726" t="s">
        <v>569</v>
      </c>
      <c r="D223" s="727" t="s">
        <v>1680</v>
      </c>
      <c r="E223" s="726" t="s">
        <v>2944</v>
      </c>
      <c r="F223" s="727" t="s">
        <v>2945</v>
      </c>
      <c r="G223" s="726" t="s">
        <v>2382</v>
      </c>
      <c r="H223" s="726" t="s">
        <v>2383</v>
      </c>
      <c r="I223" s="728">
        <v>4.63</v>
      </c>
      <c r="J223" s="728">
        <v>50</v>
      </c>
      <c r="K223" s="729">
        <v>231.5</v>
      </c>
    </row>
    <row r="224" spans="1:11" ht="14.4" customHeight="1" x14ac:dyDescent="0.3">
      <c r="A224" s="724" t="s">
        <v>552</v>
      </c>
      <c r="B224" s="725" t="s">
        <v>1679</v>
      </c>
      <c r="C224" s="726" t="s">
        <v>569</v>
      </c>
      <c r="D224" s="727" t="s">
        <v>1680</v>
      </c>
      <c r="E224" s="726" t="s">
        <v>2944</v>
      </c>
      <c r="F224" s="727" t="s">
        <v>2945</v>
      </c>
      <c r="G224" s="726" t="s">
        <v>2384</v>
      </c>
      <c r="H224" s="726" t="s">
        <v>2385</v>
      </c>
      <c r="I224" s="728">
        <v>3.15</v>
      </c>
      <c r="J224" s="728">
        <v>50</v>
      </c>
      <c r="K224" s="729">
        <v>157.5</v>
      </c>
    </row>
    <row r="225" spans="1:11" ht="14.4" customHeight="1" x14ac:dyDescent="0.3">
      <c r="A225" s="724" t="s">
        <v>552</v>
      </c>
      <c r="B225" s="725" t="s">
        <v>1679</v>
      </c>
      <c r="C225" s="726" t="s">
        <v>569</v>
      </c>
      <c r="D225" s="727" t="s">
        <v>1680</v>
      </c>
      <c r="E225" s="726" t="s">
        <v>2944</v>
      </c>
      <c r="F225" s="727" t="s">
        <v>2945</v>
      </c>
      <c r="G225" s="726" t="s">
        <v>2386</v>
      </c>
      <c r="H225" s="726" t="s">
        <v>2387</v>
      </c>
      <c r="I225" s="728">
        <v>471.9</v>
      </c>
      <c r="J225" s="728">
        <v>5</v>
      </c>
      <c r="K225" s="729">
        <v>2359.5</v>
      </c>
    </row>
    <row r="226" spans="1:11" ht="14.4" customHeight="1" x14ac:dyDescent="0.3">
      <c r="A226" s="724" t="s">
        <v>552</v>
      </c>
      <c r="B226" s="725" t="s">
        <v>1679</v>
      </c>
      <c r="C226" s="726" t="s">
        <v>569</v>
      </c>
      <c r="D226" s="727" t="s">
        <v>1680</v>
      </c>
      <c r="E226" s="726" t="s">
        <v>2944</v>
      </c>
      <c r="F226" s="727" t="s">
        <v>2945</v>
      </c>
      <c r="G226" s="726" t="s">
        <v>2388</v>
      </c>
      <c r="H226" s="726" t="s">
        <v>2389</v>
      </c>
      <c r="I226" s="728">
        <v>3.75</v>
      </c>
      <c r="J226" s="728">
        <v>50</v>
      </c>
      <c r="K226" s="729">
        <v>187.5</v>
      </c>
    </row>
    <row r="227" spans="1:11" ht="14.4" customHeight="1" x14ac:dyDescent="0.3">
      <c r="A227" s="724" t="s">
        <v>552</v>
      </c>
      <c r="B227" s="725" t="s">
        <v>1679</v>
      </c>
      <c r="C227" s="726" t="s">
        <v>569</v>
      </c>
      <c r="D227" s="727" t="s">
        <v>1680</v>
      </c>
      <c r="E227" s="726" t="s">
        <v>2944</v>
      </c>
      <c r="F227" s="727" t="s">
        <v>2945</v>
      </c>
      <c r="G227" s="726" t="s">
        <v>2390</v>
      </c>
      <c r="H227" s="726" t="s">
        <v>2391</v>
      </c>
      <c r="I227" s="728">
        <v>958.8</v>
      </c>
      <c r="J227" s="728">
        <v>5</v>
      </c>
      <c r="K227" s="729">
        <v>4794.0200000000004</v>
      </c>
    </row>
    <row r="228" spans="1:11" ht="14.4" customHeight="1" x14ac:dyDescent="0.3">
      <c r="A228" s="724" t="s">
        <v>552</v>
      </c>
      <c r="B228" s="725" t="s">
        <v>1679</v>
      </c>
      <c r="C228" s="726" t="s">
        <v>569</v>
      </c>
      <c r="D228" s="727" t="s">
        <v>1680</v>
      </c>
      <c r="E228" s="726" t="s">
        <v>2944</v>
      </c>
      <c r="F228" s="727" t="s">
        <v>2945</v>
      </c>
      <c r="G228" s="726" t="s">
        <v>2392</v>
      </c>
      <c r="H228" s="726" t="s">
        <v>2393</v>
      </c>
      <c r="I228" s="728">
        <v>3481.17</v>
      </c>
      <c r="J228" s="728">
        <v>3</v>
      </c>
      <c r="K228" s="729">
        <v>10443.51</v>
      </c>
    </row>
    <row r="229" spans="1:11" ht="14.4" customHeight="1" x14ac:dyDescent="0.3">
      <c r="A229" s="724" t="s">
        <v>552</v>
      </c>
      <c r="B229" s="725" t="s">
        <v>1679</v>
      </c>
      <c r="C229" s="726" t="s">
        <v>569</v>
      </c>
      <c r="D229" s="727" t="s">
        <v>1680</v>
      </c>
      <c r="E229" s="726" t="s">
        <v>2954</v>
      </c>
      <c r="F229" s="727" t="s">
        <v>2955</v>
      </c>
      <c r="G229" s="726" t="s">
        <v>2394</v>
      </c>
      <c r="H229" s="726" t="s">
        <v>2395</v>
      </c>
      <c r="I229" s="728">
        <v>5.51</v>
      </c>
      <c r="J229" s="728">
        <v>10</v>
      </c>
      <c r="K229" s="729">
        <v>55.12</v>
      </c>
    </row>
    <row r="230" spans="1:11" ht="14.4" customHeight="1" x14ac:dyDescent="0.3">
      <c r="A230" s="724" t="s">
        <v>552</v>
      </c>
      <c r="B230" s="725" t="s">
        <v>1679</v>
      </c>
      <c r="C230" s="726" t="s">
        <v>569</v>
      </c>
      <c r="D230" s="727" t="s">
        <v>1680</v>
      </c>
      <c r="E230" s="726" t="s">
        <v>2954</v>
      </c>
      <c r="F230" s="727" t="s">
        <v>2955</v>
      </c>
      <c r="G230" s="726" t="s">
        <v>2396</v>
      </c>
      <c r="H230" s="726" t="s">
        <v>2397</v>
      </c>
      <c r="I230" s="728">
        <v>7.32</v>
      </c>
      <c r="J230" s="728">
        <v>10</v>
      </c>
      <c r="K230" s="729">
        <v>73.180000000000007</v>
      </c>
    </row>
    <row r="231" spans="1:11" ht="14.4" customHeight="1" x14ac:dyDescent="0.3">
      <c r="A231" s="724" t="s">
        <v>552</v>
      </c>
      <c r="B231" s="725" t="s">
        <v>1679</v>
      </c>
      <c r="C231" s="726" t="s">
        <v>569</v>
      </c>
      <c r="D231" s="727" t="s">
        <v>1680</v>
      </c>
      <c r="E231" s="726" t="s">
        <v>2954</v>
      </c>
      <c r="F231" s="727" t="s">
        <v>2955</v>
      </c>
      <c r="G231" s="726" t="s">
        <v>2398</v>
      </c>
      <c r="H231" s="726" t="s">
        <v>2399</v>
      </c>
      <c r="I231" s="728">
        <v>1039.5</v>
      </c>
      <c r="J231" s="728">
        <v>10</v>
      </c>
      <c r="K231" s="729">
        <v>10395</v>
      </c>
    </row>
    <row r="232" spans="1:11" ht="14.4" customHeight="1" x14ac:dyDescent="0.3">
      <c r="A232" s="724" t="s">
        <v>552</v>
      </c>
      <c r="B232" s="725" t="s">
        <v>1679</v>
      </c>
      <c r="C232" s="726" t="s">
        <v>569</v>
      </c>
      <c r="D232" s="727" t="s">
        <v>1680</v>
      </c>
      <c r="E232" s="726" t="s">
        <v>2954</v>
      </c>
      <c r="F232" s="727" t="s">
        <v>2955</v>
      </c>
      <c r="G232" s="726" t="s">
        <v>2400</v>
      </c>
      <c r="H232" s="726" t="s">
        <v>2401</v>
      </c>
      <c r="I232" s="728">
        <v>319.91000000000003</v>
      </c>
      <c r="J232" s="728">
        <v>120</v>
      </c>
      <c r="K232" s="729">
        <v>38389.43</v>
      </c>
    </row>
    <row r="233" spans="1:11" ht="14.4" customHeight="1" x14ac:dyDescent="0.3">
      <c r="A233" s="724" t="s">
        <v>552</v>
      </c>
      <c r="B233" s="725" t="s">
        <v>1679</v>
      </c>
      <c r="C233" s="726" t="s">
        <v>569</v>
      </c>
      <c r="D233" s="727" t="s">
        <v>1680</v>
      </c>
      <c r="E233" s="726" t="s">
        <v>2954</v>
      </c>
      <c r="F233" s="727" t="s">
        <v>2955</v>
      </c>
      <c r="G233" s="726" t="s">
        <v>2402</v>
      </c>
      <c r="H233" s="726" t="s">
        <v>2403</v>
      </c>
      <c r="I233" s="728">
        <v>5.51</v>
      </c>
      <c r="J233" s="728">
        <v>10</v>
      </c>
      <c r="K233" s="729">
        <v>55.12</v>
      </c>
    </row>
    <row r="234" spans="1:11" ht="14.4" customHeight="1" x14ac:dyDescent="0.3">
      <c r="A234" s="724" t="s">
        <v>552</v>
      </c>
      <c r="B234" s="725" t="s">
        <v>1679</v>
      </c>
      <c r="C234" s="726" t="s">
        <v>569</v>
      </c>
      <c r="D234" s="727" t="s">
        <v>1680</v>
      </c>
      <c r="E234" s="726" t="s">
        <v>2954</v>
      </c>
      <c r="F234" s="727" t="s">
        <v>2955</v>
      </c>
      <c r="G234" s="726" t="s">
        <v>2404</v>
      </c>
      <c r="H234" s="726" t="s">
        <v>2405</v>
      </c>
      <c r="I234" s="728">
        <v>7.32</v>
      </c>
      <c r="J234" s="728">
        <v>10</v>
      </c>
      <c r="K234" s="729">
        <v>73.180000000000007</v>
      </c>
    </row>
    <row r="235" spans="1:11" ht="14.4" customHeight="1" x14ac:dyDescent="0.3">
      <c r="A235" s="724" t="s">
        <v>552</v>
      </c>
      <c r="B235" s="725" t="s">
        <v>1679</v>
      </c>
      <c r="C235" s="726" t="s">
        <v>569</v>
      </c>
      <c r="D235" s="727" t="s">
        <v>1680</v>
      </c>
      <c r="E235" s="726" t="s">
        <v>2954</v>
      </c>
      <c r="F235" s="727" t="s">
        <v>2955</v>
      </c>
      <c r="G235" s="726" t="s">
        <v>2406</v>
      </c>
      <c r="H235" s="726" t="s">
        <v>2407</v>
      </c>
      <c r="I235" s="728">
        <v>1186.6500000000001</v>
      </c>
      <c r="J235" s="728">
        <v>30</v>
      </c>
      <c r="K235" s="729">
        <v>35599.409999999996</v>
      </c>
    </row>
    <row r="236" spans="1:11" ht="14.4" customHeight="1" x14ac:dyDescent="0.3">
      <c r="A236" s="724" t="s">
        <v>552</v>
      </c>
      <c r="B236" s="725" t="s">
        <v>1679</v>
      </c>
      <c r="C236" s="726" t="s">
        <v>569</v>
      </c>
      <c r="D236" s="727" t="s">
        <v>1680</v>
      </c>
      <c r="E236" s="726" t="s">
        <v>2946</v>
      </c>
      <c r="F236" s="727" t="s">
        <v>2947</v>
      </c>
      <c r="G236" s="726" t="s">
        <v>2190</v>
      </c>
      <c r="H236" s="726" t="s">
        <v>2191</v>
      </c>
      <c r="I236" s="728">
        <v>9.5300000000000011</v>
      </c>
      <c r="J236" s="728">
        <v>1100</v>
      </c>
      <c r="K236" s="729">
        <v>10619</v>
      </c>
    </row>
    <row r="237" spans="1:11" ht="14.4" customHeight="1" x14ac:dyDescent="0.3">
      <c r="A237" s="724" t="s">
        <v>552</v>
      </c>
      <c r="B237" s="725" t="s">
        <v>1679</v>
      </c>
      <c r="C237" s="726" t="s">
        <v>569</v>
      </c>
      <c r="D237" s="727" t="s">
        <v>1680</v>
      </c>
      <c r="E237" s="726" t="s">
        <v>2946</v>
      </c>
      <c r="F237" s="727" t="s">
        <v>2947</v>
      </c>
      <c r="G237" s="726" t="s">
        <v>2408</v>
      </c>
      <c r="H237" s="726" t="s">
        <v>2409</v>
      </c>
      <c r="I237" s="728">
        <v>25.56</v>
      </c>
      <c r="J237" s="728">
        <v>200</v>
      </c>
      <c r="K237" s="729">
        <v>5112.66</v>
      </c>
    </row>
    <row r="238" spans="1:11" ht="14.4" customHeight="1" x14ac:dyDescent="0.3">
      <c r="A238" s="724" t="s">
        <v>552</v>
      </c>
      <c r="B238" s="725" t="s">
        <v>1679</v>
      </c>
      <c r="C238" s="726" t="s">
        <v>569</v>
      </c>
      <c r="D238" s="727" t="s">
        <v>1680</v>
      </c>
      <c r="E238" s="726" t="s">
        <v>2948</v>
      </c>
      <c r="F238" s="727" t="s">
        <v>2949</v>
      </c>
      <c r="G238" s="726" t="s">
        <v>2410</v>
      </c>
      <c r="H238" s="726" t="s">
        <v>2411</v>
      </c>
      <c r="I238" s="728">
        <v>0.3</v>
      </c>
      <c r="J238" s="728">
        <v>700</v>
      </c>
      <c r="K238" s="729">
        <v>210</v>
      </c>
    </row>
    <row r="239" spans="1:11" ht="14.4" customHeight="1" x14ac:dyDescent="0.3">
      <c r="A239" s="724" t="s">
        <v>552</v>
      </c>
      <c r="B239" s="725" t="s">
        <v>1679</v>
      </c>
      <c r="C239" s="726" t="s">
        <v>569</v>
      </c>
      <c r="D239" s="727" t="s">
        <v>1680</v>
      </c>
      <c r="E239" s="726" t="s">
        <v>2948</v>
      </c>
      <c r="F239" s="727" t="s">
        <v>2949</v>
      </c>
      <c r="G239" s="726" t="s">
        <v>2192</v>
      </c>
      <c r="H239" s="726" t="s">
        <v>2193</v>
      </c>
      <c r="I239" s="728">
        <v>0.30333333333333329</v>
      </c>
      <c r="J239" s="728">
        <v>1300</v>
      </c>
      <c r="K239" s="729">
        <v>393</v>
      </c>
    </row>
    <row r="240" spans="1:11" ht="14.4" customHeight="1" x14ac:dyDescent="0.3">
      <c r="A240" s="724" t="s">
        <v>552</v>
      </c>
      <c r="B240" s="725" t="s">
        <v>1679</v>
      </c>
      <c r="C240" s="726" t="s">
        <v>569</v>
      </c>
      <c r="D240" s="727" t="s">
        <v>1680</v>
      </c>
      <c r="E240" s="726" t="s">
        <v>2948</v>
      </c>
      <c r="F240" s="727" t="s">
        <v>2949</v>
      </c>
      <c r="G240" s="726" t="s">
        <v>2196</v>
      </c>
      <c r="H240" s="726" t="s">
        <v>2197</v>
      </c>
      <c r="I240" s="728">
        <v>0.5033333333333333</v>
      </c>
      <c r="J240" s="728">
        <v>3500</v>
      </c>
      <c r="K240" s="729">
        <v>1780</v>
      </c>
    </row>
    <row r="241" spans="1:11" ht="14.4" customHeight="1" x14ac:dyDescent="0.3">
      <c r="A241" s="724" t="s">
        <v>552</v>
      </c>
      <c r="B241" s="725" t="s">
        <v>1679</v>
      </c>
      <c r="C241" s="726" t="s">
        <v>569</v>
      </c>
      <c r="D241" s="727" t="s">
        <v>1680</v>
      </c>
      <c r="E241" s="726" t="s">
        <v>2950</v>
      </c>
      <c r="F241" s="727" t="s">
        <v>2951</v>
      </c>
      <c r="G241" s="726" t="s">
        <v>2412</v>
      </c>
      <c r="H241" s="726" t="s">
        <v>2413</v>
      </c>
      <c r="I241" s="728">
        <v>14.19</v>
      </c>
      <c r="J241" s="728">
        <v>250</v>
      </c>
      <c r="K241" s="729">
        <v>3445.8</v>
      </c>
    </row>
    <row r="242" spans="1:11" ht="14.4" customHeight="1" x14ac:dyDescent="0.3">
      <c r="A242" s="724" t="s">
        <v>552</v>
      </c>
      <c r="B242" s="725" t="s">
        <v>1679</v>
      </c>
      <c r="C242" s="726" t="s">
        <v>569</v>
      </c>
      <c r="D242" s="727" t="s">
        <v>1680</v>
      </c>
      <c r="E242" s="726" t="s">
        <v>2950</v>
      </c>
      <c r="F242" s="727" t="s">
        <v>2951</v>
      </c>
      <c r="G242" s="726" t="s">
        <v>2414</v>
      </c>
      <c r="H242" s="726" t="s">
        <v>2415</v>
      </c>
      <c r="I242" s="728">
        <v>13.51</v>
      </c>
      <c r="J242" s="728">
        <v>250</v>
      </c>
      <c r="K242" s="729">
        <v>3445.13</v>
      </c>
    </row>
    <row r="243" spans="1:11" ht="14.4" customHeight="1" x14ac:dyDescent="0.3">
      <c r="A243" s="724" t="s">
        <v>552</v>
      </c>
      <c r="B243" s="725" t="s">
        <v>1679</v>
      </c>
      <c r="C243" s="726" t="s">
        <v>569</v>
      </c>
      <c r="D243" s="727" t="s">
        <v>1680</v>
      </c>
      <c r="E243" s="726" t="s">
        <v>2950</v>
      </c>
      <c r="F243" s="727" t="s">
        <v>2951</v>
      </c>
      <c r="G243" s="726" t="s">
        <v>2416</v>
      </c>
      <c r="H243" s="726" t="s">
        <v>2417</v>
      </c>
      <c r="I243" s="728">
        <v>14.185</v>
      </c>
      <c r="J243" s="728">
        <v>200</v>
      </c>
      <c r="K243" s="729">
        <v>2837.05</v>
      </c>
    </row>
    <row r="244" spans="1:11" ht="14.4" customHeight="1" x14ac:dyDescent="0.3">
      <c r="A244" s="724" t="s">
        <v>552</v>
      </c>
      <c r="B244" s="725" t="s">
        <v>1679</v>
      </c>
      <c r="C244" s="726" t="s">
        <v>569</v>
      </c>
      <c r="D244" s="727" t="s">
        <v>1680</v>
      </c>
      <c r="E244" s="726" t="s">
        <v>2950</v>
      </c>
      <c r="F244" s="727" t="s">
        <v>2951</v>
      </c>
      <c r="G244" s="726" t="s">
        <v>2200</v>
      </c>
      <c r="H244" s="726" t="s">
        <v>2201</v>
      </c>
      <c r="I244" s="728">
        <v>0.69</v>
      </c>
      <c r="J244" s="728">
        <v>34000</v>
      </c>
      <c r="K244" s="729">
        <v>23460</v>
      </c>
    </row>
    <row r="245" spans="1:11" ht="14.4" customHeight="1" x14ac:dyDescent="0.3">
      <c r="A245" s="724" t="s">
        <v>552</v>
      </c>
      <c r="B245" s="725" t="s">
        <v>1679</v>
      </c>
      <c r="C245" s="726" t="s">
        <v>569</v>
      </c>
      <c r="D245" s="727" t="s">
        <v>1680</v>
      </c>
      <c r="E245" s="726" t="s">
        <v>2950</v>
      </c>
      <c r="F245" s="727" t="s">
        <v>2951</v>
      </c>
      <c r="G245" s="726" t="s">
        <v>2418</v>
      </c>
      <c r="H245" s="726" t="s">
        <v>2419</v>
      </c>
      <c r="I245" s="728">
        <v>0.69</v>
      </c>
      <c r="J245" s="728">
        <v>14000</v>
      </c>
      <c r="K245" s="729">
        <v>9660</v>
      </c>
    </row>
    <row r="246" spans="1:11" ht="14.4" customHeight="1" x14ac:dyDescent="0.3">
      <c r="A246" s="724" t="s">
        <v>552</v>
      </c>
      <c r="B246" s="725" t="s">
        <v>1679</v>
      </c>
      <c r="C246" s="726" t="s">
        <v>569</v>
      </c>
      <c r="D246" s="727" t="s">
        <v>1680</v>
      </c>
      <c r="E246" s="726" t="s">
        <v>2950</v>
      </c>
      <c r="F246" s="727" t="s">
        <v>2951</v>
      </c>
      <c r="G246" s="726" t="s">
        <v>2202</v>
      </c>
      <c r="H246" s="726" t="s">
        <v>2203</v>
      </c>
      <c r="I246" s="728">
        <v>0.69</v>
      </c>
      <c r="J246" s="728">
        <v>16000</v>
      </c>
      <c r="K246" s="729">
        <v>11040</v>
      </c>
    </row>
    <row r="247" spans="1:11" ht="14.4" customHeight="1" x14ac:dyDescent="0.3">
      <c r="A247" s="724" t="s">
        <v>552</v>
      </c>
      <c r="B247" s="725" t="s">
        <v>1679</v>
      </c>
      <c r="C247" s="726" t="s">
        <v>569</v>
      </c>
      <c r="D247" s="727" t="s">
        <v>1680</v>
      </c>
      <c r="E247" s="726" t="s">
        <v>2950</v>
      </c>
      <c r="F247" s="727" t="s">
        <v>2951</v>
      </c>
      <c r="G247" s="726" t="s">
        <v>2420</v>
      </c>
      <c r="H247" s="726" t="s">
        <v>2421</v>
      </c>
      <c r="I247" s="728">
        <v>14.86</v>
      </c>
      <c r="J247" s="728">
        <v>300</v>
      </c>
      <c r="K247" s="729">
        <v>4256.17</v>
      </c>
    </row>
    <row r="248" spans="1:11" ht="14.4" customHeight="1" x14ac:dyDescent="0.3">
      <c r="A248" s="724" t="s">
        <v>552</v>
      </c>
      <c r="B248" s="725" t="s">
        <v>1679</v>
      </c>
      <c r="C248" s="726" t="s">
        <v>569</v>
      </c>
      <c r="D248" s="727" t="s">
        <v>1680</v>
      </c>
      <c r="E248" s="726" t="s">
        <v>2956</v>
      </c>
      <c r="F248" s="727" t="s">
        <v>2957</v>
      </c>
      <c r="G248" s="726" t="s">
        <v>2422</v>
      </c>
      <c r="H248" s="726" t="s">
        <v>2423</v>
      </c>
      <c r="I248" s="728">
        <v>152.46</v>
      </c>
      <c r="J248" s="728">
        <v>4</v>
      </c>
      <c r="K248" s="729">
        <v>609.84</v>
      </c>
    </row>
    <row r="249" spans="1:11" ht="14.4" customHeight="1" x14ac:dyDescent="0.3">
      <c r="A249" s="724" t="s">
        <v>552</v>
      </c>
      <c r="B249" s="725" t="s">
        <v>1679</v>
      </c>
      <c r="C249" s="726" t="s">
        <v>569</v>
      </c>
      <c r="D249" s="727" t="s">
        <v>1680</v>
      </c>
      <c r="E249" s="726" t="s">
        <v>2956</v>
      </c>
      <c r="F249" s="727" t="s">
        <v>2957</v>
      </c>
      <c r="G249" s="726" t="s">
        <v>2424</v>
      </c>
      <c r="H249" s="726" t="s">
        <v>2425</v>
      </c>
      <c r="I249" s="728">
        <v>147.18</v>
      </c>
      <c r="J249" s="728">
        <v>10</v>
      </c>
      <c r="K249" s="729">
        <v>1471.82</v>
      </c>
    </row>
    <row r="250" spans="1:11" ht="14.4" customHeight="1" x14ac:dyDescent="0.3">
      <c r="A250" s="724" t="s">
        <v>552</v>
      </c>
      <c r="B250" s="725" t="s">
        <v>1679</v>
      </c>
      <c r="C250" s="726" t="s">
        <v>569</v>
      </c>
      <c r="D250" s="727" t="s">
        <v>1680</v>
      </c>
      <c r="E250" s="726" t="s">
        <v>2956</v>
      </c>
      <c r="F250" s="727" t="s">
        <v>2957</v>
      </c>
      <c r="G250" s="726" t="s">
        <v>2426</v>
      </c>
      <c r="H250" s="726" t="s">
        <v>2427</v>
      </c>
      <c r="I250" s="728">
        <v>147.18</v>
      </c>
      <c r="J250" s="728">
        <v>10</v>
      </c>
      <c r="K250" s="729">
        <v>1471.82</v>
      </c>
    </row>
    <row r="251" spans="1:11" ht="14.4" customHeight="1" x14ac:dyDescent="0.3">
      <c r="A251" s="724" t="s">
        <v>552</v>
      </c>
      <c r="B251" s="725" t="s">
        <v>1679</v>
      </c>
      <c r="C251" s="726" t="s">
        <v>569</v>
      </c>
      <c r="D251" s="727" t="s">
        <v>1680</v>
      </c>
      <c r="E251" s="726" t="s">
        <v>2952</v>
      </c>
      <c r="F251" s="727" t="s">
        <v>2953</v>
      </c>
      <c r="G251" s="726" t="s">
        <v>2428</v>
      </c>
      <c r="H251" s="726" t="s">
        <v>2429</v>
      </c>
      <c r="I251" s="728">
        <v>15.61</v>
      </c>
      <c r="J251" s="728">
        <v>195</v>
      </c>
      <c r="K251" s="729">
        <v>3043.95</v>
      </c>
    </row>
    <row r="252" spans="1:11" ht="14.4" customHeight="1" x14ac:dyDescent="0.3">
      <c r="A252" s="724" t="s">
        <v>552</v>
      </c>
      <c r="B252" s="725" t="s">
        <v>1679</v>
      </c>
      <c r="C252" s="726" t="s">
        <v>569</v>
      </c>
      <c r="D252" s="727" t="s">
        <v>1680</v>
      </c>
      <c r="E252" s="726" t="s">
        <v>2952</v>
      </c>
      <c r="F252" s="727" t="s">
        <v>2953</v>
      </c>
      <c r="G252" s="726" t="s">
        <v>2430</v>
      </c>
      <c r="H252" s="726" t="s">
        <v>2431</v>
      </c>
      <c r="I252" s="728">
        <v>220.22</v>
      </c>
      <c r="J252" s="728">
        <v>120</v>
      </c>
      <c r="K252" s="729">
        <v>26426.399999999998</v>
      </c>
    </row>
    <row r="253" spans="1:11" ht="14.4" customHeight="1" x14ac:dyDescent="0.3">
      <c r="A253" s="724" t="s">
        <v>552</v>
      </c>
      <c r="B253" s="725" t="s">
        <v>1679</v>
      </c>
      <c r="C253" s="726" t="s">
        <v>569</v>
      </c>
      <c r="D253" s="727" t="s">
        <v>1680</v>
      </c>
      <c r="E253" s="726" t="s">
        <v>2952</v>
      </c>
      <c r="F253" s="727" t="s">
        <v>2953</v>
      </c>
      <c r="G253" s="726" t="s">
        <v>2432</v>
      </c>
      <c r="H253" s="726" t="s">
        <v>2433</v>
      </c>
      <c r="I253" s="728">
        <v>154.88</v>
      </c>
      <c r="J253" s="728">
        <v>40</v>
      </c>
      <c r="K253" s="729">
        <v>6195.2</v>
      </c>
    </row>
    <row r="254" spans="1:11" ht="14.4" customHeight="1" x14ac:dyDescent="0.3">
      <c r="A254" s="724" t="s">
        <v>552</v>
      </c>
      <c r="B254" s="725" t="s">
        <v>1679</v>
      </c>
      <c r="C254" s="726" t="s">
        <v>569</v>
      </c>
      <c r="D254" s="727" t="s">
        <v>1680</v>
      </c>
      <c r="E254" s="726" t="s">
        <v>2952</v>
      </c>
      <c r="F254" s="727" t="s">
        <v>2953</v>
      </c>
      <c r="G254" s="726" t="s">
        <v>2434</v>
      </c>
      <c r="H254" s="726" t="s">
        <v>2435</v>
      </c>
      <c r="I254" s="728">
        <v>54.28</v>
      </c>
      <c r="J254" s="728">
        <v>80</v>
      </c>
      <c r="K254" s="729">
        <v>4342.4399999999996</v>
      </c>
    </row>
    <row r="255" spans="1:11" ht="14.4" customHeight="1" x14ac:dyDescent="0.3">
      <c r="A255" s="724" t="s">
        <v>552</v>
      </c>
      <c r="B255" s="725" t="s">
        <v>1679</v>
      </c>
      <c r="C255" s="726" t="s">
        <v>569</v>
      </c>
      <c r="D255" s="727" t="s">
        <v>1680</v>
      </c>
      <c r="E255" s="726" t="s">
        <v>2952</v>
      </c>
      <c r="F255" s="727" t="s">
        <v>2953</v>
      </c>
      <c r="G255" s="726" t="s">
        <v>2436</v>
      </c>
      <c r="H255" s="726" t="s">
        <v>2437</v>
      </c>
      <c r="I255" s="728">
        <v>21.72</v>
      </c>
      <c r="J255" s="728">
        <v>270</v>
      </c>
      <c r="K255" s="729">
        <v>5865.4599999999991</v>
      </c>
    </row>
    <row r="256" spans="1:11" ht="14.4" customHeight="1" x14ac:dyDescent="0.3">
      <c r="A256" s="724" t="s">
        <v>552</v>
      </c>
      <c r="B256" s="725" t="s">
        <v>1679</v>
      </c>
      <c r="C256" s="726" t="s">
        <v>569</v>
      </c>
      <c r="D256" s="727" t="s">
        <v>1680</v>
      </c>
      <c r="E256" s="726" t="s">
        <v>2952</v>
      </c>
      <c r="F256" s="727" t="s">
        <v>2953</v>
      </c>
      <c r="G256" s="726" t="s">
        <v>2438</v>
      </c>
      <c r="H256" s="726" t="s">
        <v>2439</v>
      </c>
      <c r="I256" s="728">
        <v>997</v>
      </c>
      <c r="J256" s="728">
        <v>20</v>
      </c>
      <c r="K256" s="729">
        <v>19940.099999999999</v>
      </c>
    </row>
    <row r="257" spans="1:11" ht="14.4" customHeight="1" x14ac:dyDescent="0.3">
      <c r="A257" s="724" t="s">
        <v>552</v>
      </c>
      <c r="B257" s="725" t="s">
        <v>1679</v>
      </c>
      <c r="C257" s="726" t="s">
        <v>572</v>
      </c>
      <c r="D257" s="727" t="s">
        <v>573</v>
      </c>
      <c r="E257" s="726" t="s">
        <v>2942</v>
      </c>
      <c r="F257" s="727" t="s">
        <v>2943</v>
      </c>
      <c r="G257" s="726" t="s">
        <v>2440</v>
      </c>
      <c r="H257" s="726" t="s">
        <v>2441</v>
      </c>
      <c r="I257" s="728">
        <v>183.09</v>
      </c>
      <c r="J257" s="728">
        <v>15</v>
      </c>
      <c r="K257" s="729">
        <v>2746.3500000000004</v>
      </c>
    </row>
    <row r="258" spans="1:11" ht="14.4" customHeight="1" x14ac:dyDescent="0.3">
      <c r="A258" s="724" t="s">
        <v>552</v>
      </c>
      <c r="B258" s="725" t="s">
        <v>1679</v>
      </c>
      <c r="C258" s="726" t="s">
        <v>572</v>
      </c>
      <c r="D258" s="727" t="s">
        <v>573</v>
      </c>
      <c r="E258" s="726" t="s">
        <v>2942</v>
      </c>
      <c r="F258" s="727" t="s">
        <v>2943</v>
      </c>
      <c r="G258" s="726" t="s">
        <v>2442</v>
      </c>
      <c r="H258" s="726" t="s">
        <v>2443</v>
      </c>
      <c r="I258" s="728">
        <v>85.074999999999989</v>
      </c>
      <c r="J258" s="728">
        <v>48</v>
      </c>
      <c r="K258" s="729">
        <v>4083.6499999999996</v>
      </c>
    </row>
    <row r="259" spans="1:11" ht="14.4" customHeight="1" x14ac:dyDescent="0.3">
      <c r="A259" s="724" t="s">
        <v>552</v>
      </c>
      <c r="B259" s="725" t="s">
        <v>1679</v>
      </c>
      <c r="C259" s="726" t="s">
        <v>572</v>
      </c>
      <c r="D259" s="727" t="s">
        <v>573</v>
      </c>
      <c r="E259" s="726" t="s">
        <v>2942</v>
      </c>
      <c r="F259" s="727" t="s">
        <v>2943</v>
      </c>
      <c r="G259" s="726" t="s">
        <v>2444</v>
      </c>
      <c r="H259" s="726" t="s">
        <v>2445</v>
      </c>
      <c r="I259" s="728">
        <v>3.97</v>
      </c>
      <c r="J259" s="728">
        <v>320</v>
      </c>
      <c r="K259" s="729">
        <v>1270.4000000000001</v>
      </c>
    </row>
    <row r="260" spans="1:11" ht="14.4" customHeight="1" x14ac:dyDescent="0.3">
      <c r="A260" s="724" t="s">
        <v>552</v>
      </c>
      <c r="B260" s="725" t="s">
        <v>1679</v>
      </c>
      <c r="C260" s="726" t="s">
        <v>572</v>
      </c>
      <c r="D260" s="727" t="s">
        <v>573</v>
      </c>
      <c r="E260" s="726" t="s">
        <v>2942</v>
      </c>
      <c r="F260" s="727" t="s">
        <v>2943</v>
      </c>
      <c r="G260" s="726" t="s">
        <v>2446</v>
      </c>
      <c r="H260" s="726" t="s">
        <v>2447</v>
      </c>
      <c r="I260" s="728">
        <v>5.14</v>
      </c>
      <c r="J260" s="728">
        <v>40</v>
      </c>
      <c r="K260" s="729">
        <v>205.6</v>
      </c>
    </row>
    <row r="261" spans="1:11" ht="14.4" customHeight="1" x14ac:dyDescent="0.3">
      <c r="A261" s="724" t="s">
        <v>552</v>
      </c>
      <c r="B261" s="725" t="s">
        <v>1679</v>
      </c>
      <c r="C261" s="726" t="s">
        <v>572</v>
      </c>
      <c r="D261" s="727" t="s">
        <v>573</v>
      </c>
      <c r="E261" s="726" t="s">
        <v>2942</v>
      </c>
      <c r="F261" s="727" t="s">
        <v>2943</v>
      </c>
      <c r="G261" s="726" t="s">
        <v>2448</v>
      </c>
      <c r="H261" s="726" t="s">
        <v>2449</v>
      </c>
      <c r="I261" s="728">
        <v>2.3849999999999998</v>
      </c>
      <c r="J261" s="728">
        <v>6000</v>
      </c>
      <c r="K261" s="729">
        <v>14309.6</v>
      </c>
    </row>
    <row r="262" spans="1:11" ht="14.4" customHeight="1" x14ac:dyDescent="0.3">
      <c r="A262" s="724" t="s">
        <v>552</v>
      </c>
      <c r="B262" s="725" t="s">
        <v>1679</v>
      </c>
      <c r="C262" s="726" t="s">
        <v>572</v>
      </c>
      <c r="D262" s="727" t="s">
        <v>573</v>
      </c>
      <c r="E262" s="726" t="s">
        <v>2942</v>
      </c>
      <c r="F262" s="727" t="s">
        <v>2943</v>
      </c>
      <c r="G262" s="726" t="s">
        <v>2450</v>
      </c>
      <c r="H262" s="726" t="s">
        <v>2451</v>
      </c>
      <c r="I262" s="728">
        <v>0.43333333333333335</v>
      </c>
      <c r="J262" s="728">
        <v>13000</v>
      </c>
      <c r="K262" s="729">
        <v>5630</v>
      </c>
    </row>
    <row r="263" spans="1:11" ht="14.4" customHeight="1" x14ac:dyDescent="0.3">
      <c r="A263" s="724" t="s">
        <v>552</v>
      </c>
      <c r="B263" s="725" t="s">
        <v>1679</v>
      </c>
      <c r="C263" s="726" t="s">
        <v>572</v>
      </c>
      <c r="D263" s="727" t="s">
        <v>573</v>
      </c>
      <c r="E263" s="726" t="s">
        <v>2942</v>
      </c>
      <c r="F263" s="727" t="s">
        <v>2943</v>
      </c>
      <c r="G263" s="726" t="s">
        <v>2452</v>
      </c>
      <c r="H263" s="726" t="s">
        <v>2453</v>
      </c>
      <c r="I263" s="728">
        <v>61.21</v>
      </c>
      <c r="J263" s="728">
        <v>8</v>
      </c>
      <c r="K263" s="729">
        <v>489.68</v>
      </c>
    </row>
    <row r="264" spans="1:11" ht="14.4" customHeight="1" x14ac:dyDescent="0.3">
      <c r="A264" s="724" t="s">
        <v>552</v>
      </c>
      <c r="B264" s="725" t="s">
        <v>1679</v>
      </c>
      <c r="C264" s="726" t="s">
        <v>572</v>
      </c>
      <c r="D264" s="727" t="s">
        <v>573</v>
      </c>
      <c r="E264" s="726" t="s">
        <v>2942</v>
      </c>
      <c r="F264" s="727" t="s">
        <v>2943</v>
      </c>
      <c r="G264" s="726" t="s">
        <v>2454</v>
      </c>
      <c r="H264" s="726" t="s">
        <v>2455</v>
      </c>
      <c r="I264" s="728">
        <v>54.859999999999992</v>
      </c>
      <c r="J264" s="728">
        <v>40</v>
      </c>
      <c r="K264" s="729">
        <v>2194.4</v>
      </c>
    </row>
    <row r="265" spans="1:11" ht="14.4" customHeight="1" x14ac:dyDescent="0.3">
      <c r="A265" s="724" t="s">
        <v>552</v>
      </c>
      <c r="B265" s="725" t="s">
        <v>1679</v>
      </c>
      <c r="C265" s="726" t="s">
        <v>572</v>
      </c>
      <c r="D265" s="727" t="s">
        <v>573</v>
      </c>
      <c r="E265" s="726" t="s">
        <v>2942</v>
      </c>
      <c r="F265" s="727" t="s">
        <v>2943</v>
      </c>
      <c r="G265" s="726" t="s">
        <v>2456</v>
      </c>
      <c r="H265" s="726" t="s">
        <v>2457</v>
      </c>
      <c r="I265" s="728">
        <v>16.78</v>
      </c>
      <c r="J265" s="728">
        <v>20</v>
      </c>
      <c r="K265" s="729">
        <v>335.52</v>
      </c>
    </row>
    <row r="266" spans="1:11" ht="14.4" customHeight="1" x14ac:dyDescent="0.3">
      <c r="A266" s="724" t="s">
        <v>552</v>
      </c>
      <c r="B266" s="725" t="s">
        <v>1679</v>
      </c>
      <c r="C266" s="726" t="s">
        <v>572</v>
      </c>
      <c r="D266" s="727" t="s">
        <v>573</v>
      </c>
      <c r="E266" s="726" t="s">
        <v>2942</v>
      </c>
      <c r="F266" s="727" t="s">
        <v>2943</v>
      </c>
      <c r="G266" s="726" t="s">
        <v>2458</v>
      </c>
      <c r="H266" s="726" t="s">
        <v>2459</v>
      </c>
      <c r="I266" s="728">
        <v>2.65</v>
      </c>
      <c r="J266" s="728">
        <v>12000</v>
      </c>
      <c r="K266" s="729">
        <v>31828.32</v>
      </c>
    </row>
    <row r="267" spans="1:11" ht="14.4" customHeight="1" x14ac:dyDescent="0.3">
      <c r="A267" s="724" t="s">
        <v>552</v>
      </c>
      <c r="B267" s="725" t="s">
        <v>1679</v>
      </c>
      <c r="C267" s="726" t="s">
        <v>572</v>
      </c>
      <c r="D267" s="727" t="s">
        <v>573</v>
      </c>
      <c r="E267" s="726" t="s">
        <v>2942</v>
      </c>
      <c r="F267" s="727" t="s">
        <v>2943</v>
      </c>
      <c r="G267" s="726" t="s">
        <v>2460</v>
      </c>
      <c r="H267" s="726" t="s">
        <v>2461</v>
      </c>
      <c r="I267" s="728">
        <v>352.28</v>
      </c>
      <c r="J267" s="728">
        <v>240</v>
      </c>
      <c r="K267" s="729">
        <v>84548</v>
      </c>
    </row>
    <row r="268" spans="1:11" ht="14.4" customHeight="1" x14ac:dyDescent="0.3">
      <c r="A268" s="724" t="s">
        <v>552</v>
      </c>
      <c r="B268" s="725" t="s">
        <v>1679</v>
      </c>
      <c r="C268" s="726" t="s">
        <v>572</v>
      </c>
      <c r="D268" s="727" t="s">
        <v>573</v>
      </c>
      <c r="E268" s="726" t="s">
        <v>2942</v>
      </c>
      <c r="F268" s="727" t="s">
        <v>2943</v>
      </c>
      <c r="G268" s="726" t="s">
        <v>2462</v>
      </c>
      <c r="H268" s="726" t="s">
        <v>2463</v>
      </c>
      <c r="I268" s="728">
        <v>4</v>
      </c>
      <c r="J268" s="728">
        <v>3000</v>
      </c>
      <c r="K268" s="729">
        <v>12004</v>
      </c>
    </row>
    <row r="269" spans="1:11" ht="14.4" customHeight="1" x14ac:dyDescent="0.3">
      <c r="A269" s="724" t="s">
        <v>552</v>
      </c>
      <c r="B269" s="725" t="s">
        <v>1679</v>
      </c>
      <c r="C269" s="726" t="s">
        <v>572</v>
      </c>
      <c r="D269" s="727" t="s">
        <v>573</v>
      </c>
      <c r="E269" s="726" t="s">
        <v>2942</v>
      </c>
      <c r="F269" s="727" t="s">
        <v>2943</v>
      </c>
      <c r="G269" s="726" t="s">
        <v>2274</v>
      </c>
      <c r="H269" s="726" t="s">
        <v>2275</v>
      </c>
      <c r="I269" s="728">
        <v>98.376666666666665</v>
      </c>
      <c r="J269" s="728">
        <v>30</v>
      </c>
      <c r="K269" s="729">
        <v>2951.3</v>
      </c>
    </row>
    <row r="270" spans="1:11" ht="14.4" customHeight="1" x14ac:dyDescent="0.3">
      <c r="A270" s="724" t="s">
        <v>552</v>
      </c>
      <c r="B270" s="725" t="s">
        <v>1679</v>
      </c>
      <c r="C270" s="726" t="s">
        <v>572</v>
      </c>
      <c r="D270" s="727" t="s">
        <v>573</v>
      </c>
      <c r="E270" s="726" t="s">
        <v>2942</v>
      </c>
      <c r="F270" s="727" t="s">
        <v>2943</v>
      </c>
      <c r="G270" s="726" t="s">
        <v>2464</v>
      </c>
      <c r="H270" s="726" t="s">
        <v>2465</v>
      </c>
      <c r="I270" s="728">
        <v>28.26</v>
      </c>
      <c r="J270" s="728">
        <v>220</v>
      </c>
      <c r="K270" s="729">
        <v>6216.46</v>
      </c>
    </row>
    <row r="271" spans="1:11" ht="14.4" customHeight="1" x14ac:dyDescent="0.3">
      <c r="A271" s="724" t="s">
        <v>552</v>
      </c>
      <c r="B271" s="725" t="s">
        <v>1679</v>
      </c>
      <c r="C271" s="726" t="s">
        <v>572</v>
      </c>
      <c r="D271" s="727" t="s">
        <v>573</v>
      </c>
      <c r="E271" s="726" t="s">
        <v>2942</v>
      </c>
      <c r="F271" s="727" t="s">
        <v>2943</v>
      </c>
      <c r="G271" s="726" t="s">
        <v>2466</v>
      </c>
      <c r="H271" s="726" t="s">
        <v>2467</v>
      </c>
      <c r="I271" s="728">
        <v>5.62</v>
      </c>
      <c r="J271" s="728">
        <v>1050</v>
      </c>
      <c r="K271" s="729">
        <v>5904.68</v>
      </c>
    </row>
    <row r="272" spans="1:11" ht="14.4" customHeight="1" x14ac:dyDescent="0.3">
      <c r="A272" s="724" t="s">
        <v>552</v>
      </c>
      <c r="B272" s="725" t="s">
        <v>1679</v>
      </c>
      <c r="C272" s="726" t="s">
        <v>572</v>
      </c>
      <c r="D272" s="727" t="s">
        <v>573</v>
      </c>
      <c r="E272" s="726" t="s">
        <v>2942</v>
      </c>
      <c r="F272" s="727" t="s">
        <v>2943</v>
      </c>
      <c r="G272" s="726" t="s">
        <v>2468</v>
      </c>
      <c r="H272" s="726" t="s">
        <v>2469</v>
      </c>
      <c r="I272" s="728">
        <v>1381.38</v>
      </c>
      <c r="J272" s="728">
        <v>20</v>
      </c>
      <c r="K272" s="729">
        <v>27627.599999999999</v>
      </c>
    </row>
    <row r="273" spans="1:11" ht="14.4" customHeight="1" x14ac:dyDescent="0.3">
      <c r="A273" s="724" t="s">
        <v>552</v>
      </c>
      <c r="B273" s="725" t="s">
        <v>1679</v>
      </c>
      <c r="C273" s="726" t="s">
        <v>572</v>
      </c>
      <c r="D273" s="727" t="s">
        <v>573</v>
      </c>
      <c r="E273" s="726" t="s">
        <v>2942</v>
      </c>
      <c r="F273" s="727" t="s">
        <v>2943</v>
      </c>
      <c r="G273" s="726" t="s">
        <v>2470</v>
      </c>
      <c r="H273" s="726" t="s">
        <v>2471</v>
      </c>
      <c r="I273" s="728">
        <v>17.14</v>
      </c>
      <c r="J273" s="728">
        <v>500</v>
      </c>
      <c r="K273" s="729">
        <v>8567.5</v>
      </c>
    </row>
    <row r="274" spans="1:11" ht="14.4" customHeight="1" x14ac:dyDescent="0.3">
      <c r="A274" s="724" t="s">
        <v>552</v>
      </c>
      <c r="B274" s="725" t="s">
        <v>1679</v>
      </c>
      <c r="C274" s="726" t="s">
        <v>572</v>
      </c>
      <c r="D274" s="727" t="s">
        <v>573</v>
      </c>
      <c r="E274" s="726" t="s">
        <v>2944</v>
      </c>
      <c r="F274" s="727" t="s">
        <v>2945</v>
      </c>
      <c r="G274" s="726" t="s">
        <v>2472</v>
      </c>
      <c r="H274" s="726" t="s">
        <v>2473</v>
      </c>
      <c r="I274" s="728">
        <v>1719.25</v>
      </c>
      <c r="J274" s="728">
        <v>8</v>
      </c>
      <c r="K274" s="729">
        <v>13754</v>
      </c>
    </row>
    <row r="275" spans="1:11" ht="14.4" customHeight="1" x14ac:dyDescent="0.3">
      <c r="A275" s="724" t="s">
        <v>552</v>
      </c>
      <c r="B275" s="725" t="s">
        <v>1679</v>
      </c>
      <c r="C275" s="726" t="s">
        <v>572</v>
      </c>
      <c r="D275" s="727" t="s">
        <v>573</v>
      </c>
      <c r="E275" s="726" t="s">
        <v>2944</v>
      </c>
      <c r="F275" s="727" t="s">
        <v>2945</v>
      </c>
      <c r="G275" s="726" t="s">
        <v>2474</v>
      </c>
      <c r="H275" s="726" t="s">
        <v>2475</v>
      </c>
      <c r="I275" s="728">
        <v>8.4700000000000006</v>
      </c>
      <c r="J275" s="728">
        <v>90</v>
      </c>
      <c r="K275" s="729">
        <v>762.3</v>
      </c>
    </row>
    <row r="276" spans="1:11" ht="14.4" customHeight="1" x14ac:dyDescent="0.3">
      <c r="A276" s="724" t="s">
        <v>552</v>
      </c>
      <c r="B276" s="725" t="s">
        <v>1679</v>
      </c>
      <c r="C276" s="726" t="s">
        <v>572</v>
      </c>
      <c r="D276" s="727" t="s">
        <v>573</v>
      </c>
      <c r="E276" s="726" t="s">
        <v>2944</v>
      </c>
      <c r="F276" s="727" t="s">
        <v>2945</v>
      </c>
      <c r="G276" s="726" t="s">
        <v>2476</v>
      </c>
      <c r="H276" s="726" t="s">
        <v>2477</v>
      </c>
      <c r="I276" s="728">
        <v>8.4700000000000006</v>
      </c>
      <c r="J276" s="728">
        <v>110</v>
      </c>
      <c r="K276" s="729">
        <v>931.7</v>
      </c>
    </row>
    <row r="277" spans="1:11" ht="14.4" customHeight="1" x14ac:dyDescent="0.3">
      <c r="A277" s="724" t="s">
        <v>552</v>
      </c>
      <c r="B277" s="725" t="s">
        <v>1679</v>
      </c>
      <c r="C277" s="726" t="s">
        <v>572</v>
      </c>
      <c r="D277" s="727" t="s">
        <v>573</v>
      </c>
      <c r="E277" s="726" t="s">
        <v>2944</v>
      </c>
      <c r="F277" s="727" t="s">
        <v>2945</v>
      </c>
      <c r="G277" s="726" t="s">
        <v>2138</v>
      </c>
      <c r="H277" s="726" t="s">
        <v>2139</v>
      </c>
      <c r="I277" s="728">
        <v>1.67</v>
      </c>
      <c r="J277" s="728">
        <v>800</v>
      </c>
      <c r="K277" s="729">
        <v>1336</v>
      </c>
    </row>
    <row r="278" spans="1:11" ht="14.4" customHeight="1" x14ac:dyDescent="0.3">
      <c r="A278" s="724" t="s">
        <v>552</v>
      </c>
      <c r="B278" s="725" t="s">
        <v>1679</v>
      </c>
      <c r="C278" s="726" t="s">
        <v>572</v>
      </c>
      <c r="D278" s="727" t="s">
        <v>573</v>
      </c>
      <c r="E278" s="726" t="s">
        <v>2944</v>
      </c>
      <c r="F278" s="727" t="s">
        <v>2945</v>
      </c>
      <c r="G278" s="726" t="s">
        <v>2142</v>
      </c>
      <c r="H278" s="726" t="s">
        <v>2143</v>
      </c>
      <c r="I278" s="728">
        <v>0.67</v>
      </c>
      <c r="J278" s="728">
        <v>200</v>
      </c>
      <c r="K278" s="729">
        <v>134</v>
      </c>
    </row>
    <row r="279" spans="1:11" ht="14.4" customHeight="1" x14ac:dyDescent="0.3">
      <c r="A279" s="724" t="s">
        <v>552</v>
      </c>
      <c r="B279" s="725" t="s">
        <v>1679</v>
      </c>
      <c r="C279" s="726" t="s">
        <v>572</v>
      </c>
      <c r="D279" s="727" t="s">
        <v>573</v>
      </c>
      <c r="E279" s="726" t="s">
        <v>2944</v>
      </c>
      <c r="F279" s="727" t="s">
        <v>2945</v>
      </c>
      <c r="G279" s="726" t="s">
        <v>2310</v>
      </c>
      <c r="H279" s="726" t="s">
        <v>2311</v>
      </c>
      <c r="I279" s="728">
        <v>80.573333333333323</v>
      </c>
      <c r="J279" s="728">
        <v>600</v>
      </c>
      <c r="K279" s="729">
        <v>48344</v>
      </c>
    </row>
    <row r="280" spans="1:11" ht="14.4" customHeight="1" x14ac:dyDescent="0.3">
      <c r="A280" s="724" t="s">
        <v>552</v>
      </c>
      <c r="B280" s="725" t="s">
        <v>1679</v>
      </c>
      <c r="C280" s="726" t="s">
        <v>572</v>
      </c>
      <c r="D280" s="727" t="s">
        <v>573</v>
      </c>
      <c r="E280" s="726" t="s">
        <v>2944</v>
      </c>
      <c r="F280" s="727" t="s">
        <v>2945</v>
      </c>
      <c r="G280" s="726" t="s">
        <v>2478</v>
      </c>
      <c r="H280" s="726" t="s">
        <v>2479</v>
      </c>
      <c r="I280" s="728">
        <v>34.00333333333333</v>
      </c>
      <c r="J280" s="728">
        <v>250</v>
      </c>
      <c r="K280" s="729">
        <v>8501</v>
      </c>
    </row>
    <row r="281" spans="1:11" ht="14.4" customHeight="1" x14ac:dyDescent="0.3">
      <c r="A281" s="724" t="s">
        <v>552</v>
      </c>
      <c r="B281" s="725" t="s">
        <v>1679</v>
      </c>
      <c r="C281" s="726" t="s">
        <v>572</v>
      </c>
      <c r="D281" s="727" t="s">
        <v>573</v>
      </c>
      <c r="E281" s="726" t="s">
        <v>2944</v>
      </c>
      <c r="F281" s="727" t="s">
        <v>2945</v>
      </c>
      <c r="G281" s="726" t="s">
        <v>2480</v>
      </c>
      <c r="H281" s="726" t="s">
        <v>2481</v>
      </c>
      <c r="I281" s="728">
        <v>102.24666666666667</v>
      </c>
      <c r="J281" s="728">
        <v>50</v>
      </c>
      <c r="K281" s="729">
        <v>5112.25</v>
      </c>
    </row>
    <row r="282" spans="1:11" ht="14.4" customHeight="1" x14ac:dyDescent="0.3">
      <c r="A282" s="724" t="s">
        <v>552</v>
      </c>
      <c r="B282" s="725" t="s">
        <v>1679</v>
      </c>
      <c r="C282" s="726" t="s">
        <v>572</v>
      </c>
      <c r="D282" s="727" t="s">
        <v>573</v>
      </c>
      <c r="E282" s="726" t="s">
        <v>2944</v>
      </c>
      <c r="F282" s="727" t="s">
        <v>2945</v>
      </c>
      <c r="G282" s="726" t="s">
        <v>2482</v>
      </c>
      <c r="H282" s="726" t="s">
        <v>2483</v>
      </c>
      <c r="I282" s="728">
        <v>2.9075000000000002</v>
      </c>
      <c r="J282" s="728">
        <v>500</v>
      </c>
      <c r="K282" s="729">
        <v>1454.2</v>
      </c>
    </row>
    <row r="283" spans="1:11" ht="14.4" customHeight="1" x14ac:dyDescent="0.3">
      <c r="A283" s="724" t="s">
        <v>552</v>
      </c>
      <c r="B283" s="725" t="s">
        <v>1679</v>
      </c>
      <c r="C283" s="726" t="s">
        <v>572</v>
      </c>
      <c r="D283" s="727" t="s">
        <v>573</v>
      </c>
      <c r="E283" s="726" t="s">
        <v>2944</v>
      </c>
      <c r="F283" s="727" t="s">
        <v>2945</v>
      </c>
      <c r="G283" s="726" t="s">
        <v>2484</v>
      </c>
      <c r="H283" s="726" t="s">
        <v>2485</v>
      </c>
      <c r="I283" s="728">
        <v>28.8</v>
      </c>
      <c r="J283" s="728">
        <v>600</v>
      </c>
      <c r="K283" s="729">
        <v>17278.800000000003</v>
      </c>
    </row>
    <row r="284" spans="1:11" ht="14.4" customHeight="1" x14ac:dyDescent="0.3">
      <c r="A284" s="724" t="s">
        <v>552</v>
      </c>
      <c r="B284" s="725" t="s">
        <v>1679</v>
      </c>
      <c r="C284" s="726" t="s">
        <v>572</v>
      </c>
      <c r="D284" s="727" t="s">
        <v>573</v>
      </c>
      <c r="E284" s="726" t="s">
        <v>2944</v>
      </c>
      <c r="F284" s="727" t="s">
        <v>2945</v>
      </c>
      <c r="G284" s="726" t="s">
        <v>2486</v>
      </c>
      <c r="H284" s="726" t="s">
        <v>2487</v>
      </c>
      <c r="I284" s="728">
        <v>2392.17</v>
      </c>
      <c r="J284" s="728">
        <v>6</v>
      </c>
      <c r="K284" s="729">
        <v>14353.02</v>
      </c>
    </row>
    <row r="285" spans="1:11" ht="14.4" customHeight="1" x14ac:dyDescent="0.3">
      <c r="A285" s="724" t="s">
        <v>552</v>
      </c>
      <c r="B285" s="725" t="s">
        <v>1679</v>
      </c>
      <c r="C285" s="726" t="s">
        <v>572</v>
      </c>
      <c r="D285" s="727" t="s">
        <v>573</v>
      </c>
      <c r="E285" s="726" t="s">
        <v>2944</v>
      </c>
      <c r="F285" s="727" t="s">
        <v>2945</v>
      </c>
      <c r="G285" s="726" t="s">
        <v>2170</v>
      </c>
      <c r="H285" s="726" t="s">
        <v>2171</v>
      </c>
      <c r="I285" s="728">
        <v>21.233333333333334</v>
      </c>
      <c r="J285" s="728">
        <v>15</v>
      </c>
      <c r="K285" s="729">
        <v>318.5</v>
      </c>
    </row>
    <row r="286" spans="1:11" ht="14.4" customHeight="1" x14ac:dyDescent="0.3">
      <c r="A286" s="724" t="s">
        <v>552</v>
      </c>
      <c r="B286" s="725" t="s">
        <v>1679</v>
      </c>
      <c r="C286" s="726" t="s">
        <v>572</v>
      </c>
      <c r="D286" s="727" t="s">
        <v>573</v>
      </c>
      <c r="E286" s="726" t="s">
        <v>2944</v>
      </c>
      <c r="F286" s="727" t="s">
        <v>2945</v>
      </c>
      <c r="G286" s="726" t="s">
        <v>2488</v>
      </c>
      <c r="H286" s="726" t="s">
        <v>2489</v>
      </c>
      <c r="I286" s="728">
        <v>17.3</v>
      </c>
      <c r="J286" s="728">
        <v>100</v>
      </c>
      <c r="K286" s="729">
        <v>1730.3</v>
      </c>
    </row>
    <row r="287" spans="1:11" ht="14.4" customHeight="1" x14ac:dyDescent="0.3">
      <c r="A287" s="724" t="s">
        <v>552</v>
      </c>
      <c r="B287" s="725" t="s">
        <v>1679</v>
      </c>
      <c r="C287" s="726" t="s">
        <v>572</v>
      </c>
      <c r="D287" s="727" t="s">
        <v>573</v>
      </c>
      <c r="E287" s="726" t="s">
        <v>2944</v>
      </c>
      <c r="F287" s="727" t="s">
        <v>2945</v>
      </c>
      <c r="G287" s="726" t="s">
        <v>2490</v>
      </c>
      <c r="H287" s="726" t="s">
        <v>2491</v>
      </c>
      <c r="I287" s="728">
        <v>2057</v>
      </c>
      <c r="J287" s="728">
        <v>4</v>
      </c>
      <c r="K287" s="729">
        <v>8228</v>
      </c>
    </row>
    <row r="288" spans="1:11" ht="14.4" customHeight="1" x14ac:dyDescent="0.3">
      <c r="A288" s="724" t="s">
        <v>552</v>
      </c>
      <c r="B288" s="725" t="s">
        <v>1679</v>
      </c>
      <c r="C288" s="726" t="s">
        <v>572</v>
      </c>
      <c r="D288" s="727" t="s">
        <v>573</v>
      </c>
      <c r="E288" s="726" t="s">
        <v>2944</v>
      </c>
      <c r="F288" s="727" t="s">
        <v>2945</v>
      </c>
      <c r="G288" s="726" t="s">
        <v>2492</v>
      </c>
      <c r="H288" s="726" t="s">
        <v>2493</v>
      </c>
      <c r="I288" s="728">
        <v>2156.6675</v>
      </c>
      <c r="J288" s="728">
        <v>14</v>
      </c>
      <c r="K288" s="729">
        <v>30193.350000000002</v>
      </c>
    </row>
    <row r="289" spans="1:11" ht="14.4" customHeight="1" x14ac:dyDescent="0.3">
      <c r="A289" s="724" t="s">
        <v>552</v>
      </c>
      <c r="B289" s="725" t="s">
        <v>1679</v>
      </c>
      <c r="C289" s="726" t="s">
        <v>572</v>
      </c>
      <c r="D289" s="727" t="s">
        <v>573</v>
      </c>
      <c r="E289" s="726" t="s">
        <v>2944</v>
      </c>
      <c r="F289" s="727" t="s">
        <v>2945</v>
      </c>
      <c r="G289" s="726" t="s">
        <v>2494</v>
      </c>
      <c r="H289" s="726" t="s">
        <v>2495</v>
      </c>
      <c r="I289" s="728">
        <v>2600.4299999999998</v>
      </c>
      <c r="J289" s="728">
        <v>2</v>
      </c>
      <c r="K289" s="729">
        <v>5200.87</v>
      </c>
    </row>
    <row r="290" spans="1:11" ht="14.4" customHeight="1" x14ac:dyDescent="0.3">
      <c r="A290" s="724" t="s">
        <v>552</v>
      </c>
      <c r="B290" s="725" t="s">
        <v>1679</v>
      </c>
      <c r="C290" s="726" t="s">
        <v>572</v>
      </c>
      <c r="D290" s="727" t="s">
        <v>573</v>
      </c>
      <c r="E290" s="726" t="s">
        <v>2944</v>
      </c>
      <c r="F290" s="727" t="s">
        <v>2945</v>
      </c>
      <c r="G290" s="726" t="s">
        <v>2496</v>
      </c>
      <c r="H290" s="726" t="s">
        <v>2497</v>
      </c>
      <c r="I290" s="728">
        <v>25.59</v>
      </c>
      <c r="J290" s="728">
        <v>35</v>
      </c>
      <c r="K290" s="729">
        <v>895.68000000000006</v>
      </c>
    </row>
    <row r="291" spans="1:11" ht="14.4" customHeight="1" x14ac:dyDescent="0.3">
      <c r="A291" s="724" t="s">
        <v>552</v>
      </c>
      <c r="B291" s="725" t="s">
        <v>1679</v>
      </c>
      <c r="C291" s="726" t="s">
        <v>572</v>
      </c>
      <c r="D291" s="727" t="s">
        <v>573</v>
      </c>
      <c r="E291" s="726" t="s">
        <v>2944</v>
      </c>
      <c r="F291" s="727" t="s">
        <v>2945</v>
      </c>
      <c r="G291" s="726" t="s">
        <v>2498</v>
      </c>
      <c r="H291" s="726" t="s">
        <v>2499</v>
      </c>
      <c r="I291" s="728">
        <v>12270</v>
      </c>
      <c r="J291" s="728">
        <v>1</v>
      </c>
      <c r="K291" s="729">
        <v>12270</v>
      </c>
    </row>
    <row r="292" spans="1:11" ht="14.4" customHeight="1" x14ac:dyDescent="0.3">
      <c r="A292" s="724" t="s">
        <v>552</v>
      </c>
      <c r="B292" s="725" t="s">
        <v>1679</v>
      </c>
      <c r="C292" s="726" t="s">
        <v>572</v>
      </c>
      <c r="D292" s="727" t="s">
        <v>573</v>
      </c>
      <c r="E292" s="726" t="s">
        <v>2944</v>
      </c>
      <c r="F292" s="727" t="s">
        <v>2945</v>
      </c>
      <c r="G292" s="726" t="s">
        <v>2500</v>
      </c>
      <c r="H292" s="726" t="s">
        <v>2501</v>
      </c>
      <c r="I292" s="728">
        <v>1533.3</v>
      </c>
      <c r="J292" s="728">
        <v>20</v>
      </c>
      <c r="K292" s="729">
        <v>30666.04</v>
      </c>
    </row>
    <row r="293" spans="1:11" ht="14.4" customHeight="1" x14ac:dyDescent="0.3">
      <c r="A293" s="724" t="s">
        <v>552</v>
      </c>
      <c r="B293" s="725" t="s">
        <v>1679</v>
      </c>
      <c r="C293" s="726" t="s">
        <v>572</v>
      </c>
      <c r="D293" s="727" t="s">
        <v>573</v>
      </c>
      <c r="E293" s="726" t="s">
        <v>2944</v>
      </c>
      <c r="F293" s="727" t="s">
        <v>2945</v>
      </c>
      <c r="G293" s="726" t="s">
        <v>2502</v>
      </c>
      <c r="H293" s="726" t="s">
        <v>2503</v>
      </c>
      <c r="I293" s="728">
        <v>6.32</v>
      </c>
      <c r="J293" s="728">
        <v>200</v>
      </c>
      <c r="K293" s="729">
        <v>1263.24</v>
      </c>
    </row>
    <row r="294" spans="1:11" ht="14.4" customHeight="1" x14ac:dyDescent="0.3">
      <c r="A294" s="724" t="s">
        <v>552</v>
      </c>
      <c r="B294" s="725" t="s">
        <v>1679</v>
      </c>
      <c r="C294" s="726" t="s">
        <v>572</v>
      </c>
      <c r="D294" s="727" t="s">
        <v>573</v>
      </c>
      <c r="E294" s="726" t="s">
        <v>2944</v>
      </c>
      <c r="F294" s="727" t="s">
        <v>2945</v>
      </c>
      <c r="G294" s="726" t="s">
        <v>2504</v>
      </c>
      <c r="H294" s="726" t="s">
        <v>2505</v>
      </c>
      <c r="I294" s="728">
        <v>5.38</v>
      </c>
      <c r="J294" s="728">
        <v>200</v>
      </c>
      <c r="K294" s="729">
        <v>1076.45</v>
      </c>
    </row>
    <row r="295" spans="1:11" ht="14.4" customHeight="1" x14ac:dyDescent="0.3">
      <c r="A295" s="724" t="s">
        <v>552</v>
      </c>
      <c r="B295" s="725" t="s">
        <v>1679</v>
      </c>
      <c r="C295" s="726" t="s">
        <v>572</v>
      </c>
      <c r="D295" s="727" t="s">
        <v>573</v>
      </c>
      <c r="E295" s="726" t="s">
        <v>2944</v>
      </c>
      <c r="F295" s="727" t="s">
        <v>2945</v>
      </c>
      <c r="G295" s="726" t="s">
        <v>2506</v>
      </c>
      <c r="H295" s="726" t="s">
        <v>2507</v>
      </c>
      <c r="I295" s="728">
        <v>3690.5</v>
      </c>
      <c r="J295" s="728">
        <v>6</v>
      </c>
      <c r="K295" s="729">
        <v>22143</v>
      </c>
    </row>
    <row r="296" spans="1:11" ht="14.4" customHeight="1" x14ac:dyDescent="0.3">
      <c r="A296" s="724" t="s">
        <v>552</v>
      </c>
      <c r="B296" s="725" t="s">
        <v>1679</v>
      </c>
      <c r="C296" s="726" t="s">
        <v>572</v>
      </c>
      <c r="D296" s="727" t="s">
        <v>573</v>
      </c>
      <c r="E296" s="726" t="s">
        <v>2944</v>
      </c>
      <c r="F296" s="727" t="s">
        <v>2945</v>
      </c>
      <c r="G296" s="726" t="s">
        <v>2508</v>
      </c>
      <c r="H296" s="726" t="s">
        <v>2509</v>
      </c>
      <c r="I296" s="728">
        <v>2903.18</v>
      </c>
      <c r="J296" s="728">
        <v>3</v>
      </c>
      <c r="K296" s="729">
        <v>8709.5300000000007</v>
      </c>
    </row>
    <row r="297" spans="1:11" ht="14.4" customHeight="1" x14ac:dyDescent="0.3">
      <c r="A297" s="724" t="s">
        <v>552</v>
      </c>
      <c r="B297" s="725" t="s">
        <v>1679</v>
      </c>
      <c r="C297" s="726" t="s">
        <v>572</v>
      </c>
      <c r="D297" s="727" t="s">
        <v>573</v>
      </c>
      <c r="E297" s="726" t="s">
        <v>2944</v>
      </c>
      <c r="F297" s="727" t="s">
        <v>2945</v>
      </c>
      <c r="G297" s="726" t="s">
        <v>2510</v>
      </c>
      <c r="H297" s="726" t="s">
        <v>2511</v>
      </c>
      <c r="I297" s="728">
        <v>2062.31</v>
      </c>
      <c r="J297" s="728">
        <v>16</v>
      </c>
      <c r="K297" s="729">
        <v>32996.99</v>
      </c>
    </row>
    <row r="298" spans="1:11" ht="14.4" customHeight="1" x14ac:dyDescent="0.3">
      <c r="A298" s="724" t="s">
        <v>552</v>
      </c>
      <c r="B298" s="725" t="s">
        <v>1679</v>
      </c>
      <c r="C298" s="726" t="s">
        <v>572</v>
      </c>
      <c r="D298" s="727" t="s">
        <v>573</v>
      </c>
      <c r="E298" s="726" t="s">
        <v>2944</v>
      </c>
      <c r="F298" s="727" t="s">
        <v>2945</v>
      </c>
      <c r="G298" s="726" t="s">
        <v>2512</v>
      </c>
      <c r="H298" s="726" t="s">
        <v>2513</v>
      </c>
      <c r="I298" s="728">
        <v>2510.2150000000001</v>
      </c>
      <c r="J298" s="728">
        <v>3</v>
      </c>
      <c r="K298" s="729">
        <v>7530.65</v>
      </c>
    </row>
    <row r="299" spans="1:11" ht="14.4" customHeight="1" x14ac:dyDescent="0.3">
      <c r="A299" s="724" t="s">
        <v>552</v>
      </c>
      <c r="B299" s="725" t="s">
        <v>1679</v>
      </c>
      <c r="C299" s="726" t="s">
        <v>572</v>
      </c>
      <c r="D299" s="727" t="s">
        <v>573</v>
      </c>
      <c r="E299" s="726" t="s">
        <v>2944</v>
      </c>
      <c r="F299" s="727" t="s">
        <v>2945</v>
      </c>
      <c r="G299" s="726" t="s">
        <v>2514</v>
      </c>
      <c r="H299" s="726" t="s">
        <v>2515</v>
      </c>
      <c r="I299" s="728">
        <v>2663.27</v>
      </c>
      <c r="J299" s="728">
        <v>5</v>
      </c>
      <c r="K299" s="729">
        <v>13316.36</v>
      </c>
    </row>
    <row r="300" spans="1:11" ht="14.4" customHeight="1" x14ac:dyDescent="0.3">
      <c r="A300" s="724" t="s">
        <v>552</v>
      </c>
      <c r="B300" s="725" t="s">
        <v>1679</v>
      </c>
      <c r="C300" s="726" t="s">
        <v>572</v>
      </c>
      <c r="D300" s="727" t="s">
        <v>573</v>
      </c>
      <c r="E300" s="726" t="s">
        <v>2944</v>
      </c>
      <c r="F300" s="727" t="s">
        <v>2945</v>
      </c>
      <c r="G300" s="726" t="s">
        <v>2516</v>
      </c>
      <c r="H300" s="726" t="s">
        <v>2517</v>
      </c>
      <c r="I300" s="728">
        <v>26783.35</v>
      </c>
      <c r="J300" s="728">
        <v>1</v>
      </c>
      <c r="K300" s="729">
        <v>26783.35</v>
      </c>
    </row>
    <row r="301" spans="1:11" ht="14.4" customHeight="1" x14ac:dyDescent="0.3">
      <c r="A301" s="724" t="s">
        <v>552</v>
      </c>
      <c r="B301" s="725" t="s">
        <v>1679</v>
      </c>
      <c r="C301" s="726" t="s">
        <v>572</v>
      </c>
      <c r="D301" s="727" t="s">
        <v>573</v>
      </c>
      <c r="E301" s="726" t="s">
        <v>2944</v>
      </c>
      <c r="F301" s="727" t="s">
        <v>2945</v>
      </c>
      <c r="G301" s="726" t="s">
        <v>2518</v>
      </c>
      <c r="H301" s="726" t="s">
        <v>2519</v>
      </c>
      <c r="I301" s="728">
        <v>887.75999999999988</v>
      </c>
      <c r="J301" s="728">
        <v>25</v>
      </c>
      <c r="K301" s="729">
        <v>22193.940000000002</v>
      </c>
    </row>
    <row r="302" spans="1:11" ht="14.4" customHeight="1" x14ac:dyDescent="0.3">
      <c r="A302" s="724" t="s">
        <v>552</v>
      </c>
      <c r="B302" s="725" t="s">
        <v>1679</v>
      </c>
      <c r="C302" s="726" t="s">
        <v>572</v>
      </c>
      <c r="D302" s="727" t="s">
        <v>573</v>
      </c>
      <c r="E302" s="726" t="s">
        <v>2944</v>
      </c>
      <c r="F302" s="727" t="s">
        <v>2945</v>
      </c>
      <c r="G302" s="726" t="s">
        <v>2520</v>
      </c>
      <c r="H302" s="726" t="s">
        <v>2521</v>
      </c>
      <c r="I302" s="728">
        <v>2510.2199999999998</v>
      </c>
      <c r="J302" s="728">
        <v>2</v>
      </c>
      <c r="K302" s="729">
        <v>5020.4399999999996</v>
      </c>
    </row>
    <row r="303" spans="1:11" ht="14.4" customHeight="1" x14ac:dyDescent="0.3">
      <c r="A303" s="724" t="s">
        <v>552</v>
      </c>
      <c r="B303" s="725" t="s">
        <v>1679</v>
      </c>
      <c r="C303" s="726" t="s">
        <v>572</v>
      </c>
      <c r="D303" s="727" t="s">
        <v>573</v>
      </c>
      <c r="E303" s="726" t="s">
        <v>2944</v>
      </c>
      <c r="F303" s="727" t="s">
        <v>2945</v>
      </c>
      <c r="G303" s="726" t="s">
        <v>2522</v>
      </c>
      <c r="H303" s="726" t="s">
        <v>2523</v>
      </c>
      <c r="I303" s="728">
        <v>2510.2199999999998</v>
      </c>
      <c r="J303" s="728">
        <v>2</v>
      </c>
      <c r="K303" s="729">
        <v>5020.4399999999996</v>
      </c>
    </row>
    <row r="304" spans="1:11" ht="14.4" customHeight="1" x14ac:dyDescent="0.3">
      <c r="A304" s="724" t="s">
        <v>552</v>
      </c>
      <c r="B304" s="725" t="s">
        <v>1679</v>
      </c>
      <c r="C304" s="726" t="s">
        <v>572</v>
      </c>
      <c r="D304" s="727" t="s">
        <v>573</v>
      </c>
      <c r="E304" s="726" t="s">
        <v>2944</v>
      </c>
      <c r="F304" s="727" t="s">
        <v>2945</v>
      </c>
      <c r="G304" s="726" t="s">
        <v>2524</v>
      </c>
      <c r="H304" s="726" t="s">
        <v>2525</v>
      </c>
      <c r="I304" s="728">
        <v>17.3</v>
      </c>
      <c r="J304" s="728">
        <v>50</v>
      </c>
      <c r="K304" s="729">
        <v>865.15</v>
      </c>
    </row>
    <row r="305" spans="1:11" ht="14.4" customHeight="1" x14ac:dyDescent="0.3">
      <c r="A305" s="724" t="s">
        <v>552</v>
      </c>
      <c r="B305" s="725" t="s">
        <v>1679</v>
      </c>
      <c r="C305" s="726" t="s">
        <v>572</v>
      </c>
      <c r="D305" s="727" t="s">
        <v>573</v>
      </c>
      <c r="E305" s="726" t="s">
        <v>2944</v>
      </c>
      <c r="F305" s="727" t="s">
        <v>2945</v>
      </c>
      <c r="G305" s="726" t="s">
        <v>2526</v>
      </c>
      <c r="H305" s="726" t="s">
        <v>2527</v>
      </c>
      <c r="I305" s="728">
        <v>2615.0500000000002</v>
      </c>
      <c r="J305" s="728">
        <v>1</v>
      </c>
      <c r="K305" s="729">
        <v>2615.0500000000002</v>
      </c>
    </row>
    <row r="306" spans="1:11" ht="14.4" customHeight="1" x14ac:dyDescent="0.3">
      <c r="A306" s="724" t="s">
        <v>552</v>
      </c>
      <c r="B306" s="725" t="s">
        <v>1679</v>
      </c>
      <c r="C306" s="726" t="s">
        <v>572</v>
      </c>
      <c r="D306" s="727" t="s">
        <v>573</v>
      </c>
      <c r="E306" s="726" t="s">
        <v>2944</v>
      </c>
      <c r="F306" s="727" t="s">
        <v>2945</v>
      </c>
      <c r="G306" s="726" t="s">
        <v>2528</v>
      </c>
      <c r="H306" s="726" t="s">
        <v>2529</v>
      </c>
      <c r="I306" s="728">
        <v>2618.44</v>
      </c>
      <c r="J306" s="728">
        <v>1</v>
      </c>
      <c r="K306" s="729">
        <v>2618.44</v>
      </c>
    </row>
    <row r="307" spans="1:11" ht="14.4" customHeight="1" x14ac:dyDescent="0.3">
      <c r="A307" s="724" t="s">
        <v>552</v>
      </c>
      <c r="B307" s="725" t="s">
        <v>1679</v>
      </c>
      <c r="C307" s="726" t="s">
        <v>572</v>
      </c>
      <c r="D307" s="727" t="s">
        <v>573</v>
      </c>
      <c r="E307" s="726" t="s">
        <v>2944</v>
      </c>
      <c r="F307" s="727" t="s">
        <v>2945</v>
      </c>
      <c r="G307" s="726" t="s">
        <v>2530</v>
      </c>
      <c r="H307" s="726" t="s">
        <v>2531</v>
      </c>
      <c r="I307" s="728">
        <v>4409.8500000000004</v>
      </c>
      <c r="J307" s="728">
        <v>1</v>
      </c>
      <c r="K307" s="729">
        <v>4409.8500000000004</v>
      </c>
    </row>
    <row r="308" spans="1:11" ht="14.4" customHeight="1" x14ac:dyDescent="0.3">
      <c r="A308" s="724" t="s">
        <v>552</v>
      </c>
      <c r="B308" s="725" t="s">
        <v>1679</v>
      </c>
      <c r="C308" s="726" t="s">
        <v>572</v>
      </c>
      <c r="D308" s="727" t="s">
        <v>573</v>
      </c>
      <c r="E308" s="726" t="s">
        <v>2944</v>
      </c>
      <c r="F308" s="727" t="s">
        <v>2945</v>
      </c>
      <c r="G308" s="726" t="s">
        <v>2532</v>
      </c>
      <c r="H308" s="726" t="s">
        <v>2533</v>
      </c>
      <c r="I308" s="728">
        <v>7627.24</v>
      </c>
      <c r="J308" s="728">
        <v>1</v>
      </c>
      <c r="K308" s="729">
        <v>7627.24</v>
      </c>
    </row>
    <row r="309" spans="1:11" ht="14.4" customHeight="1" x14ac:dyDescent="0.3">
      <c r="A309" s="724" t="s">
        <v>552</v>
      </c>
      <c r="B309" s="725" t="s">
        <v>1679</v>
      </c>
      <c r="C309" s="726" t="s">
        <v>572</v>
      </c>
      <c r="D309" s="727" t="s">
        <v>573</v>
      </c>
      <c r="E309" s="726" t="s">
        <v>2944</v>
      </c>
      <c r="F309" s="727" t="s">
        <v>2945</v>
      </c>
      <c r="G309" s="726" t="s">
        <v>2534</v>
      </c>
      <c r="H309" s="726" t="s">
        <v>2535</v>
      </c>
      <c r="I309" s="728">
        <v>5994.82</v>
      </c>
      <c r="J309" s="728">
        <v>5</v>
      </c>
      <c r="K309" s="729">
        <v>29974.12</v>
      </c>
    </row>
    <row r="310" spans="1:11" ht="14.4" customHeight="1" x14ac:dyDescent="0.3">
      <c r="A310" s="724" t="s">
        <v>552</v>
      </c>
      <c r="B310" s="725" t="s">
        <v>1679</v>
      </c>
      <c r="C310" s="726" t="s">
        <v>572</v>
      </c>
      <c r="D310" s="727" t="s">
        <v>573</v>
      </c>
      <c r="E310" s="726" t="s">
        <v>2958</v>
      </c>
      <c r="F310" s="727" t="s">
        <v>2959</v>
      </c>
      <c r="G310" s="726" t="s">
        <v>2536</v>
      </c>
      <c r="H310" s="726" t="s">
        <v>2537</v>
      </c>
      <c r="I310" s="728">
        <v>1595.53</v>
      </c>
      <c r="J310" s="728">
        <v>12</v>
      </c>
      <c r="K310" s="729">
        <v>19146.39</v>
      </c>
    </row>
    <row r="311" spans="1:11" ht="14.4" customHeight="1" x14ac:dyDescent="0.3">
      <c r="A311" s="724" t="s">
        <v>552</v>
      </c>
      <c r="B311" s="725" t="s">
        <v>1679</v>
      </c>
      <c r="C311" s="726" t="s">
        <v>572</v>
      </c>
      <c r="D311" s="727" t="s">
        <v>573</v>
      </c>
      <c r="E311" s="726" t="s">
        <v>2958</v>
      </c>
      <c r="F311" s="727" t="s">
        <v>2959</v>
      </c>
      <c r="G311" s="726" t="s">
        <v>2538</v>
      </c>
      <c r="H311" s="726" t="s">
        <v>2539</v>
      </c>
      <c r="I311" s="728">
        <v>9318.02</v>
      </c>
      <c r="J311" s="728">
        <v>1</v>
      </c>
      <c r="K311" s="729">
        <v>9318.02</v>
      </c>
    </row>
    <row r="312" spans="1:11" ht="14.4" customHeight="1" x14ac:dyDescent="0.3">
      <c r="A312" s="724" t="s">
        <v>552</v>
      </c>
      <c r="B312" s="725" t="s">
        <v>1679</v>
      </c>
      <c r="C312" s="726" t="s">
        <v>572</v>
      </c>
      <c r="D312" s="727" t="s">
        <v>573</v>
      </c>
      <c r="E312" s="726" t="s">
        <v>2958</v>
      </c>
      <c r="F312" s="727" t="s">
        <v>2959</v>
      </c>
      <c r="G312" s="726" t="s">
        <v>2540</v>
      </c>
      <c r="H312" s="726" t="s">
        <v>2541</v>
      </c>
      <c r="I312" s="728">
        <v>9318.02</v>
      </c>
      <c r="J312" s="728">
        <v>2</v>
      </c>
      <c r="K312" s="729">
        <v>18636.04</v>
      </c>
    </row>
    <row r="313" spans="1:11" ht="14.4" customHeight="1" x14ac:dyDescent="0.3">
      <c r="A313" s="724" t="s">
        <v>552</v>
      </c>
      <c r="B313" s="725" t="s">
        <v>1679</v>
      </c>
      <c r="C313" s="726" t="s">
        <v>572</v>
      </c>
      <c r="D313" s="727" t="s">
        <v>573</v>
      </c>
      <c r="E313" s="726" t="s">
        <v>2958</v>
      </c>
      <c r="F313" s="727" t="s">
        <v>2959</v>
      </c>
      <c r="G313" s="726" t="s">
        <v>2542</v>
      </c>
      <c r="H313" s="726" t="s">
        <v>2543</v>
      </c>
      <c r="I313" s="728">
        <v>2070.8050000000003</v>
      </c>
      <c r="J313" s="728">
        <v>7</v>
      </c>
      <c r="K313" s="729">
        <v>14495.64</v>
      </c>
    </row>
    <row r="314" spans="1:11" ht="14.4" customHeight="1" x14ac:dyDescent="0.3">
      <c r="A314" s="724" t="s">
        <v>552</v>
      </c>
      <c r="B314" s="725" t="s">
        <v>1679</v>
      </c>
      <c r="C314" s="726" t="s">
        <v>572</v>
      </c>
      <c r="D314" s="727" t="s">
        <v>573</v>
      </c>
      <c r="E314" s="726" t="s">
        <v>2958</v>
      </c>
      <c r="F314" s="727" t="s">
        <v>2959</v>
      </c>
      <c r="G314" s="726" t="s">
        <v>2544</v>
      </c>
      <c r="H314" s="726" t="s">
        <v>2545</v>
      </c>
      <c r="I314" s="728">
        <v>4769.07</v>
      </c>
      <c r="J314" s="728">
        <v>2</v>
      </c>
      <c r="K314" s="729">
        <v>9538.15</v>
      </c>
    </row>
    <row r="315" spans="1:11" ht="14.4" customHeight="1" x14ac:dyDescent="0.3">
      <c r="A315" s="724" t="s">
        <v>552</v>
      </c>
      <c r="B315" s="725" t="s">
        <v>1679</v>
      </c>
      <c r="C315" s="726" t="s">
        <v>572</v>
      </c>
      <c r="D315" s="727" t="s">
        <v>573</v>
      </c>
      <c r="E315" s="726" t="s">
        <v>2958</v>
      </c>
      <c r="F315" s="727" t="s">
        <v>2959</v>
      </c>
      <c r="G315" s="726" t="s">
        <v>2546</v>
      </c>
      <c r="H315" s="726" t="s">
        <v>2547</v>
      </c>
      <c r="I315" s="728">
        <v>205.19</v>
      </c>
      <c r="J315" s="728">
        <v>300</v>
      </c>
      <c r="K315" s="729">
        <v>61558.350000000006</v>
      </c>
    </row>
    <row r="316" spans="1:11" ht="14.4" customHeight="1" x14ac:dyDescent="0.3">
      <c r="A316" s="724" t="s">
        <v>552</v>
      </c>
      <c r="B316" s="725" t="s">
        <v>1679</v>
      </c>
      <c r="C316" s="726" t="s">
        <v>572</v>
      </c>
      <c r="D316" s="727" t="s">
        <v>573</v>
      </c>
      <c r="E316" s="726" t="s">
        <v>2958</v>
      </c>
      <c r="F316" s="727" t="s">
        <v>2959</v>
      </c>
      <c r="G316" s="726" t="s">
        <v>2548</v>
      </c>
      <c r="H316" s="726" t="s">
        <v>2549</v>
      </c>
      <c r="I316" s="728">
        <v>2174.64</v>
      </c>
      <c r="J316" s="728">
        <v>1</v>
      </c>
      <c r="K316" s="729">
        <v>2174.64</v>
      </c>
    </row>
    <row r="317" spans="1:11" ht="14.4" customHeight="1" x14ac:dyDescent="0.3">
      <c r="A317" s="724" t="s">
        <v>552</v>
      </c>
      <c r="B317" s="725" t="s">
        <v>1679</v>
      </c>
      <c r="C317" s="726" t="s">
        <v>572</v>
      </c>
      <c r="D317" s="727" t="s">
        <v>573</v>
      </c>
      <c r="E317" s="726" t="s">
        <v>2958</v>
      </c>
      <c r="F317" s="727" t="s">
        <v>2959</v>
      </c>
      <c r="G317" s="726" t="s">
        <v>2550</v>
      </c>
      <c r="H317" s="726" t="s">
        <v>2551</v>
      </c>
      <c r="I317" s="728">
        <v>2070.8050000000003</v>
      </c>
      <c r="J317" s="728">
        <v>5</v>
      </c>
      <c r="K317" s="729">
        <v>10354.01</v>
      </c>
    </row>
    <row r="318" spans="1:11" ht="14.4" customHeight="1" x14ac:dyDescent="0.3">
      <c r="A318" s="724" t="s">
        <v>552</v>
      </c>
      <c r="B318" s="725" t="s">
        <v>1679</v>
      </c>
      <c r="C318" s="726" t="s">
        <v>572</v>
      </c>
      <c r="D318" s="727" t="s">
        <v>573</v>
      </c>
      <c r="E318" s="726" t="s">
        <v>2958</v>
      </c>
      <c r="F318" s="727" t="s">
        <v>2959</v>
      </c>
      <c r="G318" s="726" t="s">
        <v>2552</v>
      </c>
      <c r="H318" s="726" t="s">
        <v>2553</v>
      </c>
      <c r="I318" s="728">
        <v>473.45</v>
      </c>
      <c r="J318" s="728">
        <v>1</v>
      </c>
      <c r="K318" s="729">
        <v>473.45</v>
      </c>
    </row>
    <row r="319" spans="1:11" ht="14.4" customHeight="1" x14ac:dyDescent="0.3">
      <c r="A319" s="724" t="s">
        <v>552</v>
      </c>
      <c r="B319" s="725" t="s">
        <v>1679</v>
      </c>
      <c r="C319" s="726" t="s">
        <v>572</v>
      </c>
      <c r="D319" s="727" t="s">
        <v>573</v>
      </c>
      <c r="E319" s="726" t="s">
        <v>2958</v>
      </c>
      <c r="F319" s="727" t="s">
        <v>2959</v>
      </c>
      <c r="G319" s="726" t="s">
        <v>2554</v>
      </c>
      <c r="H319" s="726" t="s">
        <v>2555</v>
      </c>
      <c r="I319" s="728">
        <v>1041.95</v>
      </c>
      <c r="J319" s="728">
        <v>40</v>
      </c>
      <c r="K319" s="729">
        <v>41677.839999999997</v>
      </c>
    </row>
    <row r="320" spans="1:11" ht="14.4" customHeight="1" x14ac:dyDescent="0.3">
      <c r="A320" s="724" t="s">
        <v>552</v>
      </c>
      <c r="B320" s="725" t="s">
        <v>1679</v>
      </c>
      <c r="C320" s="726" t="s">
        <v>572</v>
      </c>
      <c r="D320" s="727" t="s">
        <v>573</v>
      </c>
      <c r="E320" s="726" t="s">
        <v>2958</v>
      </c>
      <c r="F320" s="727" t="s">
        <v>2959</v>
      </c>
      <c r="G320" s="726" t="s">
        <v>2556</v>
      </c>
      <c r="H320" s="726" t="s">
        <v>2557</v>
      </c>
      <c r="I320" s="728">
        <v>4260.45</v>
      </c>
      <c r="J320" s="728">
        <v>1</v>
      </c>
      <c r="K320" s="729">
        <v>4260.45</v>
      </c>
    </row>
    <row r="321" spans="1:11" ht="14.4" customHeight="1" x14ac:dyDescent="0.3">
      <c r="A321" s="724" t="s">
        <v>552</v>
      </c>
      <c r="B321" s="725" t="s">
        <v>1679</v>
      </c>
      <c r="C321" s="726" t="s">
        <v>572</v>
      </c>
      <c r="D321" s="727" t="s">
        <v>573</v>
      </c>
      <c r="E321" s="726" t="s">
        <v>2958</v>
      </c>
      <c r="F321" s="727" t="s">
        <v>2959</v>
      </c>
      <c r="G321" s="726" t="s">
        <v>2558</v>
      </c>
      <c r="H321" s="726" t="s">
        <v>2559</v>
      </c>
      <c r="I321" s="728">
        <v>2070.81</v>
      </c>
      <c r="J321" s="728">
        <v>2</v>
      </c>
      <c r="K321" s="729">
        <v>4141.62</v>
      </c>
    </row>
    <row r="322" spans="1:11" ht="14.4" customHeight="1" x14ac:dyDescent="0.3">
      <c r="A322" s="724" t="s">
        <v>552</v>
      </c>
      <c r="B322" s="725" t="s">
        <v>1679</v>
      </c>
      <c r="C322" s="726" t="s">
        <v>572</v>
      </c>
      <c r="D322" s="727" t="s">
        <v>573</v>
      </c>
      <c r="E322" s="726" t="s">
        <v>2958</v>
      </c>
      <c r="F322" s="727" t="s">
        <v>2959</v>
      </c>
      <c r="G322" s="726" t="s">
        <v>2560</v>
      </c>
      <c r="H322" s="726" t="s">
        <v>2561</v>
      </c>
      <c r="I322" s="728">
        <v>2149.6175000000003</v>
      </c>
      <c r="J322" s="728">
        <v>4</v>
      </c>
      <c r="K322" s="729">
        <v>8598.4700000000012</v>
      </c>
    </row>
    <row r="323" spans="1:11" ht="14.4" customHeight="1" x14ac:dyDescent="0.3">
      <c r="A323" s="724" t="s">
        <v>552</v>
      </c>
      <c r="B323" s="725" t="s">
        <v>1679</v>
      </c>
      <c r="C323" s="726" t="s">
        <v>572</v>
      </c>
      <c r="D323" s="727" t="s">
        <v>573</v>
      </c>
      <c r="E323" s="726" t="s">
        <v>2958</v>
      </c>
      <c r="F323" s="727" t="s">
        <v>2959</v>
      </c>
      <c r="G323" s="726" t="s">
        <v>2562</v>
      </c>
      <c r="H323" s="726" t="s">
        <v>2563</v>
      </c>
      <c r="I323" s="728">
        <v>3371.13</v>
      </c>
      <c r="J323" s="728">
        <v>4</v>
      </c>
      <c r="K323" s="729">
        <v>13484.5</v>
      </c>
    </row>
    <row r="324" spans="1:11" ht="14.4" customHeight="1" x14ac:dyDescent="0.3">
      <c r="A324" s="724" t="s">
        <v>552</v>
      </c>
      <c r="B324" s="725" t="s">
        <v>1679</v>
      </c>
      <c r="C324" s="726" t="s">
        <v>572</v>
      </c>
      <c r="D324" s="727" t="s">
        <v>573</v>
      </c>
      <c r="E324" s="726" t="s">
        <v>2958</v>
      </c>
      <c r="F324" s="727" t="s">
        <v>2959</v>
      </c>
      <c r="G324" s="726" t="s">
        <v>2564</v>
      </c>
      <c r="H324" s="726" t="s">
        <v>2565</v>
      </c>
      <c r="I324" s="728">
        <v>4769.07</v>
      </c>
      <c r="J324" s="728">
        <v>2</v>
      </c>
      <c r="K324" s="729">
        <v>9538.15</v>
      </c>
    </row>
    <row r="325" spans="1:11" ht="14.4" customHeight="1" x14ac:dyDescent="0.3">
      <c r="A325" s="724" t="s">
        <v>552</v>
      </c>
      <c r="B325" s="725" t="s">
        <v>1679</v>
      </c>
      <c r="C325" s="726" t="s">
        <v>572</v>
      </c>
      <c r="D325" s="727" t="s">
        <v>573</v>
      </c>
      <c r="E325" s="726" t="s">
        <v>2958</v>
      </c>
      <c r="F325" s="727" t="s">
        <v>2959</v>
      </c>
      <c r="G325" s="726" t="s">
        <v>2566</v>
      </c>
      <c r="H325" s="726" t="s">
        <v>2567</v>
      </c>
      <c r="I325" s="728">
        <v>2174.6</v>
      </c>
      <c r="J325" s="728">
        <v>2</v>
      </c>
      <c r="K325" s="729">
        <v>4349.2</v>
      </c>
    </row>
    <row r="326" spans="1:11" ht="14.4" customHeight="1" x14ac:dyDescent="0.3">
      <c r="A326" s="724" t="s">
        <v>552</v>
      </c>
      <c r="B326" s="725" t="s">
        <v>1679</v>
      </c>
      <c r="C326" s="726" t="s">
        <v>572</v>
      </c>
      <c r="D326" s="727" t="s">
        <v>573</v>
      </c>
      <c r="E326" s="726" t="s">
        <v>2958</v>
      </c>
      <c r="F326" s="727" t="s">
        <v>2959</v>
      </c>
      <c r="G326" s="726" t="s">
        <v>2568</v>
      </c>
      <c r="H326" s="726" t="s">
        <v>2569</v>
      </c>
      <c r="I326" s="728">
        <v>4385.38</v>
      </c>
      <c r="J326" s="728">
        <v>4</v>
      </c>
      <c r="K326" s="729">
        <v>17541.510000000002</v>
      </c>
    </row>
    <row r="327" spans="1:11" ht="14.4" customHeight="1" x14ac:dyDescent="0.3">
      <c r="A327" s="724" t="s">
        <v>552</v>
      </c>
      <c r="B327" s="725" t="s">
        <v>1679</v>
      </c>
      <c r="C327" s="726" t="s">
        <v>572</v>
      </c>
      <c r="D327" s="727" t="s">
        <v>573</v>
      </c>
      <c r="E327" s="726" t="s">
        <v>2958</v>
      </c>
      <c r="F327" s="727" t="s">
        <v>2959</v>
      </c>
      <c r="G327" s="726" t="s">
        <v>2570</v>
      </c>
      <c r="H327" s="726" t="s">
        <v>2571</v>
      </c>
      <c r="I327" s="728">
        <v>3999.09</v>
      </c>
      <c r="J327" s="728">
        <v>2</v>
      </c>
      <c r="K327" s="729">
        <v>7998.18</v>
      </c>
    </row>
    <row r="328" spans="1:11" ht="14.4" customHeight="1" x14ac:dyDescent="0.3">
      <c r="A328" s="724" t="s">
        <v>552</v>
      </c>
      <c r="B328" s="725" t="s">
        <v>1679</v>
      </c>
      <c r="C328" s="726" t="s">
        <v>572</v>
      </c>
      <c r="D328" s="727" t="s">
        <v>573</v>
      </c>
      <c r="E328" s="726" t="s">
        <v>2958</v>
      </c>
      <c r="F328" s="727" t="s">
        <v>2959</v>
      </c>
      <c r="G328" s="726" t="s">
        <v>2572</v>
      </c>
      <c r="H328" s="726" t="s">
        <v>2573</v>
      </c>
      <c r="I328" s="728">
        <v>1852.91</v>
      </c>
      <c r="J328" s="728">
        <v>5</v>
      </c>
      <c r="K328" s="729">
        <v>9264.57</v>
      </c>
    </row>
    <row r="329" spans="1:11" ht="14.4" customHeight="1" x14ac:dyDescent="0.3">
      <c r="A329" s="724" t="s">
        <v>552</v>
      </c>
      <c r="B329" s="725" t="s">
        <v>1679</v>
      </c>
      <c r="C329" s="726" t="s">
        <v>572</v>
      </c>
      <c r="D329" s="727" t="s">
        <v>573</v>
      </c>
      <c r="E329" s="726" t="s">
        <v>2958</v>
      </c>
      <c r="F329" s="727" t="s">
        <v>2959</v>
      </c>
      <c r="G329" s="726" t="s">
        <v>2574</v>
      </c>
      <c r="H329" s="726" t="s">
        <v>2575</v>
      </c>
      <c r="I329" s="728">
        <v>12650</v>
      </c>
      <c r="J329" s="728">
        <v>2</v>
      </c>
      <c r="K329" s="729">
        <v>25300</v>
      </c>
    </row>
    <row r="330" spans="1:11" ht="14.4" customHeight="1" x14ac:dyDescent="0.3">
      <c r="A330" s="724" t="s">
        <v>552</v>
      </c>
      <c r="B330" s="725" t="s">
        <v>1679</v>
      </c>
      <c r="C330" s="726" t="s">
        <v>572</v>
      </c>
      <c r="D330" s="727" t="s">
        <v>573</v>
      </c>
      <c r="E330" s="726" t="s">
        <v>2958</v>
      </c>
      <c r="F330" s="727" t="s">
        <v>2959</v>
      </c>
      <c r="G330" s="726" t="s">
        <v>2576</v>
      </c>
      <c r="H330" s="726" t="s">
        <v>2577</v>
      </c>
      <c r="I330" s="728">
        <v>24139</v>
      </c>
      <c r="J330" s="728">
        <v>1</v>
      </c>
      <c r="K330" s="729">
        <v>24139</v>
      </c>
    </row>
    <row r="331" spans="1:11" ht="14.4" customHeight="1" x14ac:dyDescent="0.3">
      <c r="A331" s="724" t="s">
        <v>552</v>
      </c>
      <c r="B331" s="725" t="s">
        <v>1679</v>
      </c>
      <c r="C331" s="726" t="s">
        <v>572</v>
      </c>
      <c r="D331" s="727" t="s">
        <v>573</v>
      </c>
      <c r="E331" s="726" t="s">
        <v>2958</v>
      </c>
      <c r="F331" s="727" t="s">
        <v>2959</v>
      </c>
      <c r="G331" s="726" t="s">
        <v>2578</v>
      </c>
      <c r="H331" s="726" t="s">
        <v>2579</v>
      </c>
      <c r="I331" s="728">
        <v>4125.63</v>
      </c>
      <c r="J331" s="728">
        <v>1</v>
      </c>
      <c r="K331" s="729">
        <v>4125.63</v>
      </c>
    </row>
    <row r="332" spans="1:11" ht="14.4" customHeight="1" x14ac:dyDescent="0.3">
      <c r="A332" s="724" t="s">
        <v>552</v>
      </c>
      <c r="B332" s="725" t="s">
        <v>1679</v>
      </c>
      <c r="C332" s="726" t="s">
        <v>572</v>
      </c>
      <c r="D332" s="727" t="s">
        <v>573</v>
      </c>
      <c r="E332" s="726" t="s">
        <v>2958</v>
      </c>
      <c r="F332" s="727" t="s">
        <v>2959</v>
      </c>
      <c r="G332" s="726" t="s">
        <v>2580</v>
      </c>
      <c r="H332" s="726" t="s">
        <v>2581</v>
      </c>
      <c r="I332" s="728">
        <v>4623</v>
      </c>
      <c r="J332" s="728">
        <v>4</v>
      </c>
      <c r="K332" s="729">
        <v>18492</v>
      </c>
    </row>
    <row r="333" spans="1:11" ht="14.4" customHeight="1" x14ac:dyDescent="0.3">
      <c r="A333" s="724" t="s">
        <v>552</v>
      </c>
      <c r="B333" s="725" t="s">
        <v>1679</v>
      </c>
      <c r="C333" s="726" t="s">
        <v>572</v>
      </c>
      <c r="D333" s="727" t="s">
        <v>573</v>
      </c>
      <c r="E333" s="726" t="s">
        <v>2958</v>
      </c>
      <c r="F333" s="727" t="s">
        <v>2959</v>
      </c>
      <c r="G333" s="726" t="s">
        <v>2582</v>
      </c>
      <c r="H333" s="726" t="s">
        <v>2583</v>
      </c>
      <c r="I333" s="728">
        <v>1434.2220000000002</v>
      </c>
      <c r="J333" s="728">
        <v>99</v>
      </c>
      <c r="K333" s="729">
        <v>141379.54999999999</v>
      </c>
    </row>
    <row r="334" spans="1:11" ht="14.4" customHeight="1" x14ac:dyDescent="0.3">
      <c r="A334" s="724" t="s">
        <v>552</v>
      </c>
      <c r="B334" s="725" t="s">
        <v>1679</v>
      </c>
      <c r="C334" s="726" t="s">
        <v>572</v>
      </c>
      <c r="D334" s="727" t="s">
        <v>573</v>
      </c>
      <c r="E334" s="726" t="s">
        <v>2958</v>
      </c>
      <c r="F334" s="727" t="s">
        <v>2959</v>
      </c>
      <c r="G334" s="726" t="s">
        <v>2584</v>
      </c>
      <c r="H334" s="726" t="s">
        <v>2585</v>
      </c>
      <c r="I334" s="728">
        <v>7308.1033333333335</v>
      </c>
      <c r="J334" s="728">
        <v>13</v>
      </c>
      <c r="K334" s="729">
        <v>95005.93</v>
      </c>
    </row>
    <row r="335" spans="1:11" ht="14.4" customHeight="1" x14ac:dyDescent="0.3">
      <c r="A335" s="724" t="s">
        <v>552</v>
      </c>
      <c r="B335" s="725" t="s">
        <v>1679</v>
      </c>
      <c r="C335" s="726" t="s">
        <v>572</v>
      </c>
      <c r="D335" s="727" t="s">
        <v>573</v>
      </c>
      <c r="E335" s="726" t="s">
        <v>2958</v>
      </c>
      <c r="F335" s="727" t="s">
        <v>2959</v>
      </c>
      <c r="G335" s="726" t="s">
        <v>2586</v>
      </c>
      <c r="H335" s="726" t="s">
        <v>2587</v>
      </c>
      <c r="I335" s="728">
        <v>5964.47</v>
      </c>
      <c r="J335" s="728">
        <v>1</v>
      </c>
      <c r="K335" s="729">
        <v>5964.47</v>
      </c>
    </row>
    <row r="336" spans="1:11" ht="14.4" customHeight="1" x14ac:dyDescent="0.3">
      <c r="A336" s="724" t="s">
        <v>552</v>
      </c>
      <c r="B336" s="725" t="s">
        <v>1679</v>
      </c>
      <c r="C336" s="726" t="s">
        <v>572</v>
      </c>
      <c r="D336" s="727" t="s">
        <v>573</v>
      </c>
      <c r="E336" s="726" t="s">
        <v>2958</v>
      </c>
      <c r="F336" s="727" t="s">
        <v>2959</v>
      </c>
      <c r="G336" s="726" t="s">
        <v>2588</v>
      </c>
      <c r="H336" s="726" t="s">
        <v>2589</v>
      </c>
      <c r="I336" s="728">
        <v>4623</v>
      </c>
      <c r="J336" s="728">
        <v>46</v>
      </c>
      <c r="K336" s="729">
        <v>212658</v>
      </c>
    </row>
    <row r="337" spans="1:11" ht="14.4" customHeight="1" x14ac:dyDescent="0.3">
      <c r="A337" s="724" t="s">
        <v>552</v>
      </c>
      <c r="B337" s="725" t="s">
        <v>1679</v>
      </c>
      <c r="C337" s="726" t="s">
        <v>572</v>
      </c>
      <c r="D337" s="727" t="s">
        <v>573</v>
      </c>
      <c r="E337" s="726" t="s">
        <v>2958</v>
      </c>
      <c r="F337" s="727" t="s">
        <v>2959</v>
      </c>
      <c r="G337" s="726" t="s">
        <v>2590</v>
      </c>
      <c r="H337" s="726" t="s">
        <v>2591</v>
      </c>
      <c r="I337" s="728">
        <v>4623</v>
      </c>
      <c r="J337" s="728">
        <v>25</v>
      </c>
      <c r="K337" s="729">
        <v>115575</v>
      </c>
    </row>
    <row r="338" spans="1:11" ht="14.4" customHeight="1" x14ac:dyDescent="0.3">
      <c r="A338" s="724" t="s">
        <v>552</v>
      </c>
      <c r="B338" s="725" t="s">
        <v>1679</v>
      </c>
      <c r="C338" s="726" t="s">
        <v>572</v>
      </c>
      <c r="D338" s="727" t="s">
        <v>573</v>
      </c>
      <c r="E338" s="726" t="s">
        <v>2958</v>
      </c>
      <c r="F338" s="727" t="s">
        <v>2959</v>
      </c>
      <c r="G338" s="726" t="s">
        <v>2592</v>
      </c>
      <c r="H338" s="726" t="s">
        <v>2593</v>
      </c>
      <c r="I338" s="728">
        <v>552</v>
      </c>
      <c r="J338" s="728">
        <v>6</v>
      </c>
      <c r="K338" s="729">
        <v>3312</v>
      </c>
    </row>
    <row r="339" spans="1:11" ht="14.4" customHeight="1" x14ac:dyDescent="0.3">
      <c r="A339" s="724" t="s">
        <v>552</v>
      </c>
      <c r="B339" s="725" t="s">
        <v>1679</v>
      </c>
      <c r="C339" s="726" t="s">
        <v>572</v>
      </c>
      <c r="D339" s="727" t="s">
        <v>573</v>
      </c>
      <c r="E339" s="726" t="s">
        <v>2958</v>
      </c>
      <c r="F339" s="727" t="s">
        <v>2959</v>
      </c>
      <c r="G339" s="726" t="s">
        <v>2594</v>
      </c>
      <c r="H339" s="726" t="s">
        <v>2595</v>
      </c>
      <c r="I339" s="728">
        <v>15747</v>
      </c>
      <c r="J339" s="728">
        <v>4</v>
      </c>
      <c r="K339" s="729">
        <v>62988</v>
      </c>
    </row>
    <row r="340" spans="1:11" ht="14.4" customHeight="1" x14ac:dyDescent="0.3">
      <c r="A340" s="724" t="s">
        <v>552</v>
      </c>
      <c r="B340" s="725" t="s">
        <v>1679</v>
      </c>
      <c r="C340" s="726" t="s">
        <v>572</v>
      </c>
      <c r="D340" s="727" t="s">
        <v>573</v>
      </c>
      <c r="E340" s="726" t="s">
        <v>2958</v>
      </c>
      <c r="F340" s="727" t="s">
        <v>2959</v>
      </c>
      <c r="G340" s="726" t="s">
        <v>2596</v>
      </c>
      <c r="H340" s="726" t="s">
        <v>2597</v>
      </c>
      <c r="I340" s="728">
        <v>4623</v>
      </c>
      <c r="J340" s="728">
        <v>18</v>
      </c>
      <c r="K340" s="729">
        <v>83214</v>
      </c>
    </row>
    <row r="341" spans="1:11" ht="14.4" customHeight="1" x14ac:dyDescent="0.3">
      <c r="A341" s="724" t="s">
        <v>552</v>
      </c>
      <c r="B341" s="725" t="s">
        <v>1679</v>
      </c>
      <c r="C341" s="726" t="s">
        <v>572</v>
      </c>
      <c r="D341" s="727" t="s">
        <v>573</v>
      </c>
      <c r="E341" s="726" t="s">
        <v>2958</v>
      </c>
      <c r="F341" s="727" t="s">
        <v>2959</v>
      </c>
      <c r="G341" s="726" t="s">
        <v>2598</v>
      </c>
      <c r="H341" s="726" t="s">
        <v>2599</v>
      </c>
      <c r="I341" s="728">
        <v>552</v>
      </c>
      <c r="J341" s="728">
        <v>8</v>
      </c>
      <c r="K341" s="729">
        <v>4416</v>
      </c>
    </row>
    <row r="342" spans="1:11" ht="14.4" customHeight="1" x14ac:dyDescent="0.3">
      <c r="A342" s="724" t="s">
        <v>552</v>
      </c>
      <c r="B342" s="725" t="s">
        <v>1679</v>
      </c>
      <c r="C342" s="726" t="s">
        <v>572</v>
      </c>
      <c r="D342" s="727" t="s">
        <v>573</v>
      </c>
      <c r="E342" s="726" t="s">
        <v>2958</v>
      </c>
      <c r="F342" s="727" t="s">
        <v>2959</v>
      </c>
      <c r="G342" s="726" t="s">
        <v>2600</v>
      </c>
      <c r="H342" s="726" t="s">
        <v>2601</v>
      </c>
      <c r="I342" s="728">
        <v>51175</v>
      </c>
      <c r="J342" s="728">
        <v>1</v>
      </c>
      <c r="K342" s="729">
        <v>51175</v>
      </c>
    </row>
    <row r="343" spans="1:11" ht="14.4" customHeight="1" x14ac:dyDescent="0.3">
      <c r="A343" s="724" t="s">
        <v>552</v>
      </c>
      <c r="B343" s="725" t="s">
        <v>1679</v>
      </c>
      <c r="C343" s="726" t="s">
        <v>572</v>
      </c>
      <c r="D343" s="727" t="s">
        <v>573</v>
      </c>
      <c r="E343" s="726" t="s">
        <v>2958</v>
      </c>
      <c r="F343" s="727" t="s">
        <v>2959</v>
      </c>
      <c r="G343" s="726" t="s">
        <v>2602</v>
      </c>
      <c r="H343" s="726" t="s">
        <v>2603</v>
      </c>
      <c r="I343" s="728">
        <v>12650</v>
      </c>
      <c r="J343" s="728">
        <v>31</v>
      </c>
      <c r="K343" s="729">
        <v>392150</v>
      </c>
    </row>
    <row r="344" spans="1:11" ht="14.4" customHeight="1" x14ac:dyDescent="0.3">
      <c r="A344" s="724" t="s">
        <v>552</v>
      </c>
      <c r="B344" s="725" t="s">
        <v>1679</v>
      </c>
      <c r="C344" s="726" t="s">
        <v>572</v>
      </c>
      <c r="D344" s="727" t="s">
        <v>573</v>
      </c>
      <c r="E344" s="726" t="s">
        <v>2958</v>
      </c>
      <c r="F344" s="727" t="s">
        <v>2959</v>
      </c>
      <c r="G344" s="726" t="s">
        <v>2604</v>
      </c>
      <c r="H344" s="726" t="s">
        <v>2605</v>
      </c>
      <c r="I344" s="728">
        <v>2564.5</v>
      </c>
      <c r="J344" s="728">
        <v>4</v>
      </c>
      <c r="K344" s="729">
        <v>10258</v>
      </c>
    </row>
    <row r="345" spans="1:11" ht="14.4" customHeight="1" x14ac:dyDescent="0.3">
      <c r="A345" s="724" t="s">
        <v>552</v>
      </c>
      <c r="B345" s="725" t="s">
        <v>1679</v>
      </c>
      <c r="C345" s="726" t="s">
        <v>572</v>
      </c>
      <c r="D345" s="727" t="s">
        <v>573</v>
      </c>
      <c r="E345" s="726" t="s">
        <v>2958</v>
      </c>
      <c r="F345" s="727" t="s">
        <v>2959</v>
      </c>
      <c r="G345" s="726" t="s">
        <v>2606</v>
      </c>
      <c r="H345" s="726" t="s">
        <v>2607</v>
      </c>
      <c r="I345" s="728">
        <v>15747</v>
      </c>
      <c r="J345" s="728">
        <v>1</v>
      </c>
      <c r="K345" s="729">
        <v>15747</v>
      </c>
    </row>
    <row r="346" spans="1:11" ht="14.4" customHeight="1" x14ac:dyDescent="0.3">
      <c r="A346" s="724" t="s">
        <v>552</v>
      </c>
      <c r="B346" s="725" t="s">
        <v>1679</v>
      </c>
      <c r="C346" s="726" t="s">
        <v>572</v>
      </c>
      <c r="D346" s="727" t="s">
        <v>573</v>
      </c>
      <c r="E346" s="726" t="s">
        <v>2958</v>
      </c>
      <c r="F346" s="727" t="s">
        <v>2959</v>
      </c>
      <c r="G346" s="726" t="s">
        <v>2608</v>
      </c>
      <c r="H346" s="726" t="s">
        <v>2609</v>
      </c>
      <c r="I346" s="728">
        <v>552</v>
      </c>
      <c r="J346" s="728">
        <v>2</v>
      </c>
      <c r="K346" s="729">
        <v>1104</v>
      </c>
    </row>
    <row r="347" spans="1:11" ht="14.4" customHeight="1" x14ac:dyDescent="0.3">
      <c r="A347" s="724" t="s">
        <v>552</v>
      </c>
      <c r="B347" s="725" t="s">
        <v>1679</v>
      </c>
      <c r="C347" s="726" t="s">
        <v>572</v>
      </c>
      <c r="D347" s="727" t="s">
        <v>573</v>
      </c>
      <c r="E347" s="726" t="s">
        <v>2958</v>
      </c>
      <c r="F347" s="727" t="s">
        <v>2959</v>
      </c>
      <c r="G347" s="726" t="s">
        <v>2610</v>
      </c>
      <c r="H347" s="726" t="s">
        <v>2611</v>
      </c>
      <c r="I347" s="728">
        <v>12650</v>
      </c>
      <c r="J347" s="728">
        <v>33</v>
      </c>
      <c r="K347" s="729">
        <v>417450</v>
      </c>
    </row>
    <row r="348" spans="1:11" ht="14.4" customHeight="1" x14ac:dyDescent="0.3">
      <c r="A348" s="724" t="s">
        <v>552</v>
      </c>
      <c r="B348" s="725" t="s">
        <v>1679</v>
      </c>
      <c r="C348" s="726" t="s">
        <v>572</v>
      </c>
      <c r="D348" s="727" t="s">
        <v>573</v>
      </c>
      <c r="E348" s="726" t="s">
        <v>2958</v>
      </c>
      <c r="F348" s="727" t="s">
        <v>2959</v>
      </c>
      <c r="G348" s="726" t="s">
        <v>2612</v>
      </c>
      <c r="H348" s="726" t="s">
        <v>2613</v>
      </c>
      <c r="I348" s="728">
        <v>552</v>
      </c>
      <c r="J348" s="728">
        <v>30</v>
      </c>
      <c r="K348" s="729">
        <v>16560</v>
      </c>
    </row>
    <row r="349" spans="1:11" ht="14.4" customHeight="1" x14ac:dyDescent="0.3">
      <c r="A349" s="724" t="s">
        <v>552</v>
      </c>
      <c r="B349" s="725" t="s">
        <v>1679</v>
      </c>
      <c r="C349" s="726" t="s">
        <v>572</v>
      </c>
      <c r="D349" s="727" t="s">
        <v>573</v>
      </c>
      <c r="E349" s="726" t="s">
        <v>2958</v>
      </c>
      <c r="F349" s="727" t="s">
        <v>2959</v>
      </c>
      <c r="G349" s="726" t="s">
        <v>2614</v>
      </c>
      <c r="H349" s="726" t="s">
        <v>2615</v>
      </c>
      <c r="I349" s="728">
        <v>12650</v>
      </c>
      <c r="J349" s="728">
        <v>6</v>
      </c>
      <c r="K349" s="729">
        <v>75900</v>
      </c>
    </row>
    <row r="350" spans="1:11" ht="14.4" customHeight="1" x14ac:dyDescent="0.3">
      <c r="A350" s="724" t="s">
        <v>552</v>
      </c>
      <c r="B350" s="725" t="s">
        <v>1679</v>
      </c>
      <c r="C350" s="726" t="s">
        <v>572</v>
      </c>
      <c r="D350" s="727" t="s">
        <v>573</v>
      </c>
      <c r="E350" s="726" t="s">
        <v>2958</v>
      </c>
      <c r="F350" s="727" t="s">
        <v>2959</v>
      </c>
      <c r="G350" s="726" t="s">
        <v>2616</v>
      </c>
      <c r="H350" s="726" t="s">
        <v>2617</v>
      </c>
      <c r="I350" s="728">
        <v>10110</v>
      </c>
      <c r="J350" s="728">
        <v>1</v>
      </c>
      <c r="K350" s="729">
        <v>10110</v>
      </c>
    </row>
    <row r="351" spans="1:11" ht="14.4" customHeight="1" x14ac:dyDescent="0.3">
      <c r="A351" s="724" t="s">
        <v>552</v>
      </c>
      <c r="B351" s="725" t="s">
        <v>1679</v>
      </c>
      <c r="C351" s="726" t="s">
        <v>572</v>
      </c>
      <c r="D351" s="727" t="s">
        <v>573</v>
      </c>
      <c r="E351" s="726" t="s">
        <v>2958</v>
      </c>
      <c r="F351" s="727" t="s">
        <v>2959</v>
      </c>
      <c r="G351" s="726" t="s">
        <v>2618</v>
      </c>
      <c r="H351" s="726" t="s">
        <v>2619</v>
      </c>
      <c r="I351" s="728">
        <v>552</v>
      </c>
      <c r="J351" s="728">
        <v>2</v>
      </c>
      <c r="K351" s="729">
        <v>1104</v>
      </c>
    </row>
    <row r="352" spans="1:11" ht="14.4" customHeight="1" x14ac:dyDescent="0.3">
      <c r="A352" s="724" t="s">
        <v>552</v>
      </c>
      <c r="B352" s="725" t="s">
        <v>1679</v>
      </c>
      <c r="C352" s="726" t="s">
        <v>572</v>
      </c>
      <c r="D352" s="727" t="s">
        <v>573</v>
      </c>
      <c r="E352" s="726" t="s">
        <v>2958</v>
      </c>
      <c r="F352" s="727" t="s">
        <v>2959</v>
      </c>
      <c r="G352" s="726" t="s">
        <v>2620</v>
      </c>
      <c r="H352" s="726" t="s">
        <v>2621</v>
      </c>
      <c r="I352" s="728">
        <v>3371.125</v>
      </c>
      <c r="J352" s="728">
        <v>4</v>
      </c>
      <c r="K352" s="729">
        <v>13484.49</v>
      </c>
    </row>
    <row r="353" spans="1:11" ht="14.4" customHeight="1" x14ac:dyDescent="0.3">
      <c r="A353" s="724" t="s">
        <v>552</v>
      </c>
      <c r="B353" s="725" t="s">
        <v>1679</v>
      </c>
      <c r="C353" s="726" t="s">
        <v>572</v>
      </c>
      <c r="D353" s="727" t="s">
        <v>573</v>
      </c>
      <c r="E353" s="726" t="s">
        <v>2958</v>
      </c>
      <c r="F353" s="727" t="s">
        <v>2959</v>
      </c>
      <c r="G353" s="726" t="s">
        <v>2622</v>
      </c>
      <c r="H353" s="726" t="s">
        <v>2623</v>
      </c>
      <c r="I353" s="728">
        <v>4769.0650000000005</v>
      </c>
      <c r="J353" s="728">
        <v>4</v>
      </c>
      <c r="K353" s="729">
        <v>19076.269999999997</v>
      </c>
    </row>
    <row r="354" spans="1:11" ht="14.4" customHeight="1" x14ac:dyDescent="0.3">
      <c r="A354" s="724" t="s">
        <v>552</v>
      </c>
      <c r="B354" s="725" t="s">
        <v>1679</v>
      </c>
      <c r="C354" s="726" t="s">
        <v>572</v>
      </c>
      <c r="D354" s="727" t="s">
        <v>573</v>
      </c>
      <c r="E354" s="726" t="s">
        <v>2958</v>
      </c>
      <c r="F354" s="727" t="s">
        <v>2959</v>
      </c>
      <c r="G354" s="726" t="s">
        <v>2624</v>
      </c>
      <c r="H354" s="726" t="s">
        <v>2625</v>
      </c>
      <c r="I354" s="728">
        <v>3371.12</v>
      </c>
      <c r="J354" s="728">
        <v>2</v>
      </c>
      <c r="K354" s="729">
        <v>6742.24</v>
      </c>
    </row>
    <row r="355" spans="1:11" ht="14.4" customHeight="1" x14ac:dyDescent="0.3">
      <c r="A355" s="724" t="s">
        <v>552</v>
      </c>
      <c r="B355" s="725" t="s">
        <v>1679</v>
      </c>
      <c r="C355" s="726" t="s">
        <v>572</v>
      </c>
      <c r="D355" s="727" t="s">
        <v>573</v>
      </c>
      <c r="E355" s="726" t="s">
        <v>2958</v>
      </c>
      <c r="F355" s="727" t="s">
        <v>2959</v>
      </c>
      <c r="G355" s="726" t="s">
        <v>2626</v>
      </c>
      <c r="H355" s="726" t="s">
        <v>2627</v>
      </c>
      <c r="I355" s="728">
        <v>41586.199999999997</v>
      </c>
      <c r="J355" s="728">
        <v>1</v>
      </c>
      <c r="K355" s="729">
        <v>41586.199999999997</v>
      </c>
    </row>
    <row r="356" spans="1:11" ht="14.4" customHeight="1" x14ac:dyDescent="0.3">
      <c r="A356" s="724" t="s">
        <v>552</v>
      </c>
      <c r="B356" s="725" t="s">
        <v>1679</v>
      </c>
      <c r="C356" s="726" t="s">
        <v>572</v>
      </c>
      <c r="D356" s="727" t="s">
        <v>573</v>
      </c>
      <c r="E356" s="726" t="s">
        <v>2958</v>
      </c>
      <c r="F356" s="727" t="s">
        <v>2959</v>
      </c>
      <c r="G356" s="726" t="s">
        <v>2628</v>
      </c>
      <c r="H356" s="726" t="s">
        <v>2629</v>
      </c>
      <c r="I356" s="728">
        <v>552</v>
      </c>
      <c r="J356" s="728">
        <v>4</v>
      </c>
      <c r="K356" s="729">
        <v>2208</v>
      </c>
    </row>
    <row r="357" spans="1:11" ht="14.4" customHeight="1" x14ac:dyDescent="0.3">
      <c r="A357" s="724" t="s">
        <v>552</v>
      </c>
      <c r="B357" s="725" t="s">
        <v>1679</v>
      </c>
      <c r="C357" s="726" t="s">
        <v>572</v>
      </c>
      <c r="D357" s="727" t="s">
        <v>573</v>
      </c>
      <c r="E357" s="726" t="s">
        <v>2958</v>
      </c>
      <c r="F357" s="727" t="s">
        <v>2959</v>
      </c>
      <c r="G357" s="726" t="s">
        <v>2630</v>
      </c>
      <c r="H357" s="726" t="s">
        <v>2631</v>
      </c>
      <c r="I357" s="728">
        <v>3122.56</v>
      </c>
      <c r="J357" s="728">
        <v>1</v>
      </c>
      <c r="K357" s="729">
        <v>3122.56</v>
      </c>
    </row>
    <row r="358" spans="1:11" ht="14.4" customHeight="1" x14ac:dyDescent="0.3">
      <c r="A358" s="724" t="s">
        <v>552</v>
      </c>
      <c r="B358" s="725" t="s">
        <v>1679</v>
      </c>
      <c r="C358" s="726" t="s">
        <v>572</v>
      </c>
      <c r="D358" s="727" t="s">
        <v>573</v>
      </c>
      <c r="E358" s="726" t="s">
        <v>2958</v>
      </c>
      <c r="F358" s="727" t="s">
        <v>2959</v>
      </c>
      <c r="G358" s="726" t="s">
        <v>2632</v>
      </c>
      <c r="H358" s="726" t="s">
        <v>2633</v>
      </c>
      <c r="I358" s="728">
        <v>2078.0700000000002</v>
      </c>
      <c r="J358" s="728">
        <v>6</v>
      </c>
      <c r="K358" s="729">
        <v>12468.39</v>
      </c>
    </row>
    <row r="359" spans="1:11" ht="14.4" customHeight="1" x14ac:dyDescent="0.3">
      <c r="A359" s="724" t="s">
        <v>552</v>
      </c>
      <c r="B359" s="725" t="s">
        <v>1679</v>
      </c>
      <c r="C359" s="726" t="s">
        <v>572</v>
      </c>
      <c r="D359" s="727" t="s">
        <v>573</v>
      </c>
      <c r="E359" s="726" t="s">
        <v>2958</v>
      </c>
      <c r="F359" s="727" t="s">
        <v>2959</v>
      </c>
      <c r="G359" s="726" t="s">
        <v>2634</v>
      </c>
      <c r="H359" s="726" t="s">
        <v>2635</v>
      </c>
      <c r="I359" s="728">
        <v>12650</v>
      </c>
      <c r="J359" s="728">
        <v>1</v>
      </c>
      <c r="K359" s="729">
        <v>12650</v>
      </c>
    </row>
    <row r="360" spans="1:11" ht="14.4" customHeight="1" x14ac:dyDescent="0.3">
      <c r="A360" s="724" t="s">
        <v>552</v>
      </c>
      <c r="B360" s="725" t="s">
        <v>1679</v>
      </c>
      <c r="C360" s="726" t="s">
        <v>572</v>
      </c>
      <c r="D360" s="727" t="s">
        <v>573</v>
      </c>
      <c r="E360" s="726" t="s">
        <v>2958</v>
      </c>
      <c r="F360" s="727" t="s">
        <v>2959</v>
      </c>
      <c r="G360" s="726" t="s">
        <v>2636</v>
      </c>
      <c r="H360" s="726" t="s">
        <v>2637</v>
      </c>
      <c r="I360" s="728">
        <v>12650</v>
      </c>
      <c r="J360" s="728">
        <v>4</v>
      </c>
      <c r="K360" s="729">
        <v>50600</v>
      </c>
    </row>
    <row r="361" spans="1:11" ht="14.4" customHeight="1" x14ac:dyDescent="0.3">
      <c r="A361" s="724" t="s">
        <v>552</v>
      </c>
      <c r="B361" s="725" t="s">
        <v>1679</v>
      </c>
      <c r="C361" s="726" t="s">
        <v>572</v>
      </c>
      <c r="D361" s="727" t="s">
        <v>573</v>
      </c>
      <c r="E361" s="726" t="s">
        <v>2958</v>
      </c>
      <c r="F361" s="727" t="s">
        <v>2959</v>
      </c>
      <c r="G361" s="726" t="s">
        <v>2638</v>
      </c>
      <c r="H361" s="726" t="s">
        <v>2639</v>
      </c>
      <c r="I361" s="728">
        <v>4890.6000000000004</v>
      </c>
      <c r="J361" s="728">
        <v>2</v>
      </c>
      <c r="K361" s="729">
        <v>9781.2000000000007</v>
      </c>
    </row>
    <row r="362" spans="1:11" ht="14.4" customHeight="1" x14ac:dyDescent="0.3">
      <c r="A362" s="724" t="s">
        <v>552</v>
      </c>
      <c r="B362" s="725" t="s">
        <v>1679</v>
      </c>
      <c r="C362" s="726" t="s">
        <v>572</v>
      </c>
      <c r="D362" s="727" t="s">
        <v>573</v>
      </c>
      <c r="E362" s="726" t="s">
        <v>2958</v>
      </c>
      <c r="F362" s="727" t="s">
        <v>2959</v>
      </c>
      <c r="G362" s="726" t="s">
        <v>2640</v>
      </c>
      <c r="H362" s="726" t="s">
        <v>2641</v>
      </c>
      <c r="I362" s="728">
        <v>589.1</v>
      </c>
      <c r="J362" s="728">
        <v>2</v>
      </c>
      <c r="K362" s="729">
        <v>1178.2</v>
      </c>
    </row>
    <row r="363" spans="1:11" ht="14.4" customHeight="1" x14ac:dyDescent="0.3">
      <c r="A363" s="724" t="s">
        <v>552</v>
      </c>
      <c r="B363" s="725" t="s">
        <v>1679</v>
      </c>
      <c r="C363" s="726" t="s">
        <v>572</v>
      </c>
      <c r="D363" s="727" t="s">
        <v>573</v>
      </c>
      <c r="E363" s="726" t="s">
        <v>2958</v>
      </c>
      <c r="F363" s="727" t="s">
        <v>2959</v>
      </c>
      <c r="G363" s="726" t="s">
        <v>2642</v>
      </c>
      <c r="H363" s="726" t="s">
        <v>2643</v>
      </c>
      <c r="I363" s="728">
        <v>694.09</v>
      </c>
      <c r="J363" s="728">
        <v>10</v>
      </c>
      <c r="K363" s="729">
        <v>6940.9</v>
      </c>
    </row>
    <row r="364" spans="1:11" ht="14.4" customHeight="1" x14ac:dyDescent="0.3">
      <c r="A364" s="724" t="s">
        <v>552</v>
      </c>
      <c r="B364" s="725" t="s">
        <v>1679</v>
      </c>
      <c r="C364" s="726" t="s">
        <v>572</v>
      </c>
      <c r="D364" s="727" t="s">
        <v>573</v>
      </c>
      <c r="E364" s="726" t="s">
        <v>2958</v>
      </c>
      <c r="F364" s="727" t="s">
        <v>2959</v>
      </c>
      <c r="G364" s="726" t="s">
        <v>2644</v>
      </c>
      <c r="H364" s="726" t="s">
        <v>2645</v>
      </c>
      <c r="I364" s="728">
        <v>405.47</v>
      </c>
      <c r="J364" s="728">
        <v>4</v>
      </c>
      <c r="K364" s="729">
        <v>1621.88</v>
      </c>
    </row>
    <row r="365" spans="1:11" ht="14.4" customHeight="1" x14ac:dyDescent="0.3">
      <c r="A365" s="724" t="s">
        <v>552</v>
      </c>
      <c r="B365" s="725" t="s">
        <v>1679</v>
      </c>
      <c r="C365" s="726" t="s">
        <v>572</v>
      </c>
      <c r="D365" s="727" t="s">
        <v>573</v>
      </c>
      <c r="E365" s="726" t="s">
        <v>2958</v>
      </c>
      <c r="F365" s="727" t="s">
        <v>2959</v>
      </c>
      <c r="G365" s="726" t="s">
        <v>2646</v>
      </c>
      <c r="H365" s="726" t="s">
        <v>2647</v>
      </c>
      <c r="I365" s="728">
        <v>24139</v>
      </c>
      <c r="J365" s="728">
        <v>2</v>
      </c>
      <c r="K365" s="729">
        <v>48278</v>
      </c>
    </row>
    <row r="366" spans="1:11" ht="14.4" customHeight="1" x14ac:dyDescent="0.3">
      <c r="A366" s="724" t="s">
        <v>552</v>
      </c>
      <c r="B366" s="725" t="s">
        <v>1679</v>
      </c>
      <c r="C366" s="726" t="s">
        <v>572</v>
      </c>
      <c r="D366" s="727" t="s">
        <v>573</v>
      </c>
      <c r="E366" s="726" t="s">
        <v>2958</v>
      </c>
      <c r="F366" s="727" t="s">
        <v>2959</v>
      </c>
      <c r="G366" s="726" t="s">
        <v>2648</v>
      </c>
      <c r="H366" s="726" t="s">
        <v>2649</v>
      </c>
      <c r="I366" s="728">
        <v>3999.09</v>
      </c>
      <c r="J366" s="728">
        <v>6</v>
      </c>
      <c r="K366" s="729">
        <v>23994.54</v>
      </c>
    </row>
    <row r="367" spans="1:11" ht="14.4" customHeight="1" x14ac:dyDescent="0.3">
      <c r="A367" s="724" t="s">
        <v>552</v>
      </c>
      <c r="B367" s="725" t="s">
        <v>1679</v>
      </c>
      <c r="C367" s="726" t="s">
        <v>572</v>
      </c>
      <c r="D367" s="727" t="s">
        <v>573</v>
      </c>
      <c r="E367" s="726" t="s">
        <v>2958</v>
      </c>
      <c r="F367" s="727" t="s">
        <v>2959</v>
      </c>
      <c r="G367" s="726" t="s">
        <v>2650</v>
      </c>
      <c r="H367" s="726" t="s">
        <v>2651</v>
      </c>
      <c r="I367" s="728">
        <v>4623</v>
      </c>
      <c r="J367" s="728">
        <v>3</v>
      </c>
      <c r="K367" s="729">
        <v>13869</v>
      </c>
    </row>
    <row r="368" spans="1:11" ht="14.4" customHeight="1" x14ac:dyDescent="0.3">
      <c r="A368" s="724" t="s">
        <v>552</v>
      </c>
      <c r="B368" s="725" t="s">
        <v>1679</v>
      </c>
      <c r="C368" s="726" t="s">
        <v>572</v>
      </c>
      <c r="D368" s="727" t="s">
        <v>573</v>
      </c>
      <c r="E368" s="726" t="s">
        <v>2958</v>
      </c>
      <c r="F368" s="727" t="s">
        <v>2959</v>
      </c>
      <c r="G368" s="726" t="s">
        <v>2652</v>
      </c>
      <c r="H368" s="726" t="s">
        <v>2653</v>
      </c>
      <c r="I368" s="728">
        <v>3999.09</v>
      </c>
      <c r="J368" s="728">
        <v>1</v>
      </c>
      <c r="K368" s="729">
        <v>3999.09</v>
      </c>
    </row>
    <row r="369" spans="1:11" ht="14.4" customHeight="1" x14ac:dyDescent="0.3">
      <c r="A369" s="724" t="s">
        <v>552</v>
      </c>
      <c r="B369" s="725" t="s">
        <v>1679</v>
      </c>
      <c r="C369" s="726" t="s">
        <v>572</v>
      </c>
      <c r="D369" s="727" t="s">
        <v>573</v>
      </c>
      <c r="E369" s="726" t="s">
        <v>2958</v>
      </c>
      <c r="F369" s="727" t="s">
        <v>2959</v>
      </c>
      <c r="G369" s="726" t="s">
        <v>2654</v>
      </c>
      <c r="H369" s="726" t="s">
        <v>2655</v>
      </c>
      <c r="I369" s="728">
        <v>1489.9</v>
      </c>
      <c r="J369" s="728">
        <v>21</v>
      </c>
      <c r="K369" s="729">
        <v>31371.41</v>
      </c>
    </row>
    <row r="370" spans="1:11" ht="14.4" customHeight="1" x14ac:dyDescent="0.3">
      <c r="A370" s="724" t="s">
        <v>552</v>
      </c>
      <c r="B370" s="725" t="s">
        <v>1679</v>
      </c>
      <c r="C370" s="726" t="s">
        <v>572</v>
      </c>
      <c r="D370" s="727" t="s">
        <v>573</v>
      </c>
      <c r="E370" s="726" t="s">
        <v>2958</v>
      </c>
      <c r="F370" s="727" t="s">
        <v>2959</v>
      </c>
      <c r="G370" s="726" t="s">
        <v>2656</v>
      </c>
      <c r="H370" s="726" t="s">
        <v>2657</v>
      </c>
      <c r="I370" s="728">
        <v>6936.95</v>
      </c>
      <c r="J370" s="728">
        <v>2</v>
      </c>
      <c r="K370" s="729">
        <v>13873.9</v>
      </c>
    </row>
    <row r="371" spans="1:11" ht="14.4" customHeight="1" x14ac:dyDescent="0.3">
      <c r="A371" s="724" t="s">
        <v>552</v>
      </c>
      <c r="B371" s="725" t="s">
        <v>1679</v>
      </c>
      <c r="C371" s="726" t="s">
        <v>572</v>
      </c>
      <c r="D371" s="727" t="s">
        <v>573</v>
      </c>
      <c r="E371" s="726" t="s">
        <v>2958</v>
      </c>
      <c r="F371" s="727" t="s">
        <v>2959</v>
      </c>
      <c r="G371" s="726" t="s">
        <v>2658</v>
      </c>
      <c r="H371" s="726" t="s">
        <v>2659</v>
      </c>
      <c r="I371" s="728">
        <v>0</v>
      </c>
      <c r="J371" s="728">
        <v>1</v>
      </c>
      <c r="K371" s="729">
        <v>0</v>
      </c>
    </row>
    <row r="372" spans="1:11" ht="14.4" customHeight="1" x14ac:dyDescent="0.3">
      <c r="A372" s="724" t="s">
        <v>552</v>
      </c>
      <c r="B372" s="725" t="s">
        <v>1679</v>
      </c>
      <c r="C372" s="726" t="s">
        <v>572</v>
      </c>
      <c r="D372" s="727" t="s">
        <v>573</v>
      </c>
      <c r="E372" s="726" t="s">
        <v>2958</v>
      </c>
      <c r="F372" s="727" t="s">
        <v>2959</v>
      </c>
      <c r="G372" s="726" t="s">
        <v>2660</v>
      </c>
      <c r="H372" s="726" t="s">
        <v>2661</v>
      </c>
      <c r="I372" s="728">
        <v>0</v>
      </c>
      <c r="J372" s="728">
        <v>2</v>
      </c>
      <c r="K372" s="729">
        <v>0</v>
      </c>
    </row>
    <row r="373" spans="1:11" ht="14.4" customHeight="1" x14ac:dyDescent="0.3">
      <c r="A373" s="724" t="s">
        <v>552</v>
      </c>
      <c r="B373" s="725" t="s">
        <v>1679</v>
      </c>
      <c r="C373" s="726" t="s">
        <v>572</v>
      </c>
      <c r="D373" s="727" t="s">
        <v>573</v>
      </c>
      <c r="E373" s="726" t="s">
        <v>2958</v>
      </c>
      <c r="F373" s="727" t="s">
        <v>2959</v>
      </c>
      <c r="G373" s="726" t="s">
        <v>2662</v>
      </c>
      <c r="H373" s="726" t="s">
        <v>2663</v>
      </c>
      <c r="I373" s="728">
        <v>0</v>
      </c>
      <c r="J373" s="728">
        <v>1</v>
      </c>
      <c r="K373" s="729">
        <v>0</v>
      </c>
    </row>
    <row r="374" spans="1:11" ht="14.4" customHeight="1" x14ac:dyDescent="0.3">
      <c r="A374" s="724" t="s">
        <v>552</v>
      </c>
      <c r="B374" s="725" t="s">
        <v>1679</v>
      </c>
      <c r="C374" s="726" t="s">
        <v>572</v>
      </c>
      <c r="D374" s="727" t="s">
        <v>573</v>
      </c>
      <c r="E374" s="726" t="s">
        <v>2958</v>
      </c>
      <c r="F374" s="727" t="s">
        <v>2959</v>
      </c>
      <c r="G374" s="726" t="s">
        <v>2664</v>
      </c>
      <c r="H374" s="726" t="s">
        <v>2665</v>
      </c>
      <c r="I374" s="728">
        <v>0</v>
      </c>
      <c r="J374" s="728">
        <v>2</v>
      </c>
      <c r="K374" s="729">
        <v>0</v>
      </c>
    </row>
    <row r="375" spans="1:11" ht="14.4" customHeight="1" x14ac:dyDescent="0.3">
      <c r="A375" s="724" t="s">
        <v>552</v>
      </c>
      <c r="B375" s="725" t="s">
        <v>1679</v>
      </c>
      <c r="C375" s="726" t="s">
        <v>572</v>
      </c>
      <c r="D375" s="727" t="s">
        <v>573</v>
      </c>
      <c r="E375" s="726" t="s">
        <v>2958</v>
      </c>
      <c r="F375" s="727" t="s">
        <v>2959</v>
      </c>
      <c r="G375" s="726" t="s">
        <v>2666</v>
      </c>
      <c r="H375" s="726" t="s">
        <v>2667</v>
      </c>
      <c r="I375" s="728">
        <v>0</v>
      </c>
      <c r="J375" s="728">
        <v>8</v>
      </c>
      <c r="K375" s="729">
        <v>0</v>
      </c>
    </row>
    <row r="376" spans="1:11" ht="14.4" customHeight="1" x14ac:dyDescent="0.3">
      <c r="A376" s="724" t="s">
        <v>552</v>
      </c>
      <c r="B376" s="725" t="s">
        <v>1679</v>
      </c>
      <c r="C376" s="726" t="s">
        <v>572</v>
      </c>
      <c r="D376" s="727" t="s">
        <v>573</v>
      </c>
      <c r="E376" s="726" t="s">
        <v>2958</v>
      </c>
      <c r="F376" s="727" t="s">
        <v>2959</v>
      </c>
      <c r="G376" s="726" t="s">
        <v>2668</v>
      </c>
      <c r="H376" s="726" t="s">
        <v>2669</v>
      </c>
      <c r="I376" s="728">
        <v>0</v>
      </c>
      <c r="J376" s="728">
        <v>2</v>
      </c>
      <c r="K376" s="729">
        <v>0</v>
      </c>
    </row>
    <row r="377" spans="1:11" ht="14.4" customHeight="1" x14ac:dyDescent="0.3">
      <c r="A377" s="724" t="s">
        <v>552</v>
      </c>
      <c r="B377" s="725" t="s">
        <v>1679</v>
      </c>
      <c r="C377" s="726" t="s">
        <v>572</v>
      </c>
      <c r="D377" s="727" t="s">
        <v>573</v>
      </c>
      <c r="E377" s="726" t="s">
        <v>2958</v>
      </c>
      <c r="F377" s="727" t="s">
        <v>2959</v>
      </c>
      <c r="G377" s="726" t="s">
        <v>2670</v>
      </c>
      <c r="H377" s="726" t="s">
        <v>2671</v>
      </c>
      <c r="I377" s="728">
        <v>0</v>
      </c>
      <c r="J377" s="728">
        <v>1</v>
      </c>
      <c r="K377" s="729">
        <v>0</v>
      </c>
    </row>
    <row r="378" spans="1:11" ht="14.4" customHeight="1" x14ac:dyDescent="0.3">
      <c r="A378" s="724" t="s">
        <v>552</v>
      </c>
      <c r="B378" s="725" t="s">
        <v>1679</v>
      </c>
      <c r="C378" s="726" t="s">
        <v>572</v>
      </c>
      <c r="D378" s="727" t="s">
        <v>573</v>
      </c>
      <c r="E378" s="726" t="s">
        <v>2958</v>
      </c>
      <c r="F378" s="727" t="s">
        <v>2959</v>
      </c>
      <c r="G378" s="726" t="s">
        <v>2672</v>
      </c>
      <c r="H378" s="726" t="s">
        <v>2673</v>
      </c>
      <c r="I378" s="728">
        <v>2650.58</v>
      </c>
      <c r="J378" s="728">
        <v>5</v>
      </c>
      <c r="K378" s="729">
        <v>21201.170000000002</v>
      </c>
    </row>
    <row r="379" spans="1:11" ht="14.4" customHeight="1" x14ac:dyDescent="0.3">
      <c r="A379" s="724" t="s">
        <v>552</v>
      </c>
      <c r="B379" s="725" t="s">
        <v>1679</v>
      </c>
      <c r="C379" s="726" t="s">
        <v>572</v>
      </c>
      <c r="D379" s="727" t="s">
        <v>573</v>
      </c>
      <c r="E379" s="726" t="s">
        <v>2958</v>
      </c>
      <c r="F379" s="727" t="s">
        <v>2959</v>
      </c>
      <c r="G379" s="726" t="s">
        <v>2674</v>
      </c>
      <c r="H379" s="726" t="s">
        <v>2675</v>
      </c>
      <c r="I379" s="728">
        <v>405.47</v>
      </c>
      <c r="J379" s="728">
        <v>1</v>
      </c>
      <c r="K379" s="729">
        <v>405.47</v>
      </c>
    </row>
    <row r="380" spans="1:11" ht="14.4" customHeight="1" x14ac:dyDescent="0.3">
      <c r="A380" s="724" t="s">
        <v>552</v>
      </c>
      <c r="B380" s="725" t="s">
        <v>1679</v>
      </c>
      <c r="C380" s="726" t="s">
        <v>572</v>
      </c>
      <c r="D380" s="727" t="s">
        <v>573</v>
      </c>
      <c r="E380" s="726" t="s">
        <v>2958</v>
      </c>
      <c r="F380" s="727" t="s">
        <v>2959</v>
      </c>
      <c r="G380" s="726" t="s">
        <v>2676</v>
      </c>
      <c r="H380" s="726" t="s">
        <v>2677</v>
      </c>
      <c r="I380" s="728">
        <v>606.52499999999998</v>
      </c>
      <c r="J380" s="728">
        <v>2</v>
      </c>
      <c r="K380" s="729">
        <v>1213.05</v>
      </c>
    </row>
    <row r="381" spans="1:11" ht="14.4" customHeight="1" x14ac:dyDescent="0.3">
      <c r="A381" s="724" t="s">
        <v>552</v>
      </c>
      <c r="B381" s="725" t="s">
        <v>1679</v>
      </c>
      <c r="C381" s="726" t="s">
        <v>572</v>
      </c>
      <c r="D381" s="727" t="s">
        <v>573</v>
      </c>
      <c r="E381" s="726" t="s">
        <v>2958</v>
      </c>
      <c r="F381" s="727" t="s">
        <v>2959</v>
      </c>
      <c r="G381" s="726" t="s">
        <v>2678</v>
      </c>
      <c r="H381" s="726" t="s">
        <v>2679</v>
      </c>
      <c r="I381" s="728">
        <v>552</v>
      </c>
      <c r="J381" s="728">
        <v>2</v>
      </c>
      <c r="K381" s="729">
        <v>1104</v>
      </c>
    </row>
    <row r="382" spans="1:11" ht="14.4" customHeight="1" x14ac:dyDescent="0.3">
      <c r="A382" s="724" t="s">
        <v>552</v>
      </c>
      <c r="B382" s="725" t="s">
        <v>1679</v>
      </c>
      <c r="C382" s="726" t="s">
        <v>572</v>
      </c>
      <c r="D382" s="727" t="s">
        <v>573</v>
      </c>
      <c r="E382" s="726" t="s">
        <v>2958</v>
      </c>
      <c r="F382" s="727" t="s">
        <v>2959</v>
      </c>
      <c r="G382" s="726" t="s">
        <v>2680</v>
      </c>
      <c r="H382" s="726" t="s">
        <v>2681</v>
      </c>
      <c r="I382" s="728">
        <v>661.05</v>
      </c>
      <c r="J382" s="728">
        <v>2</v>
      </c>
      <c r="K382" s="729">
        <v>1322.11</v>
      </c>
    </row>
    <row r="383" spans="1:11" ht="14.4" customHeight="1" x14ac:dyDescent="0.3">
      <c r="A383" s="724" t="s">
        <v>552</v>
      </c>
      <c r="B383" s="725" t="s">
        <v>1679</v>
      </c>
      <c r="C383" s="726" t="s">
        <v>572</v>
      </c>
      <c r="D383" s="727" t="s">
        <v>573</v>
      </c>
      <c r="E383" s="726" t="s">
        <v>2958</v>
      </c>
      <c r="F383" s="727" t="s">
        <v>2959</v>
      </c>
      <c r="G383" s="726" t="s">
        <v>2682</v>
      </c>
      <c r="H383" s="726" t="s">
        <v>2683</v>
      </c>
      <c r="I383" s="728">
        <v>749.99</v>
      </c>
      <c r="J383" s="728">
        <v>2</v>
      </c>
      <c r="K383" s="729">
        <v>1499.98</v>
      </c>
    </row>
    <row r="384" spans="1:11" ht="14.4" customHeight="1" x14ac:dyDescent="0.3">
      <c r="A384" s="724" t="s">
        <v>552</v>
      </c>
      <c r="B384" s="725" t="s">
        <v>1679</v>
      </c>
      <c r="C384" s="726" t="s">
        <v>572</v>
      </c>
      <c r="D384" s="727" t="s">
        <v>573</v>
      </c>
      <c r="E384" s="726" t="s">
        <v>2958</v>
      </c>
      <c r="F384" s="727" t="s">
        <v>2959</v>
      </c>
      <c r="G384" s="726" t="s">
        <v>2684</v>
      </c>
      <c r="H384" s="726" t="s">
        <v>2685</v>
      </c>
      <c r="I384" s="728">
        <v>749.99</v>
      </c>
      <c r="J384" s="728">
        <v>2</v>
      </c>
      <c r="K384" s="729">
        <v>1499.98</v>
      </c>
    </row>
    <row r="385" spans="1:11" ht="14.4" customHeight="1" x14ac:dyDescent="0.3">
      <c r="A385" s="724" t="s">
        <v>552</v>
      </c>
      <c r="B385" s="725" t="s">
        <v>1679</v>
      </c>
      <c r="C385" s="726" t="s">
        <v>572</v>
      </c>
      <c r="D385" s="727" t="s">
        <v>573</v>
      </c>
      <c r="E385" s="726" t="s">
        <v>2958</v>
      </c>
      <c r="F385" s="727" t="s">
        <v>2959</v>
      </c>
      <c r="G385" s="726" t="s">
        <v>2686</v>
      </c>
      <c r="H385" s="726" t="s">
        <v>2687</v>
      </c>
      <c r="I385" s="728">
        <v>122.97999999999999</v>
      </c>
      <c r="J385" s="728">
        <v>22</v>
      </c>
      <c r="K385" s="729">
        <v>2866.56</v>
      </c>
    </row>
    <row r="386" spans="1:11" ht="14.4" customHeight="1" x14ac:dyDescent="0.3">
      <c r="A386" s="724" t="s">
        <v>552</v>
      </c>
      <c r="B386" s="725" t="s">
        <v>1679</v>
      </c>
      <c r="C386" s="726" t="s">
        <v>572</v>
      </c>
      <c r="D386" s="727" t="s">
        <v>573</v>
      </c>
      <c r="E386" s="726" t="s">
        <v>2958</v>
      </c>
      <c r="F386" s="727" t="s">
        <v>2959</v>
      </c>
      <c r="G386" s="726" t="s">
        <v>2688</v>
      </c>
      <c r="H386" s="726" t="s">
        <v>2689</v>
      </c>
      <c r="I386" s="728">
        <v>3999.09</v>
      </c>
      <c r="J386" s="728">
        <v>1</v>
      </c>
      <c r="K386" s="729">
        <v>3999.09</v>
      </c>
    </row>
    <row r="387" spans="1:11" ht="14.4" customHeight="1" x14ac:dyDescent="0.3">
      <c r="A387" s="724" t="s">
        <v>552</v>
      </c>
      <c r="B387" s="725" t="s">
        <v>1679</v>
      </c>
      <c r="C387" s="726" t="s">
        <v>572</v>
      </c>
      <c r="D387" s="727" t="s">
        <v>573</v>
      </c>
      <c r="E387" s="726" t="s">
        <v>2958</v>
      </c>
      <c r="F387" s="727" t="s">
        <v>2959</v>
      </c>
      <c r="G387" s="726" t="s">
        <v>2690</v>
      </c>
      <c r="H387" s="726" t="s">
        <v>2691</v>
      </c>
      <c r="I387" s="728">
        <v>5300.01</v>
      </c>
      <c r="J387" s="728">
        <v>1</v>
      </c>
      <c r="K387" s="729">
        <v>5300.01</v>
      </c>
    </row>
    <row r="388" spans="1:11" ht="14.4" customHeight="1" x14ac:dyDescent="0.3">
      <c r="A388" s="724" t="s">
        <v>552</v>
      </c>
      <c r="B388" s="725" t="s">
        <v>1679</v>
      </c>
      <c r="C388" s="726" t="s">
        <v>572</v>
      </c>
      <c r="D388" s="727" t="s">
        <v>573</v>
      </c>
      <c r="E388" s="726" t="s">
        <v>2958</v>
      </c>
      <c r="F388" s="727" t="s">
        <v>2959</v>
      </c>
      <c r="G388" s="726" t="s">
        <v>2692</v>
      </c>
      <c r="H388" s="726" t="s">
        <v>2693</v>
      </c>
      <c r="I388" s="728">
        <v>6155.23</v>
      </c>
      <c r="J388" s="728">
        <v>1</v>
      </c>
      <c r="K388" s="729">
        <v>6155.23</v>
      </c>
    </row>
    <row r="389" spans="1:11" ht="14.4" customHeight="1" x14ac:dyDescent="0.3">
      <c r="A389" s="724" t="s">
        <v>552</v>
      </c>
      <c r="B389" s="725" t="s">
        <v>1679</v>
      </c>
      <c r="C389" s="726" t="s">
        <v>572</v>
      </c>
      <c r="D389" s="727" t="s">
        <v>573</v>
      </c>
      <c r="E389" s="726" t="s">
        <v>2958</v>
      </c>
      <c r="F389" s="727" t="s">
        <v>2959</v>
      </c>
      <c r="G389" s="726" t="s">
        <v>2694</v>
      </c>
      <c r="H389" s="726" t="s">
        <v>2695</v>
      </c>
      <c r="I389" s="728">
        <v>3365.09</v>
      </c>
      <c r="J389" s="728">
        <v>2</v>
      </c>
      <c r="K389" s="729">
        <v>6730.18</v>
      </c>
    </row>
    <row r="390" spans="1:11" ht="14.4" customHeight="1" x14ac:dyDescent="0.3">
      <c r="A390" s="724" t="s">
        <v>552</v>
      </c>
      <c r="B390" s="725" t="s">
        <v>1679</v>
      </c>
      <c r="C390" s="726" t="s">
        <v>572</v>
      </c>
      <c r="D390" s="727" t="s">
        <v>573</v>
      </c>
      <c r="E390" s="726" t="s">
        <v>2958</v>
      </c>
      <c r="F390" s="727" t="s">
        <v>2959</v>
      </c>
      <c r="G390" s="726" t="s">
        <v>2696</v>
      </c>
      <c r="H390" s="726" t="s">
        <v>2697</v>
      </c>
      <c r="I390" s="728">
        <v>7131.45</v>
      </c>
      <c r="J390" s="728">
        <v>1</v>
      </c>
      <c r="K390" s="729">
        <v>7131.45</v>
      </c>
    </row>
    <row r="391" spans="1:11" ht="14.4" customHeight="1" x14ac:dyDescent="0.3">
      <c r="A391" s="724" t="s">
        <v>552</v>
      </c>
      <c r="B391" s="725" t="s">
        <v>1679</v>
      </c>
      <c r="C391" s="726" t="s">
        <v>572</v>
      </c>
      <c r="D391" s="727" t="s">
        <v>573</v>
      </c>
      <c r="E391" s="726" t="s">
        <v>2958</v>
      </c>
      <c r="F391" s="727" t="s">
        <v>2959</v>
      </c>
      <c r="G391" s="726" t="s">
        <v>2698</v>
      </c>
      <c r="H391" s="726" t="s">
        <v>2699</v>
      </c>
      <c r="I391" s="728">
        <v>2564.9299999999998</v>
      </c>
      <c r="J391" s="728">
        <v>3</v>
      </c>
      <c r="K391" s="729">
        <v>7694.8</v>
      </c>
    </row>
    <row r="392" spans="1:11" ht="14.4" customHeight="1" x14ac:dyDescent="0.3">
      <c r="A392" s="724" t="s">
        <v>552</v>
      </c>
      <c r="B392" s="725" t="s">
        <v>1679</v>
      </c>
      <c r="C392" s="726" t="s">
        <v>572</v>
      </c>
      <c r="D392" s="727" t="s">
        <v>573</v>
      </c>
      <c r="E392" s="726" t="s">
        <v>2958</v>
      </c>
      <c r="F392" s="727" t="s">
        <v>2959</v>
      </c>
      <c r="G392" s="726" t="s">
        <v>2700</v>
      </c>
      <c r="H392" s="726" t="s">
        <v>2701</v>
      </c>
      <c r="I392" s="728">
        <v>7796.56</v>
      </c>
      <c r="J392" s="728">
        <v>1</v>
      </c>
      <c r="K392" s="729">
        <v>7796.56</v>
      </c>
    </row>
    <row r="393" spans="1:11" ht="14.4" customHeight="1" x14ac:dyDescent="0.3">
      <c r="A393" s="724" t="s">
        <v>552</v>
      </c>
      <c r="B393" s="725" t="s">
        <v>1679</v>
      </c>
      <c r="C393" s="726" t="s">
        <v>572</v>
      </c>
      <c r="D393" s="727" t="s">
        <v>573</v>
      </c>
      <c r="E393" s="726" t="s">
        <v>2958</v>
      </c>
      <c r="F393" s="727" t="s">
        <v>2959</v>
      </c>
      <c r="G393" s="726" t="s">
        <v>2702</v>
      </c>
      <c r="H393" s="726" t="s">
        <v>2703</v>
      </c>
      <c r="I393" s="728">
        <v>900</v>
      </c>
      <c r="J393" s="728">
        <v>9</v>
      </c>
      <c r="K393" s="729">
        <v>8100.01</v>
      </c>
    </row>
    <row r="394" spans="1:11" ht="14.4" customHeight="1" x14ac:dyDescent="0.3">
      <c r="A394" s="724" t="s">
        <v>552</v>
      </c>
      <c r="B394" s="725" t="s">
        <v>1679</v>
      </c>
      <c r="C394" s="726" t="s">
        <v>572</v>
      </c>
      <c r="D394" s="727" t="s">
        <v>573</v>
      </c>
      <c r="E394" s="726" t="s">
        <v>2958</v>
      </c>
      <c r="F394" s="727" t="s">
        <v>2959</v>
      </c>
      <c r="G394" s="726" t="s">
        <v>2704</v>
      </c>
      <c r="H394" s="726" t="s">
        <v>2705</v>
      </c>
      <c r="I394" s="728">
        <v>8073.2066666666678</v>
      </c>
      <c r="J394" s="728">
        <v>5</v>
      </c>
      <c r="K394" s="729">
        <v>39774.870000000003</v>
      </c>
    </row>
    <row r="395" spans="1:11" ht="14.4" customHeight="1" x14ac:dyDescent="0.3">
      <c r="A395" s="724" t="s">
        <v>552</v>
      </c>
      <c r="B395" s="725" t="s">
        <v>1679</v>
      </c>
      <c r="C395" s="726" t="s">
        <v>572</v>
      </c>
      <c r="D395" s="727" t="s">
        <v>573</v>
      </c>
      <c r="E395" s="726" t="s">
        <v>2958</v>
      </c>
      <c r="F395" s="727" t="s">
        <v>2959</v>
      </c>
      <c r="G395" s="726" t="s">
        <v>2706</v>
      </c>
      <c r="H395" s="726" t="s">
        <v>2707</v>
      </c>
      <c r="I395" s="728">
        <v>8693.77</v>
      </c>
      <c r="J395" s="728">
        <v>1</v>
      </c>
      <c r="K395" s="729">
        <v>8693.77</v>
      </c>
    </row>
    <row r="396" spans="1:11" ht="14.4" customHeight="1" x14ac:dyDescent="0.3">
      <c r="A396" s="724" t="s">
        <v>552</v>
      </c>
      <c r="B396" s="725" t="s">
        <v>1679</v>
      </c>
      <c r="C396" s="726" t="s">
        <v>572</v>
      </c>
      <c r="D396" s="727" t="s">
        <v>573</v>
      </c>
      <c r="E396" s="726" t="s">
        <v>2958</v>
      </c>
      <c r="F396" s="727" t="s">
        <v>2959</v>
      </c>
      <c r="G396" s="726" t="s">
        <v>2708</v>
      </c>
      <c r="H396" s="726" t="s">
        <v>2709</v>
      </c>
      <c r="I396" s="728">
        <v>4769.07</v>
      </c>
      <c r="J396" s="728">
        <v>2</v>
      </c>
      <c r="K396" s="729">
        <v>9538.14</v>
      </c>
    </row>
    <row r="397" spans="1:11" ht="14.4" customHeight="1" x14ac:dyDescent="0.3">
      <c r="A397" s="724" t="s">
        <v>552</v>
      </c>
      <c r="B397" s="725" t="s">
        <v>1679</v>
      </c>
      <c r="C397" s="726" t="s">
        <v>572</v>
      </c>
      <c r="D397" s="727" t="s">
        <v>573</v>
      </c>
      <c r="E397" s="726" t="s">
        <v>2958</v>
      </c>
      <c r="F397" s="727" t="s">
        <v>2959</v>
      </c>
      <c r="G397" s="726" t="s">
        <v>2710</v>
      </c>
      <c r="H397" s="726" t="s">
        <v>2711</v>
      </c>
      <c r="I397" s="728">
        <v>5300.01</v>
      </c>
      <c r="J397" s="728">
        <v>2</v>
      </c>
      <c r="K397" s="729">
        <v>10600.01</v>
      </c>
    </row>
    <row r="398" spans="1:11" ht="14.4" customHeight="1" x14ac:dyDescent="0.3">
      <c r="A398" s="724" t="s">
        <v>552</v>
      </c>
      <c r="B398" s="725" t="s">
        <v>1679</v>
      </c>
      <c r="C398" s="726" t="s">
        <v>572</v>
      </c>
      <c r="D398" s="727" t="s">
        <v>573</v>
      </c>
      <c r="E398" s="726" t="s">
        <v>2958</v>
      </c>
      <c r="F398" s="727" t="s">
        <v>2959</v>
      </c>
      <c r="G398" s="726" t="s">
        <v>2712</v>
      </c>
      <c r="H398" s="726" t="s">
        <v>2713</v>
      </c>
      <c r="I398" s="728">
        <v>11464.7</v>
      </c>
      <c r="J398" s="728">
        <v>1</v>
      </c>
      <c r="K398" s="729">
        <v>11464.7</v>
      </c>
    </row>
    <row r="399" spans="1:11" ht="14.4" customHeight="1" x14ac:dyDescent="0.3">
      <c r="A399" s="724" t="s">
        <v>552</v>
      </c>
      <c r="B399" s="725" t="s">
        <v>1679</v>
      </c>
      <c r="C399" s="726" t="s">
        <v>572</v>
      </c>
      <c r="D399" s="727" t="s">
        <v>573</v>
      </c>
      <c r="E399" s="726" t="s">
        <v>2958</v>
      </c>
      <c r="F399" s="727" t="s">
        <v>2959</v>
      </c>
      <c r="G399" s="726" t="s">
        <v>2714</v>
      </c>
      <c r="H399" s="726" t="s">
        <v>2715</v>
      </c>
      <c r="I399" s="728">
        <v>1048.165</v>
      </c>
      <c r="J399" s="728">
        <v>22</v>
      </c>
      <c r="K399" s="729">
        <v>23261.46</v>
      </c>
    </row>
    <row r="400" spans="1:11" ht="14.4" customHeight="1" x14ac:dyDescent="0.3">
      <c r="A400" s="724" t="s">
        <v>552</v>
      </c>
      <c r="B400" s="725" t="s">
        <v>1679</v>
      </c>
      <c r="C400" s="726" t="s">
        <v>572</v>
      </c>
      <c r="D400" s="727" t="s">
        <v>573</v>
      </c>
      <c r="E400" s="726" t="s">
        <v>2958</v>
      </c>
      <c r="F400" s="727" t="s">
        <v>2959</v>
      </c>
      <c r="G400" s="726" t="s">
        <v>2716</v>
      </c>
      <c r="H400" s="726" t="s">
        <v>2717</v>
      </c>
      <c r="I400" s="728">
        <v>6499.99</v>
      </c>
      <c r="J400" s="728">
        <v>2</v>
      </c>
      <c r="K400" s="729">
        <v>12999.99</v>
      </c>
    </row>
    <row r="401" spans="1:11" ht="14.4" customHeight="1" x14ac:dyDescent="0.3">
      <c r="A401" s="724" t="s">
        <v>552</v>
      </c>
      <c r="B401" s="725" t="s">
        <v>1679</v>
      </c>
      <c r="C401" s="726" t="s">
        <v>572</v>
      </c>
      <c r="D401" s="727" t="s">
        <v>573</v>
      </c>
      <c r="E401" s="726" t="s">
        <v>2958</v>
      </c>
      <c r="F401" s="727" t="s">
        <v>2959</v>
      </c>
      <c r="G401" s="726" t="s">
        <v>2718</v>
      </c>
      <c r="H401" s="726" t="s">
        <v>2719</v>
      </c>
      <c r="I401" s="728">
        <v>15200.01</v>
      </c>
      <c r="J401" s="728">
        <v>1</v>
      </c>
      <c r="K401" s="729">
        <v>15200.01</v>
      </c>
    </row>
    <row r="402" spans="1:11" ht="14.4" customHeight="1" x14ac:dyDescent="0.3">
      <c r="A402" s="724" t="s">
        <v>552</v>
      </c>
      <c r="B402" s="725" t="s">
        <v>1679</v>
      </c>
      <c r="C402" s="726" t="s">
        <v>572</v>
      </c>
      <c r="D402" s="727" t="s">
        <v>573</v>
      </c>
      <c r="E402" s="726" t="s">
        <v>2958</v>
      </c>
      <c r="F402" s="727" t="s">
        <v>2959</v>
      </c>
      <c r="G402" s="726" t="s">
        <v>2720</v>
      </c>
      <c r="H402" s="726" t="s">
        <v>2721</v>
      </c>
      <c r="I402" s="728">
        <v>2564.5</v>
      </c>
      <c r="J402" s="728">
        <v>6</v>
      </c>
      <c r="K402" s="729">
        <v>15387</v>
      </c>
    </row>
    <row r="403" spans="1:11" ht="14.4" customHeight="1" x14ac:dyDescent="0.3">
      <c r="A403" s="724" t="s">
        <v>552</v>
      </c>
      <c r="B403" s="725" t="s">
        <v>1679</v>
      </c>
      <c r="C403" s="726" t="s">
        <v>572</v>
      </c>
      <c r="D403" s="727" t="s">
        <v>573</v>
      </c>
      <c r="E403" s="726" t="s">
        <v>2958</v>
      </c>
      <c r="F403" s="727" t="s">
        <v>2959</v>
      </c>
      <c r="G403" s="726" t="s">
        <v>2722</v>
      </c>
      <c r="H403" s="726" t="s">
        <v>2723</v>
      </c>
      <c r="I403" s="728">
        <v>7796.57</v>
      </c>
      <c r="J403" s="728">
        <v>2</v>
      </c>
      <c r="K403" s="729">
        <v>15593.15</v>
      </c>
    </row>
    <row r="404" spans="1:11" ht="14.4" customHeight="1" x14ac:dyDescent="0.3">
      <c r="A404" s="724" t="s">
        <v>552</v>
      </c>
      <c r="B404" s="725" t="s">
        <v>1679</v>
      </c>
      <c r="C404" s="726" t="s">
        <v>572</v>
      </c>
      <c r="D404" s="727" t="s">
        <v>573</v>
      </c>
      <c r="E404" s="726" t="s">
        <v>2958</v>
      </c>
      <c r="F404" s="727" t="s">
        <v>2959</v>
      </c>
      <c r="G404" s="726" t="s">
        <v>2724</v>
      </c>
      <c r="H404" s="726" t="s">
        <v>2725</v>
      </c>
      <c r="I404" s="728">
        <v>8664.3700000000008</v>
      </c>
      <c r="J404" s="728">
        <v>2</v>
      </c>
      <c r="K404" s="729">
        <v>17328.740000000002</v>
      </c>
    </row>
    <row r="405" spans="1:11" ht="14.4" customHeight="1" x14ac:dyDescent="0.3">
      <c r="A405" s="724" t="s">
        <v>552</v>
      </c>
      <c r="B405" s="725" t="s">
        <v>1679</v>
      </c>
      <c r="C405" s="726" t="s">
        <v>572</v>
      </c>
      <c r="D405" s="727" t="s">
        <v>573</v>
      </c>
      <c r="E405" s="726" t="s">
        <v>2958</v>
      </c>
      <c r="F405" s="727" t="s">
        <v>2959</v>
      </c>
      <c r="G405" s="726" t="s">
        <v>2726</v>
      </c>
      <c r="H405" s="726" t="s">
        <v>2727</v>
      </c>
      <c r="I405" s="728">
        <v>4769.07</v>
      </c>
      <c r="J405" s="728">
        <v>4</v>
      </c>
      <c r="K405" s="729">
        <v>19076.28</v>
      </c>
    </row>
    <row r="406" spans="1:11" ht="14.4" customHeight="1" x14ac:dyDescent="0.3">
      <c r="A406" s="724" t="s">
        <v>552</v>
      </c>
      <c r="B406" s="725" t="s">
        <v>1679</v>
      </c>
      <c r="C406" s="726" t="s">
        <v>572</v>
      </c>
      <c r="D406" s="727" t="s">
        <v>573</v>
      </c>
      <c r="E406" s="726" t="s">
        <v>2958</v>
      </c>
      <c r="F406" s="727" t="s">
        <v>2959</v>
      </c>
      <c r="G406" s="726" t="s">
        <v>2728</v>
      </c>
      <c r="H406" s="726" t="s">
        <v>2729</v>
      </c>
      <c r="I406" s="728">
        <v>8073.2066666666678</v>
      </c>
      <c r="J406" s="728">
        <v>13</v>
      </c>
      <c r="K406" s="729">
        <v>110519.19</v>
      </c>
    </row>
    <row r="407" spans="1:11" ht="14.4" customHeight="1" x14ac:dyDescent="0.3">
      <c r="A407" s="724" t="s">
        <v>552</v>
      </c>
      <c r="B407" s="725" t="s">
        <v>1679</v>
      </c>
      <c r="C407" s="726" t="s">
        <v>572</v>
      </c>
      <c r="D407" s="727" t="s">
        <v>573</v>
      </c>
      <c r="E407" s="726" t="s">
        <v>2958</v>
      </c>
      <c r="F407" s="727" t="s">
        <v>2959</v>
      </c>
      <c r="G407" s="726" t="s">
        <v>2730</v>
      </c>
      <c r="H407" s="726" t="s">
        <v>2731</v>
      </c>
      <c r="I407" s="728">
        <v>552</v>
      </c>
      <c r="J407" s="728">
        <v>1</v>
      </c>
      <c r="K407" s="729">
        <v>552</v>
      </c>
    </row>
    <row r="408" spans="1:11" ht="14.4" customHeight="1" x14ac:dyDescent="0.3">
      <c r="A408" s="724" t="s">
        <v>552</v>
      </c>
      <c r="B408" s="725" t="s">
        <v>1679</v>
      </c>
      <c r="C408" s="726" t="s">
        <v>572</v>
      </c>
      <c r="D408" s="727" t="s">
        <v>573</v>
      </c>
      <c r="E408" s="726" t="s">
        <v>2958</v>
      </c>
      <c r="F408" s="727" t="s">
        <v>2959</v>
      </c>
      <c r="G408" s="726" t="s">
        <v>2732</v>
      </c>
      <c r="H408" s="726" t="s">
        <v>2733</v>
      </c>
      <c r="I408" s="728">
        <v>552</v>
      </c>
      <c r="J408" s="728">
        <v>1</v>
      </c>
      <c r="K408" s="729">
        <v>552</v>
      </c>
    </row>
    <row r="409" spans="1:11" ht="14.4" customHeight="1" x14ac:dyDescent="0.3">
      <c r="A409" s="724" t="s">
        <v>552</v>
      </c>
      <c r="B409" s="725" t="s">
        <v>1679</v>
      </c>
      <c r="C409" s="726" t="s">
        <v>572</v>
      </c>
      <c r="D409" s="727" t="s">
        <v>573</v>
      </c>
      <c r="E409" s="726" t="s">
        <v>2958</v>
      </c>
      <c r="F409" s="727" t="s">
        <v>2959</v>
      </c>
      <c r="G409" s="726" t="s">
        <v>2734</v>
      </c>
      <c r="H409" s="726" t="s">
        <v>2735</v>
      </c>
      <c r="I409" s="728">
        <v>552</v>
      </c>
      <c r="J409" s="728">
        <v>1</v>
      </c>
      <c r="K409" s="729">
        <v>552</v>
      </c>
    </row>
    <row r="410" spans="1:11" ht="14.4" customHeight="1" x14ac:dyDescent="0.3">
      <c r="A410" s="724" t="s">
        <v>552</v>
      </c>
      <c r="B410" s="725" t="s">
        <v>1679</v>
      </c>
      <c r="C410" s="726" t="s">
        <v>572</v>
      </c>
      <c r="D410" s="727" t="s">
        <v>573</v>
      </c>
      <c r="E410" s="726" t="s">
        <v>2958</v>
      </c>
      <c r="F410" s="727" t="s">
        <v>2959</v>
      </c>
      <c r="G410" s="726" t="s">
        <v>2736</v>
      </c>
      <c r="H410" s="726" t="s">
        <v>2737</v>
      </c>
      <c r="I410" s="728">
        <v>552</v>
      </c>
      <c r="J410" s="728">
        <v>3</v>
      </c>
      <c r="K410" s="729">
        <v>1656</v>
      </c>
    </row>
    <row r="411" spans="1:11" ht="14.4" customHeight="1" x14ac:dyDescent="0.3">
      <c r="A411" s="724" t="s">
        <v>552</v>
      </c>
      <c r="B411" s="725" t="s">
        <v>1679</v>
      </c>
      <c r="C411" s="726" t="s">
        <v>572</v>
      </c>
      <c r="D411" s="727" t="s">
        <v>573</v>
      </c>
      <c r="E411" s="726" t="s">
        <v>2958</v>
      </c>
      <c r="F411" s="727" t="s">
        <v>2959</v>
      </c>
      <c r="G411" s="726" t="s">
        <v>2738</v>
      </c>
      <c r="H411" s="726" t="s">
        <v>2739</v>
      </c>
      <c r="I411" s="728">
        <v>473.45</v>
      </c>
      <c r="J411" s="728">
        <v>6</v>
      </c>
      <c r="K411" s="729">
        <v>2840.73</v>
      </c>
    </row>
    <row r="412" spans="1:11" ht="14.4" customHeight="1" x14ac:dyDescent="0.3">
      <c r="A412" s="724" t="s">
        <v>552</v>
      </c>
      <c r="B412" s="725" t="s">
        <v>1679</v>
      </c>
      <c r="C412" s="726" t="s">
        <v>572</v>
      </c>
      <c r="D412" s="727" t="s">
        <v>573</v>
      </c>
      <c r="E412" s="726" t="s">
        <v>2958</v>
      </c>
      <c r="F412" s="727" t="s">
        <v>2959</v>
      </c>
      <c r="G412" s="726" t="s">
        <v>2740</v>
      </c>
      <c r="H412" s="726" t="s">
        <v>2741</v>
      </c>
      <c r="I412" s="728">
        <v>473.45</v>
      </c>
      <c r="J412" s="728">
        <v>2</v>
      </c>
      <c r="K412" s="729">
        <v>946.91</v>
      </c>
    </row>
    <row r="413" spans="1:11" ht="14.4" customHeight="1" x14ac:dyDescent="0.3">
      <c r="A413" s="724" t="s">
        <v>552</v>
      </c>
      <c r="B413" s="725" t="s">
        <v>1679</v>
      </c>
      <c r="C413" s="726" t="s">
        <v>572</v>
      </c>
      <c r="D413" s="727" t="s">
        <v>573</v>
      </c>
      <c r="E413" s="726" t="s">
        <v>2958</v>
      </c>
      <c r="F413" s="727" t="s">
        <v>2959</v>
      </c>
      <c r="G413" s="726" t="s">
        <v>2742</v>
      </c>
      <c r="H413" s="726" t="s">
        <v>2743</v>
      </c>
      <c r="I413" s="728">
        <v>554.29</v>
      </c>
      <c r="J413" s="728">
        <v>2</v>
      </c>
      <c r="K413" s="729">
        <v>1108.5899999999999</v>
      </c>
    </row>
    <row r="414" spans="1:11" ht="14.4" customHeight="1" x14ac:dyDescent="0.3">
      <c r="A414" s="724" t="s">
        <v>552</v>
      </c>
      <c r="B414" s="725" t="s">
        <v>1679</v>
      </c>
      <c r="C414" s="726" t="s">
        <v>572</v>
      </c>
      <c r="D414" s="727" t="s">
        <v>573</v>
      </c>
      <c r="E414" s="726" t="s">
        <v>2958</v>
      </c>
      <c r="F414" s="727" t="s">
        <v>2959</v>
      </c>
      <c r="G414" s="726" t="s">
        <v>2744</v>
      </c>
      <c r="H414" s="726" t="s">
        <v>2745</v>
      </c>
      <c r="I414" s="728">
        <v>473.46</v>
      </c>
      <c r="J414" s="728">
        <v>3</v>
      </c>
      <c r="K414" s="729">
        <v>1420.37</v>
      </c>
    </row>
    <row r="415" spans="1:11" ht="14.4" customHeight="1" x14ac:dyDescent="0.3">
      <c r="A415" s="724" t="s">
        <v>552</v>
      </c>
      <c r="B415" s="725" t="s">
        <v>1679</v>
      </c>
      <c r="C415" s="726" t="s">
        <v>572</v>
      </c>
      <c r="D415" s="727" t="s">
        <v>573</v>
      </c>
      <c r="E415" s="726" t="s">
        <v>2958</v>
      </c>
      <c r="F415" s="727" t="s">
        <v>2959</v>
      </c>
      <c r="G415" s="726" t="s">
        <v>2746</v>
      </c>
      <c r="H415" s="726" t="s">
        <v>2747</v>
      </c>
      <c r="I415" s="728">
        <v>473.45</v>
      </c>
      <c r="J415" s="728">
        <v>4</v>
      </c>
      <c r="K415" s="729">
        <v>1893.82</v>
      </c>
    </row>
    <row r="416" spans="1:11" ht="14.4" customHeight="1" x14ac:dyDescent="0.3">
      <c r="A416" s="724" t="s">
        <v>552</v>
      </c>
      <c r="B416" s="725" t="s">
        <v>1679</v>
      </c>
      <c r="C416" s="726" t="s">
        <v>572</v>
      </c>
      <c r="D416" s="727" t="s">
        <v>573</v>
      </c>
      <c r="E416" s="726" t="s">
        <v>2958</v>
      </c>
      <c r="F416" s="727" t="s">
        <v>2959</v>
      </c>
      <c r="G416" s="726" t="s">
        <v>2748</v>
      </c>
      <c r="H416" s="726" t="s">
        <v>2749</v>
      </c>
      <c r="I416" s="728">
        <v>1928.49</v>
      </c>
      <c r="J416" s="728">
        <v>1</v>
      </c>
      <c r="K416" s="729">
        <v>1928.49</v>
      </c>
    </row>
    <row r="417" spans="1:11" ht="14.4" customHeight="1" x14ac:dyDescent="0.3">
      <c r="A417" s="724" t="s">
        <v>552</v>
      </c>
      <c r="B417" s="725" t="s">
        <v>1679</v>
      </c>
      <c r="C417" s="726" t="s">
        <v>572</v>
      </c>
      <c r="D417" s="727" t="s">
        <v>573</v>
      </c>
      <c r="E417" s="726" t="s">
        <v>2958</v>
      </c>
      <c r="F417" s="727" t="s">
        <v>2959</v>
      </c>
      <c r="G417" s="726" t="s">
        <v>2750</v>
      </c>
      <c r="H417" s="726" t="s">
        <v>2751</v>
      </c>
      <c r="I417" s="728">
        <v>2174.6</v>
      </c>
      <c r="J417" s="728">
        <v>1</v>
      </c>
      <c r="K417" s="729">
        <v>2174.6</v>
      </c>
    </row>
    <row r="418" spans="1:11" ht="14.4" customHeight="1" x14ac:dyDescent="0.3">
      <c r="A418" s="724" t="s">
        <v>552</v>
      </c>
      <c r="B418" s="725" t="s">
        <v>1679</v>
      </c>
      <c r="C418" s="726" t="s">
        <v>572</v>
      </c>
      <c r="D418" s="727" t="s">
        <v>573</v>
      </c>
      <c r="E418" s="726" t="s">
        <v>2958</v>
      </c>
      <c r="F418" s="727" t="s">
        <v>2959</v>
      </c>
      <c r="G418" s="726" t="s">
        <v>2752</v>
      </c>
      <c r="H418" s="726" t="s">
        <v>2753</v>
      </c>
      <c r="I418" s="728">
        <v>1320.12</v>
      </c>
      <c r="J418" s="728">
        <v>2</v>
      </c>
      <c r="K418" s="729">
        <v>2640.24</v>
      </c>
    </row>
    <row r="419" spans="1:11" ht="14.4" customHeight="1" x14ac:dyDescent="0.3">
      <c r="A419" s="724" t="s">
        <v>552</v>
      </c>
      <c r="B419" s="725" t="s">
        <v>1679</v>
      </c>
      <c r="C419" s="726" t="s">
        <v>572</v>
      </c>
      <c r="D419" s="727" t="s">
        <v>573</v>
      </c>
      <c r="E419" s="726" t="s">
        <v>2958</v>
      </c>
      <c r="F419" s="727" t="s">
        <v>2959</v>
      </c>
      <c r="G419" s="726" t="s">
        <v>2754</v>
      </c>
      <c r="H419" s="726" t="s">
        <v>2755</v>
      </c>
      <c r="I419" s="728">
        <v>1320.12</v>
      </c>
      <c r="J419" s="728">
        <v>2</v>
      </c>
      <c r="K419" s="729">
        <v>2640.24</v>
      </c>
    </row>
    <row r="420" spans="1:11" ht="14.4" customHeight="1" x14ac:dyDescent="0.3">
      <c r="A420" s="724" t="s">
        <v>552</v>
      </c>
      <c r="B420" s="725" t="s">
        <v>1679</v>
      </c>
      <c r="C420" s="726" t="s">
        <v>572</v>
      </c>
      <c r="D420" s="727" t="s">
        <v>573</v>
      </c>
      <c r="E420" s="726" t="s">
        <v>2958</v>
      </c>
      <c r="F420" s="727" t="s">
        <v>2959</v>
      </c>
      <c r="G420" s="726" t="s">
        <v>2756</v>
      </c>
      <c r="H420" s="726" t="s">
        <v>2757</v>
      </c>
      <c r="I420" s="728">
        <v>3928.34</v>
      </c>
      <c r="J420" s="728">
        <v>1</v>
      </c>
      <c r="K420" s="729">
        <v>3928.34</v>
      </c>
    </row>
    <row r="421" spans="1:11" ht="14.4" customHeight="1" x14ac:dyDescent="0.3">
      <c r="A421" s="724" t="s">
        <v>552</v>
      </c>
      <c r="B421" s="725" t="s">
        <v>1679</v>
      </c>
      <c r="C421" s="726" t="s">
        <v>572</v>
      </c>
      <c r="D421" s="727" t="s">
        <v>573</v>
      </c>
      <c r="E421" s="726" t="s">
        <v>2958</v>
      </c>
      <c r="F421" s="727" t="s">
        <v>2959</v>
      </c>
      <c r="G421" s="726" t="s">
        <v>2758</v>
      </c>
      <c r="H421" s="726" t="s">
        <v>2759</v>
      </c>
      <c r="I421" s="728">
        <v>3928.3450000000003</v>
      </c>
      <c r="J421" s="728">
        <v>2</v>
      </c>
      <c r="K421" s="729">
        <v>7856.6900000000005</v>
      </c>
    </row>
    <row r="422" spans="1:11" ht="14.4" customHeight="1" x14ac:dyDescent="0.3">
      <c r="A422" s="724" t="s">
        <v>552</v>
      </c>
      <c r="B422" s="725" t="s">
        <v>1679</v>
      </c>
      <c r="C422" s="726" t="s">
        <v>572</v>
      </c>
      <c r="D422" s="727" t="s">
        <v>573</v>
      </c>
      <c r="E422" s="726" t="s">
        <v>2958</v>
      </c>
      <c r="F422" s="727" t="s">
        <v>2959</v>
      </c>
      <c r="G422" s="726" t="s">
        <v>2760</v>
      </c>
      <c r="H422" s="726" t="s">
        <v>2761</v>
      </c>
      <c r="I422" s="728">
        <v>3928.34</v>
      </c>
      <c r="J422" s="728">
        <v>1</v>
      </c>
      <c r="K422" s="729">
        <v>3928.34</v>
      </c>
    </row>
    <row r="423" spans="1:11" ht="14.4" customHeight="1" x14ac:dyDescent="0.3">
      <c r="A423" s="724" t="s">
        <v>552</v>
      </c>
      <c r="B423" s="725" t="s">
        <v>1679</v>
      </c>
      <c r="C423" s="726" t="s">
        <v>572</v>
      </c>
      <c r="D423" s="727" t="s">
        <v>573</v>
      </c>
      <c r="E423" s="726" t="s">
        <v>2958</v>
      </c>
      <c r="F423" s="727" t="s">
        <v>2959</v>
      </c>
      <c r="G423" s="726" t="s">
        <v>2762</v>
      </c>
      <c r="H423" s="726" t="s">
        <v>2763</v>
      </c>
      <c r="I423" s="728">
        <v>3928.34</v>
      </c>
      <c r="J423" s="728">
        <v>1</v>
      </c>
      <c r="K423" s="729">
        <v>3928.34</v>
      </c>
    </row>
    <row r="424" spans="1:11" ht="14.4" customHeight="1" x14ac:dyDescent="0.3">
      <c r="A424" s="724" t="s">
        <v>552</v>
      </c>
      <c r="B424" s="725" t="s">
        <v>1679</v>
      </c>
      <c r="C424" s="726" t="s">
        <v>572</v>
      </c>
      <c r="D424" s="727" t="s">
        <v>573</v>
      </c>
      <c r="E424" s="726" t="s">
        <v>2958</v>
      </c>
      <c r="F424" s="727" t="s">
        <v>2959</v>
      </c>
      <c r="G424" s="726" t="s">
        <v>2764</v>
      </c>
      <c r="H424" s="726" t="s">
        <v>2765</v>
      </c>
      <c r="I424" s="728">
        <v>4125.63</v>
      </c>
      <c r="J424" s="728">
        <v>1</v>
      </c>
      <c r="K424" s="729">
        <v>4125.63</v>
      </c>
    </row>
    <row r="425" spans="1:11" ht="14.4" customHeight="1" x14ac:dyDescent="0.3">
      <c r="A425" s="724" t="s">
        <v>552</v>
      </c>
      <c r="B425" s="725" t="s">
        <v>1679</v>
      </c>
      <c r="C425" s="726" t="s">
        <v>572</v>
      </c>
      <c r="D425" s="727" t="s">
        <v>573</v>
      </c>
      <c r="E425" s="726" t="s">
        <v>2958</v>
      </c>
      <c r="F425" s="727" t="s">
        <v>2959</v>
      </c>
      <c r="G425" s="726" t="s">
        <v>2766</v>
      </c>
      <c r="H425" s="726" t="s">
        <v>2767</v>
      </c>
      <c r="I425" s="728">
        <v>4260.46</v>
      </c>
      <c r="J425" s="728">
        <v>1</v>
      </c>
      <c r="K425" s="729">
        <v>4260.46</v>
      </c>
    </row>
    <row r="426" spans="1:11" ht="14.4" customHeight="1" x14ac:dyDescent="0.3">
      <c r="A426" s="724" t="s">
        <v>552</v>
      </c>
      <c r="B426" s="725" t="s">
        <v>1679</v>
      </c>
      <c r="C426" s="726" t="s">
        <v>572</v>
      </c>
      <c r="D426" s="727" t="s">
        <v>573</v>
      </c>
      <c r="E426" s="726" t="s">
        <v>2958</v>
      </c>
      <c r="F426" s="727" t="s">
        <v>2959</v>
      </c>
      <c r="G426" s="726" t="s">
        <v>2768</v>
      </c>
      <c r="H426" s="726" t="s">
        <v>2769</v>
      </c>
      <c r="I426" s="728">
        <v>4385.38</v>
      </c>
      <c r="J426" s="728">
        <v>1</v>
      </c>
      <c r="K426" s="729">
        <v>4385.38</v>
      </c>
    </row>
    <row r="427" spans="1:11" ht="14.4" customHeight="1" x14ac:dyDescent="0.3">
      <c r="A427" s="724" t="s">
        <v>552</v>
      </c>
      <c r="B427" s="725" t="s">
        <v>1679</v>
      </c>
      <c r="C427" s="726" t="s">
        <v>572</v>
      </c>
      <c r="D427" s="727" t="s">
        <v>573</v>
      </c>
      <c r="E427" s="726" t="s">
        <v>2958</v>
      </c>
      <c r="F427" s="727" t="s">
        <v>2959</v>
      </c>
      <c r="G427" s="726" t="s">
        <v>2770</v>
      </c>
      <c r="H427" s="726" t="s">
        <v>2771</v>
      </c>
      <c r="I427" s="728">
        <v>5255.93</v>
      </c>
      <c r="J427" s="728">
        <v>1</v>
      </c>
      <c r="K427" s="729">
        <v>5255.93</v>
      </c>
    </row>
    <row r="428" spans="1:11" ht="14.4" customHeight="1" x14ac:dyDescent="0.3">
      <c r="A428" s="724" t="s">
        <v>552</v>
      </c>
      <c r="B428" s="725" t="s">
        <v>1679</v>
      </c>
      <c r="C428" s="726" t="s">
        <v>572</v>
      </c>
      <c r="D428" s="727" t="s">
        <v>573</v>
      </c>
      <c r="E428" s="726" t="s">
        <v>2958</v>
      </c>
      <c r="F428" s="727" t="s">
        <v>2959</v>
      </c>
      <c r="G428" s="726" t="s">
        <v>2772</v>
      </c>
      <c r="H428" s="726" t="s">
        <v>2773</v>
      </c>
      <c r="I428" s="728">
        <v>1320.12</v>
      </c>
      <c r="J428" s="728">
        <v>4</v>
      </c>
      <c r="K428" s="729">
        <v>5280.49</v>
      </c>
    </row>
    <row r="429" spans="1:11" ht="14.4" customHeight="1" x14ac:dyDescent="0.3">
      <c r="A429" s="724" t="s">
        <v>552</v>
      </c>
      <c r="B429" s="725" t="s">
        <v>1679</v>
      </c>
      <c r="C429" s="726" t="s">
        <v>572</v>
      </c>
      <c r="D429" s="727" t="s">
        <v>573</v>
      </c>
      <c r="E429" s="726" t="s">
        <v>2958</v>
      </c>
      <c r="F429" s="727" t="s">
        <v>2959</v>
      </c>
      <c r="G429" s="726" t="s">
        <v>2774</v>
      </c>
      <c r="H429" s="726" t="s">
        <v>2775</v>
      </c>
      <c r="I429" s="728">
        <v>5835.77</v>
      </c>
      <c r="J429" s="728">
        <v>2</v>
      </c>
      <c r="K429" s="729">
        <v>11671.54</v>
      </c>
    </row>
    <row r="430" spans="1:11" ht="14.4" customHeight="1" x14ac:dyDescent="0.3">
      <c r="A430" s="724" t="s">
        <v>552</v>
      </c>
      <c r="B430" s="725" t="s">
        <v>1679</v>
      </c>
      <c r="C430" s="726" t="s">
        <v>572</v>
      </c>
      <c r="D430" s="727" t="s">
        <v>573</v>
      </c>
      <c r="E430" s="726" t="s">
        <v>2958</v>
      </c>
      <c r="F430" s="727" t="s">
        <v>2959</v>
      </c>
      <c r="G430" s="726" t="s">
        <v>2776</v>
      </c>
      <c r="H430" s="726" t="s">
        <v>2777</v>
      </c>
      <c r="I430" s="728">
        <v>632.5</v>
      </c>
      <c r="J430" s="728">
        <v>10</v>
      </c>
      <c r="K430" s="729">
        <v>6325</v>
      </c>
    </row>
    <row r="431" spans="1:11" ht="14.4" customHeight="1" x14ac:dyDescent="0.3">
      <c r="A431" s="724" t="s">
        <v>552</v>
      </c>
      <c r="B431" s="725" t="s">
        <v>1679</v>
      </c>
      <c r="C431" s="726" t="s">
        <v>572</v>
      </c>
      <c r="D431" s="727" t="s">
        <v>573</v>
      </c>
      <c r="E431" s="726" t="s">
        <v>2958</v>
      </c>
      <c r="F431" s="727" t="s">
        <v>2959</v>
      </c>
      <c r="G431" s="726" t="s">
        <v>2778</v>
      </c>
      <c r="H431" s="726" t="s">
        <v>2779</v>
      </c>
      <c r="I431" s="728">
        <v>8320.25</v>
      </c>
      <c r="J431" s="728">
        <v>1</v>
      </c>
      <c r="K431" s="729">
        <v>8320.25</v>
      </c>
    </row>
    <row r="432" spans="1:11" ht="14.4" customHeight="1" x14ac:dyDescent="0.3">
      <c r="A432" s="724" t="s">
        <v>552</v>
      </c>
      <c r="B432" s="725" t="s">
        <v>1679</v>
      </c>
      <c r="C432" s="726" t="s">
        <v>572</v>
      </c>
      <c r="D432" s="727" t="s">
        <v>573</v>
      </c>
      <c r="E432" s="726" t="s">
        <v>2958</v>
      </c>
      <c r="F432" s="727" t="s">
        <v>2959</v>
      </c>
      <c r="G432" s="726" t="s">
        <v>2780</v>
      </c>
      <c r="H432" s="726" t="s">
        <v>2781</v>
      </c>
      <c r="I432" s="728">
        <v>4623</v>
      </c>
      <c r="J432" s="728">
        <v>2</v>
      </c>
      <c r="K432" s="729">
        <v>9246</v>
      </c>
    </row>
    <row r="433" spans="1:11" ht="14.4" customHeight="1" x14ac:dyDescent="0.3">
      <c r="A433" s="724" t="s">
        <v>552</v>
      </c>
      <c r="B433" s="725" t="s">
        <v>1679</v>
      </c>
      <c r="C433" s="726" t="s">
        <v>572</v>
      </c>
      <c r="D433" s="727" t="s">
        <v>573</v>
      </c>
      <c r="E433" s="726" t="s">
        <v>2958</v>
      </c>
      <c r="F433" s="727" t="s">
        <v>2959</v>
      </c>
      <c r="G433" s="726" t="s">
        <v>2782</v>
      </c>
      <c r="H433" s="726" t="s">
        <v>2783</v>
      </c>
      <c r="I433" s="728">
        <v>4794.3999999999996</v>
      </c>
      <c r="J433" s="728">
        <v>2</v>
      </c>
      <c r="K433" s="729">
        <v>9588.7999999999993</v>
      </c>
    </row>
    <row r="434" spans="1:11" ht="14.4" customHeight="1" x14ac:dyDescent="0.3">
      <c r="A434" s="724" t="s">
        <v>552</v>
      </c>
      <c r="B434" s="725" t="s">
        <v>1679</v>
      </c>
      <c r="C434" s="726" t="s">
        <v>572</v>
      </c>
      <c r="D434" s="727" t="s">
        <v>573</v>
      </c>
      <c r="E434" s="726" t="s">
        <v>2958</v>
      </c>
      <c r="F434" s="727" t="s">
        <v>2959</v>
      </c>
      <c r="G434" s="726" t="s">
        <v>2784</v>
      </c>
      <c r="H434" s="726" t="s">
        <v>2785</v>
      </c>
      <c r="I434" s="728">
        <v>5542.97</v>
      </c>
      <c r="J434" s="728">
        <v>2</v>
      </c>
      <c r="K434" s="729">
        <v>11085.94</v>
      </c>
    </row>
    <row r="435" spans="1:11" ht="14.4" customHeight="1" x14ac:dyDescent="0.3">
      <c r="A435" s="724" t="s">
        <v>552</v>
      </c>
      <c r="B435" s="725" t="s">
        <v>1679</v>
      </c>
      <c r="C435" s="726" t="s">
        <v>572</v>
      </c>
      <c r="D435" s="727" t="s">
        <v>573</v>
      </c>
      <c r="E435" s="726" t="s">
        <v>2958</v>
      </c>
      <c r="F435" s="727" t="s">
        <v>2959</v>
      </c>
      <c r="G435" s="726" t="s">
        <v>2786</v>
      </c>
      <c r="H435" s="726" t="s">
        <v>2787</v>
      </c>
      <c r="I435" s="728">
        <v>11713.5</v>
      </c>
      <c r="J435" s="728">
        <v>1</v>
      </c>
      <c r="K435" s="729">
        <v>11713.5</v>
      </c>
    </row>
    <row r="436" spans="1:11" ht="14.4" customHeight="1" x14ac:dyDescent="0.3">
      <c r="A436" s="724" t="s">
        <v>552</v>
      </c>
      <c r="B436" s="725" t="s">
        <v>1679</v>
      </c>
      <c r="C436" s="726" t="s">
        <v>572</v>
      </c>
      <c r="D436" s="727" t="s">
        <v>573</v>
      </c>
      <c r="E436" s="726" t="s">
        <v>2958</v>
      </c>
      <c r="F436" s="727" t="s">
        <v>2959</v>
      </c>
      <c r="G436" s="726" t="s">
        <v>2788</v>
      </c>
      <c r="H436" s="726" t="s">
        <v>2789</v>
      </c>
      <c r="I436" s="728">
        <v>12650</v>
      </c>
      <c r="J436" s="728">
        <v>1</v>
      </c>
      <c r="K436" s="729">
        <v>12650</v>
      </c>
    </row>
    <row r="437" spans="1:11" ht="14.4" customHeight="1" x14ac:dyDescent="0.3">
      <c r="A437" s="724" t="s">
        <v>552</v>
      </c>
      <c r="B437" s="725" t="s">
        <v>1679</v>
      </c>
      <c r="C437" s="726" t="s">
        <v>572</v>
      </c>
      <c r="D437" s="727" t="s">
        <v>573</v>
      </c>
      <c r="E437" s="726" t="s">
        <v>2958</v>
      </c>
      <c r="F437" s="727" t="s">
        <v>2959</v>
      </c>
      <c r="G437" s="726" t="s">
        <v>2790</v>
      </c>
      <c r="H437" s="726" t="s">
        <v>2791</v>
      </c>
      <c r="I437" s="728">
        <v>8320.25</v>
      </c>
      <c r="J437" s="728">
        <v>2</v>
      </c>
      <c r="K437" s="729">
        <v>16640.5</v>
      </c>
    </row>
    <row r="438" spans="1:11" ht="14.4" customHeight="1" x14ac:dyDescent="0.3">
      <c r="A438" s="724" t="s">
        <v>552</v>
      </c>
      <c r="B438" s="725" t="s">
        <v>1679</v>
      </c>
      <c r="C438" s="726" t="s">
        <v>572</v>
      </c>
      <c r="D438" s="727" t="s">
        <v>573</v>
      </c>
      <c r="E438" s="726" t="s">
        <v>2958</v>
      </c>
      <c r="F438" s="727" t="s">
        <v>2959</v>
      </c>
      <c r="G438" s="726" t="s">
        <v>2792</v>
      </c>
      <c r="H438" s="726" t="s">
        <v>2793</v>
      </c>
      <c r="I438" s="728">
        <v>8320.25</v>
      </c>
      <c r="J438" s="728">
        <v>2</v>
      </c>
      <c r="K438" s="729">
        <v>16640.5</v>
      </c>
    </row>
    <row r="439" spans="1:11" ht="14.4" customHeight="1" x14ac:dyDescent="0.3">
      <c r="A439" s="724" t="s">
        <v>552</v>
      </c>
      <c r="B439" s="725" t="s">
        <v>1679</v>
      </c>
      <c r="C439" s="726" t="s">
        <v>572</v>
      </c>
      <c r="D439" s="727" t="s">
        <v>573</v>
      </c>
      <c r="E439" s="726" t="s">
        <v>2958</v>
      </c>
      <c r="F439" s="727" t="s">
        <v>2959</v>
      </c>
      <c r="G439" s="726" t="s">
        <v>2794</v>
      </c>
      <c r="H439" s="726" t="s">
        <v>2795</v>
      </c>
      <c r="I439" s="728">
        <v>22410.41</v>
      </c>
      <c r="J439" s="728">
        <v>1</v>
      </c>
      <c r="K439" s="729">
        <v>22410.41</v>
      </c>
    </row>
    <row r="440" spans="1:11" ht="14.4" customHeight="1" x14ac:dyDescent="0.3">
      <c r="A440" s="724" t="s">
        <v>552</v>
      </c>
      <c r="B440" s="725" t="s">
        <v>1679</v>
      </c>
      <c r="C440" s="726" t="s">
        <v>572</v>
      </c>
      <c r="D440" s="727" t="s">
        <v>573</v>
      </c>
      <c r="E440" s="726" t="s">
        <v>2958</v>
      </c>
      <c r="F440" s="727" t="s">
        <v>2959</v>
      </c>
      <c r="G440" s="726" t="s">
        <v>2796</v>
      </c>
      <c r="H440" s="726" t="s">
        <v>2797</v>
      </c>
      <c r="I440" s="728">
        <v>8320.25</v>
      </c>
      <c r="J440" s="728">
        <v>3</v>
      </c>
      <c r="K440" s="729">
        <v>24960.75</v>
      </c>
    </row>
    <row r="441" spans="1:11" ht="14.4" customHeight="1" x14ac:dyDescent="0.3">
      <c r="A441" s="724" t="s">
        <v>552</v>
      </c>
      <c r="B441" s="725" t="s">
        <v>1679</v>
      </c>
      <c r="C441" s="726" t="s">
        <v>572</v>
      </c>
      <c r="D441" s="727" t="s">
        <v>573</v>
      </c>
      <c r="E441" s="726" t="s">
        <v>2958</v>
      </c>
      <c r="F441" s="727" t="s">
        <v>2959</v>
      </c>
      <c r="G441" s="726" t="s">
        <v>2798</v>
      </c>
      <c r="H441" s="726" t="s">
        <v>2799</v>
      </c>
      <c r="I441" s="728">
        <v>9389.91</v>
      </c>
      <c r="J441" s="728">
        <v>4</v>
      </c>
      <c r="K441" s="729">
        <v>37559.64</v>
      </c>
    </row>
    <row r="442" spans="1:11" ht="14.4" customHeight="1" x14ac:dyDescent="0.3">
      <c r="A442" s="724" t="s">
        <v>552</v>
      </c>
      <c r="B442" s="725" t="s">
        <v>1679</v>
      </c>
      <c r="C442" s="726" t="s">
        <v>572</v>
      </c>
      <c r="D442" s="727" t="s">
        <v>573</v>
      </c>
      <c r="E442" s="726" t="s">
        <v>2958</v>
      </c>
      <c r="F442" s="727" t="s">
        <v>2959</v>
      </c>
      <c r="G442" s="726" t="s">
        <v>2800</v>
      </c>
      <c r="H442" s="726" t="s">
        <v>2801</v>
      </c>
      <c r="I442" s="728">
        <v>9389.91</v>
      </c>
      <c r="J442" s="728">
        <v>4</v>
      </c>
      <c r="K442" s="729">
        <v>37559.64</v>
      </c>
    </row>
    <row r="443" spans="1:11" ht="14.4" customHeight="1" x14ac:dyDescent="0.3">
      <c r="A443" s="724" t="s">
        <v>552</v>
      </c>
      <c r="B443" s="725" t="s">
        <v>1679</v>
      </c>
      <c r="C443" s="726" t="s">
        <v>572</v>
      </c>
      <c r="D443" s="727" t="s">
        <v>573</v>
      </c>
      <c r="E443" s="726" t="s">
        <v>2960</v>
      </c>
      <c r="F443" s="727" t="s">
        <v>2961</v>
      </c>
      <c r="G443" s="726" t="s">
        <v>2802</v>
      </c>
      <c r="H443" s="726" t="s">
        <v>2803</v>
      </c>
      <c r="I443" s="728">
        <v>80025.933333333334</v>
      </c>
      <c r="J443" s="728">
        <v>6</v>
      </c>
      <c r="K443" s="729">
        <v>480155.62</v>
      </c>
    </row>
    <row r="444" spans="1:11" ht="14.4" customHeight="1" x14ac:dyDescent="0.3">
      <c r="A444" s="724" t="s">
        <v>552</v>
      </c>
      <c r="B444" s="725" t="s">
        <v>1679</v>
      </c>
      <c r="C444" s="726" t="s">
        <v>572</v>
      </c>
      <c r="D444" s="727" t="s">
        <v>573</v>
      </c>
      <c r="E444" s="726" t="s">
        <v>2960</v>
      </c>
      <c r="F444" s="727" t="s">
        <v>2961</v>
      </c>
      <c r="G444" s="726" t="s">
        <v>2804</v>
      </c>
      <c r="H444" s="726" t="s">
        <v>2805</v>
      </c>
      <c r="I444" s="728">
        <v>720620.36800000002</v>
      </c>
      <c r="J444" s="728">
        <v>5</v>
      </c>
      <c r="K444" s="729">
        <v>3603101.8400000003</v>
      </c>
    </row>
    <row r="445" spans="1:11" ht="14.4" customHeight="1" x14ac:dyDescent="0.3">
      <c r="A445" s="724" t="s">
        <v>552</v>
      </c>
      <c r="B445" s="725" t="s">
        <v>1679</v>
      </c>
      <c r="C445" s="726" t="s">
        <v>572</v>
      </c>
      <c r="D445" s="727" t="s">
        <v>573</v>
      </c>
      <c r="E445" s="726" t="s">
        <v>2960</v>
      </c>
      <c r="F445" s="727" t="s">
        <v>2961</v>
      </c>
      <c r="G445" s="726" t="s">
        <v>2806</v>
      </c>
      <c r="H445" s="726" t="s">
        <v>2807</v>
      </c>
      <c r="I445" s="728">
        <v>26544.386666666669</v>
      </c>
      <c r="J445" s="728">
        <v>6</v>
      </c>
      <c r="K445" s="729">
        <v>159266.32</v>
      </c>
    </row>
    <row r="446" spans="1:11" ht="14.4" customHeight="1" x14ac:dyDescent="0.3">
      <c r="A446" s="724" t="s">
        <v>552</v>
      </c>
      <c r="B446" s="725" t="s">
        <v>1679</v>
      </c>
      <c r="C446" s="726" t="s">
        <v>572</v>
      </c>
      <c r="D446" s="727" t="s">
        <v>573</v>
      </c>
      <c r="E446" s="726" t="s">
        <v>2960</v>
      </c>
      <c r="F446" s="727" t="s">
        <v>2961</v>
      </c>
      <c r="G446" s="726" t="s">
        <v>2808</v>
      </c>
      <c r="H446" s="726" t="s">
        <v>2809</v>
      </c>
      <c r="I446" s="728">
        <v>0.01</v>
      </c>
      <c r="J446" s="728">
        <v>5</v>
      </c>
      <c r="K446" s="729">
        <v>0.05</v>
      </c>
    </row>
    <row r="447" spans="1:11" ht="14.4" customHeight="1" x14ac:dyDescent="0.3">
      <c r="A447" s="724" t="s">
        <v>552</v>
      </c>
      <c r="B447" s="725" t="s">
        <v>1679</v>
      </c>
      <c r="C447" s="726" t="s">
        <v>572</v>
      </c>
      <c r="D447" s="727" t="s">
        <v>573</v>
      </c>
      <c r="E447" s="726" t="s">
        <v>2960</v>
      </c>
      <c r="F447" s="727" t="s">
        <v>2961</v>
      </c>
      <c r="G447" s="726" t="s">
        <v>2810</v>
      </c>
      <c r="H447" s="726" t="s">
        <v>2811</v>
      </c>
      <c r="I447" s="728">
        <v>99690.439999999988</v>
      </c>
      <c r="J447" s="728">
        <v>3</v>
      </c>
      <c r="K447" s="729">
        <v>299071.31999999995</v>
      </c>
    </row>
    <row r="448" spans="1:11" ht="14.4" customHeight="1" x14ac:dyDescent="0.3">
      <c r="A448" s="724" t="s">
        <v>552</v>
      </c>
      <c r="B448" s="725" t="s">
        <v>1679</v>
      </c>
      <c r="C448" s="726" t="s">
        <v>572</v>
      </c>
      <c r="D448" s="727" t="s">
        <v>573</v>
      </c>
      <c r="E448" s="726" t="s">
        <v>2960</v>
      </c>
      <c r="F448" s="727" t="s">
        <v>2961</v>
      </c>
      <c r="G448" s="726" t="s">
        <v>2812</v>
      </c>
      <c r="H448" s="726" t="s">
        <v>2813</v>
      </c>
      <c r="I448" s="728">
        <v>859490.79</v>
      </c>
      <c r="J448" s="728">
        <v>2</v>
      </c>
      <c r="K448" s="729">
        <v>1718981.58</v>
      </c>
    </row>
    <row r="449" spans="1:11" ht="14.4" customHeight="1" x14ac:dyDescent="0.3">
      <c r="A449" s="724" t="s">
        <v>552</v>
      </c>
      <c r="B449" s="725" t="s">
        <v>1679</v>
      </c>
      <c r="C449" s="726" t="s">
        <v>572</v>
      </c>
      <c r="D449" s="727" t="s">
        <v>573</v>
      </c>
      <c r="E449" s="726" t="s">
        <v>2960</v>
      </c>
      <c r="F449" s="727" t="s">
        <v>2961</v>
      </c>
      <c r="G449" s="726" t="s">
        <v>2814</v>
      </c>
      <c r="H449" s="726" t="s">
        <v>2815</v>
      </c>
      <c r="I449" s="728">
        <v>0.01</v>
      </c>
      <c r="J449" s="728">
        <v>6</v>
      </c>
      <c r="K449" s="729">
        <v>0.06</v>
      </c>
    </row>
    <row r="450" spans="1:11" ht="14.4" customHeight="1" x14ac:dyDescent="0.3">
      <c r="A450" s="724" t="s">
        <v>552</v>
      </c>
      <c r="B450" s="725" t="s">
        <v>1679</v>
      </c>
      <c r="C450" s="726" t="s">
        <v>572</v>
      </c>
      <c r="D450" s="727" t="s">
        <v>573</v>
      </c>
      <c r="E450" s="726" t="s">
        <v>2960</v>
      </c>
      <c r="F450" s="727" t="s">
        <v>2961</v>
      </c>
      <c r="G450" s="726" t="s">
        <v>2816</v>
      </c>
      <c r="H450" s="726" t="s">
        <v>2817</v>
      </c>
      <c r="I450" s="728">
        <v>0.01</v>
      </c>
      <c r="J450" s="728">
        <v>15</v>
      </c>
      <c r="K450" s="729">
        <v>0.18</v>
      </c>
    </row>
    <row r="451" spans="1:11" ht="14.4" customHeight="1" x14ac:dyDescent="0.3">
      <c r="A451" s="724" t="s">
        <v>552</v>
      </c>
      <c r="B451" s="725" t="s">
        <v>1679</v>
      </c>
      <c r="C451" s="726" t="s">
        <v>572</v>
      </c>
      <c r="D451" s="727" t="s">
        <v>573</v>
      </c>
      <c r="E451" s="726" t="s">
        <v>2960</v>
      </c>
      <c r="F451" s="727" t="s">
        <v>2961</v>
      </c>
      <c r="G451" s="726" t="s">
        <v>2818</v>
      </c>
      <c r="H451" s="726" t="s">
        <v>2819</v>
      </c>
      <c r="I451" s="728">
        <v>0.01</v>
      </c>
      <c r="J451" s="728">
        <v>2</v>
      </c>
      <c r="K451" s="729">
        <v>0.02</v>
      </c>
    </row>
    <row r="452" spans="1:11" ht="14.4" customHeight="1" x14ac:dyDescent="0.3">
      <c r="A452" s="724" t="s">
        <v>552</v>
      </c>
      <c r="B452" s="725" t="s">
        <v>1679</v>
      </c>
      <c r="C452" s="726" t="s">
        <v>572</v>
      </c>
      <c r="D452" s="727" t="s">
        <v>573</v>
      </c>
      <c r="E452" s="726" t="s">
        <v>2960</v>
      </c>
      <c r="F452" s="727" t="s">
        <v>2961</v>
      </c>
      <c r="G452" s="726" t="s">
        <v>2820</v>
      </c>
      <c r="H452" s="726" t="s">
        <v>2821</v>
      </c>
      <c r="I452" s="728">
        <v>26544.37</v>
      </c>
      <c r="J452" s="728">
        <v>2</v>
      </c>
      <c r="K452" s="729">
        <v>53088.74</v>
      </c>
    </row>
    <row r="453" spans="1:11" ht="14.4" customHeight="1" x14ac:dyDescent="0.3">
      <c r="A453" s="724" t="s">
        <v>552</v>
      </c>
      <c r="B453" s="725" t="s">
        <v>1679</v>
      </c>
      <c r="C453" s="726" t="s">
        <v>572</v>
      </c>
      <c r="D453" s="727" t="s">
        <v>573</v>
      </c>
      <c r="E453" s="726" t="s">
        <v>2960</v>
      </c>
      <c r="F453" s="727" t="s">
        <v>2961</v>
      </c>
      <c r="G453" s="726" t="s">
        <v>2822</v>
      </c>
      <c r="H453" s="726" t="s">
        <v>2823</v>
      </c>
      <c r="I453" s="728">
        <v>0.01</v>
      </c>
      <c r="J453" s="728">
        <v>2</v>
      </c>
      <c r="K453" s="729">
        <v>0.02</v>
      </c>
    </row>
    <row r="454" spans="1:11" ht="14.4" customHeight="1" x14ac:dyDescent="0.3">
      <c r="A454" s="724" t="s">
        <v>552</v>
      </c>
      <c r="B454" s="725" t="s">
        <v>1679</v>
      </c>
      <c r="C454" s="726" t="s">
        <v>572</v>
      </c>
      <c r="D454" s="727" t="s">
        <v>573</v>
      </c>
      <c r="E454" s="726" t="s">
        <v>2960</v>
      </c>
      <c r="F454" s="727" t="s">
        <v>2961</v>
      </c>
      <c r="G454" s="726" t="s">
        <v>2824</v>
      </c>
      <c r="H454" s="726" t="s">
        <v>2825</v>
      </c>
      <c r="I454" s="728">
        <v>0.01</v>
      </c>
      <c r="J454" s="728">
        <v>2</v>
      </c>
      <c r="K454" s="729">
        <v>0.02</v>
      </c>
    </row>
    <row r="455" spans="1:11" ht="14.4" customHeight="1" x14ac:dyDescent="0.3">
      <c r="A455" s="724" t="s">
        <v>552</v>
      </c>
      <c r="B455" s="725" t="s">
        <v>1679</v>
      </c>
      <c r="C455" s="726" t="s">
        <v>572</v>
      </c>
      <c r="D455" s="727" t="s">
        <v>573</v>
      </c>
      <c r="E455" s="726" t="s">
        <v>2960</v>
      </c>
      <c r="F455" s="727" t="s">
        <v>2961</v>
      </c>
      <c r="G455" s="726" t="s">
        <v>2826</v>
      </c>
      <c r="H455" s="726" t="s">
        <v>2827</v>
      </c>
      <c r="I455" s="728">
        <v>0.01</v>
      </c>
      <c r="J455" s="728">
        <v>2</v>
      </c>
      <c r="K455" s="729">
        <v>0.02</v>
      </c>
    </row>
    <row r="456" spans="1:11" ht="14.4" customHeight="1" x14ac:dyDescent="0.3">
      <c r="A456" s="724" t="s">
        <v>552</v>
      </c>
      <c r="B456" s="725" t="s">
        <v>1679</v>
      </c>
      <c r="C456" s="726" t="s">
        <v>572</v>
      </c>
      <c r="D456" s="727" t="s">
        <v>573</v>
      </c>
      <c r="E456" s="726" t="s">
        <v>2960</v>
      </c>
      <c r="F456" s="727" t="s">
        <v>2961</v>
      </c>
      <c r="G456" s="726" t="s">
        <v>2828</v>
      </c>
      <c r="H456" s="726" t="s">
        <v>2829</v>
      </c>
      <c r="I456" s="728">
        <v>80024.990000000005</v>
      </c>
      <c r="J456" s="728">
        <v>2</v>
      </c>
      <c r="K456" s="729">
        <v>160049.98000000001</v>
      </c>
    </row>
    <row r="457" spans="1:11" ht="14.4" customHeight="1" x14ac:dyDescent="0.3">
      <c r="A457" s="724" t="s">
        <v>552</v>
      </c>
      <c r="B457" s="725" t="s">
        <v>1679</v>
      </c>
      <c r="C457" s="726" t="s">
        <v>572</v>
      </c>
      <c r="D457" s="727" t="s">
        <v>573</v>
      </c>
      <c r="E457" s="726" t="s">
        <v>2960</v>
      </c>
      <c r="F457" s="727" t="s">
        <v>2961</v>
      </c>
      <c r="G457" s="726" t="s">
        <v>2830</v>
      </c>
      <c r="H457" s="726" t="s">
        <v>2831</v>
      </c>
      <c r="I457" s="728">
        <v>737051.98</v>
      </c>
      <c r="J457" s="728">
        <v>1</v>
      </c>
      <c r="K457" s="729">
        <v>737051.98</v>
      </c>
    </row>
    <row r="458" spans="1:11" ht="14.4" customHeight="1" x14ac:dyDescent="0.3">
      <c r="A458" s="724" t="s">
        <v>552</v>
      </c>
      <c r="B458" s="725" t="s">
        <v>1679</v>
      </c>
      <c r="C458" s="726" t="s">
        <v>572</v>
      </c>
      <c r="D458" s="727" t="s">
        <v>573</v>
      </c>
      <c r="E458" s="726" t="s">
        <v>2954</v>
      </c>
      <c r="F458" s="727" t="s">
        <v>2955</v>
      </c>
      <c r="G458" s="726" t="s">
        <v>2832</v>
      </c>
      <c r="H458" s="726" t="s">
        <v>2833</v>
      </c>
      <c r="I458" s="728">
        <v>5708.2950000000001</v>
      </c>
      <c r="J458" s="728">
        <v>9</v>
      </c>
      <c r="K458" s="729">
        <v>51374.66</v>
      </c>
    </row>
    <row r="459" spans="1:11" ht="14.4" customHeight="1" x14ac:dyDescent="0.3">
      <c r="A459" s="724" t="s">
        <v>552</v>
      </c>
      <c r="B459" s="725" t="s">
        <v>1679</v>
      </c>
      <c r="C459" s="726" t="s">
        <v>572</v>
      </c>
      <c r="D459" s="727" t="s">
        <v>573</v>
      </c>
      <c r="E459" s="726" t="s">
        <v>2954</v>
      </c>
      <c r="F459" s="727" t="s">
        <v>2955</v>
      </c>
      <c r="G459" s="726" t="s">
        <v>2834</v>
      </c>
      <c r="H459" s="726" t="s">
        <v>2835</v>
      </c>
      <c r="I459" s="728">
        <v>62658</v>
      </c>
      <c r="J459" s="728">
        <v>3</v>
      </c>
      <c r="K459" s="729">
        <v>187974</v>
      </c>
    </row>
    <row r="460" spans="1:11" ht="14.4" customHeight="1" x14ac:dyDescent="0.3">
      <c r="A460" s="724" t="s">
        <v>552</v>
      </c>
      <c r="B460" s="725" t="s">
        <v>1679</v>
      </c>
      <c r="C460" s="726" t="s">
        <v>572</v>
      </c>
      <c r="D460" s="727" t="s">
        <v>573</v>
      </c>
      <c r="E460" s="726" t="s">
        <v>2954</v>
      </c>
      <c r="F460" s="727" t="s">
        <v>2955</v>
      </c>
      <c r="G460" s="726" t="s">
        <v>2836</v>
      </c>
      <c r="H460" s="726" t="s">
        <v>2837</v>
      </c>
      <c r="I460" s="728">
        <v>55245</v>
      </c>
      <c r="J460" s="728">
        <v>2</v>
      </c>
      <c r="K460" s="729">
        <v>110490</v>
      </c>
    </row>
    <row r="461" spans="1:11" ht="14.4" customHeight="1" x14ac:dyDescent="0.3">
      <c r="A461" s="724" t="s">
        <v>552</v>
      </c>
      <c r="B461" s="725" t="s">
        <v>1679</v>
      </c>
      <c r="C461" s="726" t="s">
        <v>572</v>
      </c>
      <c r="D461" s="727" t="s">
        <v>573</v>
      </c>
      <c r="E461" s="726" t="s">
        <v>2954</v>
      </c>
      <c r="F461" s="727" t="s">
        <v>2955</v>
      </c>
      <c r="G461" s="726" t="s">
        <v>2838</v>
      </c>
      <c r="H461" s="726" t="s">
        <v>2839</v>
      </c>
      <c r="I461" s="728">
        <v>3938.1750000000002</v>
      </c>
      <c r="J461" s="728">
        <v>6</v>
      </c>
      <c r="K461" s="729">
        <v>23629.050000000003</v>
      </c>
    </row>
    <row r="462" spans="1:11" ht="14.4" customHeight="1" x14ac:dyDescent="0.3">
      <c r="A462" s="724" t="s">
        <v>552</v>
      </c>
      <c r="B462" s="725" t="s">
        <v>1679</v>
      </c>
      <c r="C462" s="726" t="s">
        <v>572</v>
      </c>
      <c r="D462" s="727" t="s">
        <v>573</v>
      </c>
      <c r="E462" s="726" t="s">
        <v>2954</v>
      </c>
      <c r="F462" s="727" t="s">
        <v>2955</v>
      </c>
      <c r="G462" s="726" t="s">
        <v>2840</v>
      </c>
      <c r="H462" s="726" t="s">
        <v>2841</v>
      </c>
      <c r="I462" s="728">
        <v>3993</v>
      </c>
      <c r="J462" s="728">
        <v>4</v>
      </c>
      <c r="K462" s="729">
        <v>15972</v>
      </c>
    </row>
    <row r="463" spans="1:11" ht="14.4" customHeight="1" x14ac:dyDescent="0.3">
      <c r="A463" s="724" t="s">
        <v>552</v>
      </c>
      <c r="B463" s="725" t="s">
        <v>1679</v>
      </c>
      <c r="C463" s="726" t="s">
        <v>572</v>
      </c>
      <c r="D463" s="727" t="s">
        <v>573</v>
      </c>
      <c r="E463" s="726" t="s">
        <v>2954</v>
      </c>
      <c r="F463" s="727" t="s">
        <v>2955</v>
      </c>
      <c r="G463" s="726" t="s">
        <v>2842</v>
      </c>
      <c r="H463" s="726" t="s">
        <v>2843</v>
      </c>
      <c r="I463" s="728">
        <v>11974.75</v>
      </c>
      <c r="J463" s="728">
        <v>1</v>
      </c>
      <c r="K463" s="729">
        <v>11974.75</v>
      </c>
    </row>
    <row r="464" spans="1:11" ht="14.4" customHeight="1" x14ac:dyDescent="0.3">
      <c r="A464" s="724" t="s">
        <v>552</v>
      </c>
      <c r="B464" s="725" t="s">
        <v>1679</v>
      </c>
      <c r="C464" s="726" t="s">
        <v>572</v>
      </c>
      <c r="D464" s="727" t="s">
        <v>573</v>
      </c>
      <c r="E464" s="726" t="s">
        <v>2954</v>
      </c>
      <c r="F464" s="727" t="s">
        <v>2955</v>
      </c>
      <c r="G464" s="726" t="s">
        <v>2844</v>
      </c>
      <c r="H464" s="726" t="s">
        <v>2845</v>
      </c>
      <c r="I464" s="728">
        <v>3480</v>
      </c>
      <c r="J464" s="728">
        <v>1</v>
      </c>
      <c r="K464" s="729">
        <v>3480</v>
      </c>
    </row>
    <row r="465" spans="1:11" ht="14.4" customHeight="1" x14ac:dyDescent="0.3">
      <c r="A465" s="724" t="s">
        <v>552</v>
      </c>
      <c r="B465" s="725" t="s">
        <v>1679</v>
      </c>
      <c r="C465" s="726" t="s">
        <v>572</v>
      </c>
      <c r="D465" s="727" t="s">
        <v>573</v>
      </c>
      <c r="E465" s="726" t="s">
        <v>2954</v>
      </c>
      <c r="F465" s="727" t="s">
        <v>2955</v>
      </c>
      <c r="G465" s="726" t="s">
        <v>2846</v>
      </c>
      <c r="H465" s="726" t="s">
        <v>2847</v>
      </c>
      <c r="I465" s="728">
        <v>5886.13</v>
      </c>
      <c r="J465" s="728">
        <v>1</v>
      </c>
      <c r="K465" s="729">
        <v>5886.13</v>
      </c>
    </row>
    <row r="466" spans="1:11" ht="14.4" customHeight="1" x14ac:dyDescent="0.3">
      <c r="A466" s="724" t="s">
        <v>552</v>
      </c>
      <c r="B466" s="725" t="s">
        <v>1679</v>
      </c>
      <c r="C466" s="726" t="s">
        <v>572</v>
      </c>
      <c r="D466" s="727" t="s">
        <v>573</v>
      </c>
      <c r="E466" s="726" t="s">
        <v>2962</v>
      </c>
      <c r="F466" s="727" t="s">
        <v>2963</v>
      </c>
      <c r="G466" s="726" t="s">
        <v>2848</v>
      </c>
      <c r="H466" s="726" t="s">
        <v>2849</v>
      </c>
      <c r="I466" s="728">
        <v>28.06</v>
      </c>
      <c r="J466" s="728">
        <v>216</v>
      </c>
      <c r="K466" s="729">
        <v>6060.96</v>
      </c>
    </row>
    <row r="467" spans="1:11" ht="14.4" customHeight="1" x14ac:dyDescent="0.3">
      <c r="A467" s="724" t="s">
        <v>552</v>
      </c>
      <c r="B467" s="725" t="s">
        <v>1679</v>
      </c>
      <c r="C467" s="726" t="s">
        <v>572</v>
      </c>
      <c r="D467" s="727" t="s">
        <v>573</v>
      </c>
      <c r="E467" s="726" t="s">
        <v>2962</v>
      </c>
      <c r="F467" s="727" t="s">
        <v>2963</v>
      </c>
      <c r="G467" s="726" t="s">
        <v>2850</v>
      </c>
      <c r="H467" s="726" t="s">
        <v>2851</v>
      </c>
      <c r="I467" s="728">
        <v>241.53</v>
      </c>
      <c r="J467" s="728">
        <v>72</v>
      </c>
      <c r="K467" s="729">
        <v>17390.489999999998</v>
      </c>
    </row>
    <row r="468" spans="1:11" ht="14.4" customHeight="1" x14ac:dyDescent="0.3">
      <c r="A468" s="724" t="s">
        <v>552</v>
      </c>
      <c r="B468" s="725" t="s">
        <v>1679</v>
      </c>
      <c r="C468" s="726" t="s">
        <v>572</v>
      </c>
      <c r="D468" s="727" t="s">
        <v>573</v>
      </c>
      <c r="E468" s="726" t="s">
        <v>2962</v>
      </c>
      <c r="F468" s="727" t="s">
        <v>2963</v>
      </c>
      <c r="G468" s="726" t="s">
        <v>2852</v>
      </c>
      <c r="H468" s="726" t="s">
        <v>2853</v>
      </c>
      <c r="I468" s="728">
        <v>27.209999999999997</v>
      </c>
      <c r="J468" s="728">
        <v>180</v>
      </c>
      <c r="K468" s="729">
        <v>4897.41</v>
      </c>
    </row>
    <row r="469" spans="1:11" ht="14.4" customHeight="1" x14ac:dyDescent="0.3">
      <c r="A469" s="724" t="s">
        <v>552</v>
      </c>
      <c r="B469" s="725" t="s">
        <v>1679</v>
      </c>
      <c r="C469" s="726" t="s">
        <v>572</v>
      </c>
      <c r="D469" s="727" t="s">
        <v>573</v>
      </c>
      <c r="E469" s="726" t="s">
        <v>2962</v>
      </c>
      <c r="F469" s="727" t="s">
        <v>2963</v>
      </c>
      <c r="G469" s="726" t="s">
        <v>2854</v>
      </c>
      <c r="H469" s="726" t="s">
        <v>2855</v>
      </c>
      <c r="I469" s="728">
        <v>29.7</v>
      </c>
      <c r="J469" s="728">
        <v>180</v>
      </c>
      <c r="K469" s="729">
        <v>5345.37</v>
      </c>
    </row>
    <row r="470" spans="1:11" ht="14.4" customHeight="1" x14ac:dyDescent="0.3">
      <c r="A470" s="724" t="s">
        <v>552</v>
      </c>
      <c r="B470" s="725" t="s">
        <v>1679</v>
      </c>
      <c r="C470" s="726" t="s">
        <v>572</v>
      </c>
      <c r="D470" s="727" t="s">
        <v>573</v>
      </c>
      <c r="E470" s="726" t="s">
        <v>2962</v>
      </c>
      <c r="F470" s="727" t="s">
        <v>2963</v>
      </c>
      <c r="G470" s="726" t="s">
        <v>2856</v>
      </c>
      <c r="H470" s="726" t="s">
        <v>2857</v>
      </c>
      <c r="I470" s="728">
        <v>35.077500000000001</v>
      </c>
      <c r="J470" s="728">
        <v>540</v>
      </c>
      <c r="K470" s="729">
        <v>18940.48</v>
      </c>
    </row>
    <row r="471" spans="1:11" ht="14.4" customHeight="1" x14ac:dyDescent="0.3">
      <c r="A471" s="724" t="s">
        <v>552</v>
      </c>
      <c r="B471" s="725" t="s">
        <v>1679</v>
      </c>
      <c r="C471" s="726" t="s">
        <v>572</v>
      </c>
      <c r="D471" s="727" t="s">
        <v>573</v>
      </c>
      <c r="E471" s="726" t="s">
        <v>2962</v>
      </c>
      <c r="F471" s="727" t="s">
        <v>2963</v>
      </c>
      <c r="G471" s="726" t="s">
        <v>2858</v>
      </c>
      <c r="H471" s="726" t="s">
        <v>2859</v>
      </c>
      <c r="I471" s="728">
        <v>112.41000000000001</v>
      </c>
      <c r="J471" s="728">
        <v>360</v>
      </c>
      <c r="K471" s="729">
        <v>40468.5</v>
      </c>
    </row>
    <row r="472" spans="1:11" ht="14.4" customHeight="1" x14ac:dyDescent="0.3">
      <c r="A472" s="724" t="s">
        <v>552</v>
      </c>
      <c r="B472" s="725" t="s">
        <v>1679</v>
      </c>
      <c r="C472" s="726" t="s">
        <v>572</v>
      </c>
      <c r="D472" s="727" t="s">
        <v>573</v>
      </c>
      <c r="E472" s="726" t="s">
        <v>2962</v>
      </c>
      <c r="F472" s="727" t="s">
        <v>2963</v>
      </c>
      <c r="G472" s="726" t="s">
        <v>2860</v>
      </c>
      <c r="H472" s="726" t="s">
        <v>2861</v>
      </c>
      <c r="I472" s="728">
        <v>403.71</v>
      </c>
      <c r="J472" s="728">
        <v>12</v>
      </c>
      <c r="K472" s="729">
        <v>4844.49</v>
      </c>
    </row>
    <row r="473" spans="1:11" ht="14.4" customHeight="1" x14ac:dyDescent="0.3">
      <c r="A473" s="724" t="s">
        <v>552</v>
      </c>
      <c r="B473" s="725" t="s">
        <v>1679</v>
      </c>
      <c r="C473" s="726" t="s">
        <v>572</v>
      </c>
      <c r="D473" s="727" t="s">
        <v>573</v>
      </c>
      <c r="E473" s="726" t="s">
        <v>2962</v>
      </c>
      <c r="F473" s="727" t="s">
        <v>2963</v>
      </c>
      <c r="G473" s="726" t="s">
        <v>2862</v>
      </c>
      <c r="H473" s="726" t="s">
        <v>2863</v>
      </c>
      <c r="I473" s="728">
        <v>402.5</v>
      </c>
      <c r="J473" s="728">
        <v>132</v>
      </c>
      <c r="K473" s="729">
        <v>53130</v>
      </c>
    </row>
    <row r="474" spans="1:11" ht="14.4" customHeight="1" x14ac:dyDescent="0.3">
      <c r="A474" s="724" t="s">
        <v>552</v>
      </c>
      <c r="B474" s="725" t="s">
        <v>1679</v>
      </c>
      <c r="C474" s="726" t="s">
        <v>572</v>
      </c>
      <c r="D474" s="727" t="s">
        <v>573</v>
      </c>
      <c r="E474" s="726" t="s">
        <v>2962</v>
      </c>
      <c r="F474" s="727" t="s">
        <v>2963</v>
      </c>
      <c r="G474" s="726" t="s">
        <v>2864</v>
      </c>
      <c r="H474" s="726" t="s">
        <v>2865</v>
      </c>
      <c r="I474" s="728">
        <v>112.41000000000001</v>
      </c>
      <c r="J474" s="728">
        <v>180</v>
      </c>
      <c r="K474" s="729">
        <v>20234.25</v>
      </c>
    </row>
    <row r="475" spans="1:11" ht="14.4" customHeight="1" x14ac:dyDescent="0.3">
      <c r="A475" s="724" t="s">
        <v>552</v>
      </c>
      <c r="B475" s="725" t="s">
        <v>1679</v>
      </c>
      <c r="C475" s="726" t="s">
        <v>572</v>
      </c>
      <c r="D475" s="727" t="s">
        <v>573</v>
      </c>
      <c r="E475" s="726" t="s">
        <v>2962</v>
      </c>
      <c r="F475" s="727" t="s">
        <v>2963</v>
      </c>
      <c r="G475" s="726" t="s">
        <v>2866</v>
      </c>
      <c r="H475" s="726" t="s">
        <v>2867</v>
      </c>
      <c r="I475" s="728">
        <v>130.97999999999999</v>
      </c>
      <c r="J475" s="728">
        <v>48</v>
      </c>
      <c r="K475" s="729">
        <v>6287.28</v>
      </c>
    </row>
    <row r="476" spans="1:11" ht="14.4" customHeight="1" x14ac:dyDescent="0.3">
      <c r="A476" s="724" t="s">
        <v>552</v>
      </c>
      <c r="B476" s="725" t="s">
        <v>1679</v>
      </c>
      <c r="C476" s="726" t="s">
        <v>572</v>
      </c>
      <c r="D476" s="727" t="s">
        <v>573</v>
      </c>
      <c r="E476" s="726" t="s">
        <v>2948</v>
      </c>
      <c r="F476" s="727" t="s">
        <v>2949</v>
      </c>
      <c r="G476" s="726" t="s">
        <v>2868</v>
      </c>
      <c r="H476" s="726" t="s">
        <v>2869</v>
      </c>
      <c r="I476" s="728">
        <v>10.969999999999999</v>
      </c>
      <c r="J476" s="728">
        <v>200</v>
      </c>
      <c r="K476" s="729">
        <v>2194.8000000000002</v>
      </c>
    </row>
    <row r="477" spans="1:11" ht="14.4" customHeight="1" x14ac:dyDescent="0.3">
      <c r="A477" s="724" t="s">
        <v>552</v>
      </c>
      <c r="B477" s="725" t="s">
        <v>1679</v>
      </c>
      <c r="C477" s="726" t="s">
        <v>572</v>
      </c>
      <c r="D477" s="727" t="s">
        <v>573</v>
      </c>
      <c r="E477" s="726" t="s">
        <v>2948</v>
      </c>
      <c r="F477" s="727" t="s">
        <v>2949</v>
      </c>
      <c r="G477" s="726" t="s">
        <v>2870</v>
      </c>
      <c r="H477" s="726" t="s">
        <v>2871</v>
      </c>
      <c r="I477" s="728">
        <v>11.543333333333331</v>
      </c>
      <c r="J477" s="728">
        <v>150</v>
      </c>
      <c r="K477" s="729">
        <v>1731.6799999999998</v>
      </c>
    </row>
    <row r="478" spans="1:11" ht="14.4" customHeight="1" x14ac:dyDescent="0.3">
      <c r="A478" s="724" t="s">
        <v>552</v>
      </c>
      <c r="B478" s="725" t="s">
        <v>1679</v>
      </c>
      <c r="C478" s="726" t="s">
        <v>572</v>
      </c>
      <c r="D478" s="727" t="s">
        <v>573</v>
      </c>
      <c r="E478" s="726" t="s">
        <v>2948</v>
      </c>
      <c r="F478" s="727" t="s">
        <v>2949</v>
      </c>
      <c r="G478" s="726" t="s">
        <v>2872</v>
      </c>
      <c r="H478" s="726" t="s">
        <v>2873</v>
      </c>
      <c r="I478" s="728">
        <v>11.543333333333331</v>
      </c>
      <c r="J478" s="728">
        <v>150</v>
      </c>
      <c r="K478" s="729">
        <v>1731.6799999999998</v>
      </c>
    </row>
    <row r="479" spans="1:11" ht="14.4" customHeight="1" x14ac:dyDescent="0.3">
      <c r="A479" s="724" t="s">
        <v>552</v>
      </c>
      <c r="B479" s="725" t="s">
        <v>1679</v>
      </c>
      <c r="C479" s="726" t="s">
        <v>572</v>
      </c>
      <c r="D479" s="727" t="s">
        <v>573</v>
      </c>
      <c r="E479" s="726" t="s">
        <v>2948</v>
      </c>
      <c r="F479" s="727" t="s">
        <v>2949</v>
      </c>
      <c r="G479" s="726" t="s">
        <v>2874</v>
      </c>
      <c r="H479" s="726" t="s">
        <v>2875</v>
      </c>
      <c r="I479" s="728">
        <v>11.56</v>
      </c>
      <c r="J479" s="728">
        <v>150</v>
      </c>
      <c r="K479" s="729">
        <v>1733.87</v>
      </c>
    </row>
    <row r="480" spans="1:11" ht="14.4" customHeight="1" x14ac:dyDescent="0.3">
      <c r="A480" s="724" t="s">
        <v>552</v>
      </c>
      <c r="B480" s="725" t="s">
        <v>1679</v>
      </c>
      <c r="C480" s="726" t="s">
        <v>572</v>
      </c>
      <c r="D480" s="727" t="s">
        <v>573</v>
      </c>
      <c r="E480" s="726" t="s">
        <v>2948</v>
      </c>
      <c r="F480" s="727" t="s">
        <v>2949</v>
      </c>
      <c r="G480" s="726" t="s">
        <v>2196</v>
      </c>
      <c r="H480" s="726" t="s">
        <v>2197</v>
      </c>
      <c r="I480" s="728">
        <v>0.54</v>
      </c>
      <c r="J480" s="728">
        <v>400</v>
      </c>
      <c r="K480" s="729">
        <v>216</v>
      </c>
    </row>
    <row r="481" spans="1:11" ht="14.4" customHeight="1" x14ac:dyDescent="0.3">
      <c r="A481" s="724" t="s">
        <v>552</v>
      </c>
      <c r="B481" s="725" t="s">
        <v>1679</v>
      </c>
      <c r="C481" s="726" t="s">
        <v>572</v>
      </c>
      <c r="D481" s="727" t="s">
        <v>573</v>
      </c>
      <c r="E481" s="726" t="s">
        <v>2948</v>
      </c>
      <c r="F481" s="727" t="s">
        <v>2949</v>
      </c>
      <c r="G481" s="726" t="s">
        <v>2876</v>
      </c>
      <c r="H481" s="726" t="s">
        <v>2877</v>
      </c>
      <c r="I481" s="728">
        <v>11.550000000000002</v>
      </c>
      <c r="J481" s="728">
        <v>450</v>
      </c>
      <c r="K481" s="729">
        <v>5197.42</v>
      </c>
    </row>
    <row r="482" spans="1:11" ht="14.4" customHeight="1" x14ac:dyDescent="0.3">
      <c r="A482" s="724" t="s">
        <v>552</v>
      </c>
      <c r="B482" s="725" t="s">
        <v>1679</v>
      </c>
      <c r="C482" s="726" t="s">
        <v>572</v>
      </c>
      <c r="D482" s="727" t="s">
        <v>573</v>
      </c>
      <c r="E482" s="726" t="s">
        <v>2950</v>
      </c>
      <c r="F482" s="727" t="s">
        <v>2951</v>
      </c>
      <c r="G482" s="726" t="s">
        <v>2878</v>
      </c>
      <c r="H482" s="726" t="s">
        <v>2879</v>
      </c>
      <c r="I482" s="728">
        <v>9.23</v>
      </c>
      <c r="J482" s="728">
        <v>320</v>
      </c>
      <c r="K482" s="729">
        <v>3059.85</v>
      </c>
    </row>
    <row r="483" spans="1:11" ht="14.4" customHeight="1" x14ac:dyDescent="0.3">
      <c r="A483" s="724" t="s">
        <v>552</v>
      </c>
      <c r="B483" s="725" t="s">
        <v>1679</v>
      </c>
      <c r="C483" s="726" t="s">
        <v>572</v>
      </c>
      <c r="D483" s="727" t="s">
        <v>573</v>
      </c>
      <c r="E483" s="726" t="s">
        <v>2950</v>
      </c>
      <c r="F483" s="727" t="s">
        <v>2951</v>
      </c>
      <c r="G483" s="726" t="s">
        <v>2412</v>
      </c>
      <c r="H483" s="726" t="s">
        <v>2413</v>
      </c>
      <c r="I483" s="728">
        <v>14.185</v>
      </c>
      <c r="J483" s="728">
        <v>150</v>
      </c>
      <c r="K483" s="729">
        <v>2229.1</v>
      </c>
    </row>
    <row r="484" spans="1:11" ht="14.4" customHeight="1" x14ac:dyDescent="0.3">
      <c r="A484" s="724" t="s">
        <v>552</v>
      </c>
      <c r="B484" s="725" t="s">
        <v>1679</v>
      </c>
      <c r="C484" s="726" t="s">
        <v>572</v>
      </c>
      <c r="D484" s="727" t="s">
        <v>573</v>
      </c>
      <c r="E484" s="726" t="s">
        <v>2950</v>
      </c>
      <c r="F484" s="727" t="s">
        <v>2951</v>
      </c>
      <c r="G484" s="726" t="s">
        <v>2880</v>
      </c>
      <c r="H484" s="726" t="s">
        <v>2881</v>
      </c>
      <c r="I484" s="728">
        <v>7.5</v>
      </c>
      <c r="J484" s="728">
        <v>200</v>
      </c>
      <c r="K484" s="729">
        <v>1499.1</v>
      </c>
    </row>
    <row r="485" spans="1:11" ht="14.4" customHeight="1" x14ac:dyDescent="0.3">
      <c r="A485" s="724" t="s">
        <v>552</v>
      </c>
      <c r="B485" s="725" t="s">
        <v>1679</v>
      </c>
      <c r="C485" s="726" t="s">
        <v>572</v>
      </c>
      <c r="D485" s="727" t="s">
        <v>573</v>
      </c>
      <c r="E485" s="726" t="s">
        <v>2950</v>
      </c>
      <c r="F485" s="727" t="s">
        <v>2951</v>
      </c>
      <c r="G485" s="726" t="s">
        <v>2882</v>
      </c>
      <c r="H485" s="726" t="s">
        <v>2883</v>
      </c>
      <c r="I485" s="728">
        <v>7.5049999999999999</v>
      </c>
      <c r="J485" s="728">
        <v>400</v>
      </c>
      <c r="K485" s="729">
        <v>3002</v>
      </c>
    </row>
    <row r="486" spans="1:11" ht="14.4" customHeight="1" x14ac:dyDescent="0.3">
      <c r="A486" s="724" t="s">
        <v>552</v>
      </c>
      <c r="B486" s="725" t="s">
        <v>1679</v>
      </c>
      <c r="C486" s="726" t="s">
        <v>572</v>
      </c>
      <c r="D486" s="727" t="s">
        <v>573</v>
      </c>
      <c r="E486" s="726" t="s">
        <v>2950</v>
      </c>
      <c r="F486" s="727" t="s">
        <v>2951</v>
      </c>
      <c r="G486" s="726" t="s">
        <v>2884</v>
      </c>
      <c r="H486" s="726" t="s">
        <v>2885</v>
      </c>
      <c r="I486" s="728">
        <v>7.5</v>
      </c>
      <c r="J486" s="728">
        <v>600</v>
      </c>
      <c r="K486" s="729">
        <v>4500</v>
      </c>
    </row>
    <row r="487" spans="1:11" ht="14.4" customHeight="1" x14ac:dyDescent="0.3">
      <c r="A487" s="724" t="s">
        <v>552</v>
      </c>
      <c r="B487" s="725" t="s">
        <v>1679</v>
      </c>
      <c r="C487" s="726" t="s">
        <v>572</v>
      </c>
      <c r="D487" s="727" t="s">
        <v>573</v>
      </c>
      <c r="E487" s="726" t="s">
        <v>2950</v>
      </c>
      <c r="F487" s="727" t="s">
        <v>2951</v>
      </c>
      <c r="G487" s="726" t="s">
        <v>2414</v>
      </c>
      <c r="H487" s="726" t="s">
        <v>2415</v>
      </c>
      <c r="I487" s="728">
        <v>16.21</v>
      </c>
      <c r="J487" s="728">
        <v>100</v>
      </c>
      <c r="K487" s="729">
        <v>1621.4</v>
      </c>
    </row>
    <row r="488" spans="1:11" ht="14.4" customHeight="1" x14ac:dyDescent="0.3">
      <c r="A488" s="724" t="s">
        <v>552</v>
      </c>
      <c r="B488" s="725" t="s">
        <v>1679</v>
      </c>
      <c r="C488" s="726" t="s">
        <v>572</v>
      </c>
      <c r="D488" s="727" t="s">
        <v>573</v>
      </c>
      <c r="E488" s="726" t="s">
        <v>2950</v>
      </c>
      <c r="F488" s="727" t="s">
        <v>2951</v>
      </c>
      <c r="G488" s="726" t="s">
        <v>2886</v>
      </c>
      <c r="H488" s="726" t="s">
        <v>2887</v>
      </c>
      <c r="I488" s="728">
        <v>9.67</v>
      </c>
      <c r="J488" s="728">
        <v>400</v>
      </c>
      <c r="K488" s="729">
        <v>3903.94</v>
      </c>
    </row>
    <row r="489" spans="1:11" ht="14.4" customHeight="1" x14ac:dyDescent="0.3">
      <c r="A489" s="724" t="s">
        <v>552</v>
      </c>
      <c r="B489" s="725" t="s">
        <v>1679</v>
      </c>
      <c r="C489" s="726" t="s">
        <v>572</v>
      </c>
      <c r="D489" s="727" t="s">
        <v>573</v>
      </c>
      <c r="E489" s="726" t="s">
        <v>2950</v>
      </c>
      <c r="F489" s="727" t="s">
        <v>2951</v>
      </c>
      <c r="G489" s="726" t="s">
        <v>2888</v>
      </c>
      <c r="H489" s="726" t="s">
        <v>2889</v>
      </c>
      <c r="I489" s="728">
        <v>9.89</v>
      </c>
      <c r="J489" s="728">
        <v>840</v>
      </c>
      <c r="K489" s="729">
        <v>8229.99</v>
      </c>
    </row>
    <row r="490" spans="1:11" ht="14.4" customHeight="1" x14ac:dyDescent="0.3">
      <c r="A490" s="724" t="s">
        <v>552</v>
      </c>
      <c r="B490" s="725" t="s">
        <v>1679</v>
      </c>
      <c r="C490" s="726" t="s">
        <v>572</v>
      </c>
      <c r="D490" s="727" t="s">
        <v>573</v>
      </c>
      <c r="E490" s="726" t="s">
        <v>2950</v>
      </c>
      <c r="F490" s="727" t="s">
        <v>2951</v>
      </c>
      <c r="G490" s="726" t="s">
        <v>2200</v>
      </c>
      <c r="H490" s="726" t="s">
        <v>2201</v>
      </c>
      <c r="I490" s="728">
        <v>0.69</v>
      </c>
      <c r="J490" s="728">
        <v>6600</v>
      </c>
      <c r="K490" s="729">
        <v>4554</v>
      </c>
    </row>
    <row r="491" spans="1:11" ht="14.4" customHeight="1" x14ac:dyDescent="0.3">
      <c r="A491" s="724" t="s">
        <v>552</v>
      </c>
      <c r="B491" s="725" t="s">
        <v>1679</v>
      </c>
      <c r="C491" s="726" t="s">
        <v>572</v>
      </c>
      <c r="D491" s="727" t="s">
        <v>573</v>
      </c>
      <c r="E491" s="726" t="s">
        <v>2950</v>
      </c>
      <c r="F491" s="727" t="s">
        <v>2951</v>
      </c>
      <c r="G491" s="726" t="s">
        <v>2202</v>
      </c>
      <c r="H491" s="726" t="s">
        <v>2203</v>
      </c>
      <c r="I491" s="728">
        <v>0.69</v>
      </c>
      <c r="J491" s="728">
        <v>6000</v>
      </c>
      <c r="K491" s="729">
        <v>4140</v>
      </c>
    </row>
    <row r="492" spans="1:11" ht="14.4" customHeight="1" x14ac:dyDescent="0.3">
      <c r="A492" s="724" t="s">
        <v>552</v>
      </c>
      <c r="B492" s="725" t="s">
        <v>1679</v>
      </c>
      <c r="C492" s="726" t="s">
        <v>572</v>
      </c>
      <c r="D492" s="727" t="s">
        <v>573</v>
      </c>
      <c r="E492" s="726" t="s">
        <v>2950</v>
      </c>
      <c r="F492" s="727" t="s">
        <v>2951</v>
      </c>
      <c r="G492" s="726" t="s">
        <v>2890</v>
      </c>
      <c r="H492" s="726" t="s">
        <v>2891</v>
      </c>
      <c r="I492" s="728">
        <v>12.420000000000002</v>
      </c>
      <c r="J492" s="728">
        <v>340</v>
      </c>
      <c r="K492" s="729">
        <v>4227.3999999999996</v>
      </c>
    </row>
    <row r="493" spans="1:11" ht="14.4" customHeight="1" x14ac:dyDescent="0.3">
      <c r="A493" s="724" t="s">
        <v>552</v>
      </c>
      <c r="B493" s="725" t="s">
        <v>1679</v>
      </c>
      <c r="C493" s="726" t="s">
        <v>572</v>
      </c>
      <c r="D493" s="727" t="s">
        <v>573</v>
      </c>
      <c r="E493" s="726" t="s">
        <v>2950</v>
      </c>
      <c r="F493" s="727" t="s">
        <v>2951</v>
      </c>
      <c r="G493" s="726" t="s">
        <v>2892</v>
      </c>
      <c r="H493" s="726" t="s">
        <v>2893</v>
      </c>
      <c r="I493" s="728">
        <v>12.583333333333334</v>
      </c>
      <c r="J493" s="728">
        <v>250</v>
      </c>
      <c r="K493" s="729">
        <v>3146</v>
      </c>
    </row>
    <row r="494" spans="1:11" ht="14.4" customHeight="1" x14ac:dyDescent="0.3">
      <c r="A494" s="724" t="s">
        <v>552</v>
      </c>
      <c r="B494" s="725" t="s">
        <v>1679</v>
      </c>
      <c r="C494" s="726" t="s">
        <v>572</v>
      </c>
      <c r="D494" s="727" t="s">
        <v>573</v>
      </c>
      <c r="E494" s="726" t="s">
        <v>2950</v>
      </c>
      <c r="F494" s="727" t="s">
        <v>2951</v>
      </c>
      <c r="G494" s="726" t="s">
        <v>2894</v>
      </c>
      <c r="H494" s="726" t="s">
        <v>2895</v>
      </c>
      <c r="I494" s="728">
        <v>11.01</v>
      </c>
      <c r="J494" s="728">
        <v>100</v>
      </c>
      <c r="K494" s="729">
        <v>1101.0999999999999</v>
      </c>
    </row>
    <row r="495" spans="1:11" ht="14.4" customHeight="1" x14ac:dyDescent="0.3">
      <c r="A495" s="724" t="s">
        <v>552</v>
      </c>
      <c r="B495" s="725" t="s">
        <v>1679</v>
      </c>
      <c r="C495" s="726" t="s">
        <v>572</v>
      </c>
      <c r="D495" s="727" t="s">
        <v>573</v>
      </c>
      <c r="E495" s="726" t="s">
        <v>2950</v>
      </c>
      <c r="F495" s="727" t="s">
        <v>2951</v>
      </c>
      <c r="G495" s="726" t="s">
        <v>2896</v>
      </c>
      <c r="H495" s="726" t="s">
        <v>2897</v>
      </c>
      <c r="I495" s="728">
        <v>6.24</v>
      </c>
      <c r="J495" s="728">
        <v>70</v>
      </c>
      <c r="K495" s="729">
        <v>436.8</v>
      </c>
    </row>
    <row r="496" spans="1:11" ht="14.4" customHeight="1" x14ac:dyDescent="0.3">
      <c r="A496" s="724" t="s">
        <v>552</v>
      </c>
      <c r="B496" s="725" t="s">
        <v>1679</v>
      </c>
      <c r="C496" s="726" t="s">
        <v>572</v>
      </c>
      <c r="D496" s="727" t="s">
        <v>573</v>
      </c>
      <c r="E496" s="726" t="s">
        <v>2950</v>
      </c>
      <c r="F496" s="727" t="s">
        <v>2951</v>
      </c>
      <c r="G496" s="726" t="s">
        <v>2898</v>
      </c>
      <c r="H496" s="726" t="s">
        <v>2899</v>
      </c>
      <c r="I496" s="728">
        <v>6.24</v>
      </c>
      <c r="J496" s="728">
        <v>150</v>
      </c>
      <c r="K496" s="729">
        <v>936</v>
      </c>
    </row>
    <row r="497" spans="1:11" ht="14.4" customHeight="1" x14ac:dyDescent="0.3">
      <c r="A497" s="724" t="s">
        <v>552</v>
      </c>
      <c r="B497" s="725" t="s">
        <v>1679</v>
      </c>
      <c r="C497" s="726" t="s">
        <v>572</v>
      </c>
      <c r="D497" s="727" t="s">
        <v>573</v>
      </c>
      <c r="E497" s="726" t="s">
        <v>2950</v>
      </c>
      <c r="F497" s="727" t="s">
        <v>2951</v>
      </c>
      <c r="G497" s="726" t="s">
        <v>2900</v>
      </c>
      <c r="H497" s="726" t="s">
        <v>2901</v>
      </c>
      <c r="I497" s="728">
        <v>6.24</v>
      </c>
      <c r="J497" s="728">
        <v>80</v>
      </c>
      <c r="K497" s="729">
        <v>499.2</v>
      </c>
    </row>
    <row r="498" spans="1:11" ht="14.4" customHeight="1" x14ac:dyDescent="0.3">
      <c r="A498" s="724" t="s">
        <v>552</v>
      </c>
      <c r="B498" s="725" t="s">
        <v>1679</v>
      </c>
      <c r="C498" s="726" t="s">
        <v>572</v>
      </c>
      <c r="D498" s="727" t="s">
        <v>573</v>
      </c>
      <c r="E498" s="726" t="s">
        <v>2964</v>
      </c>
      <c r="F498" s="727" t="s">
        <v>2965</v>
      </c>
      <c r="G498" s="726" t="s">
        <v>2902</v>
      </c>
      <c r="H498" s="726" t="s">
        <v>2903</v>
      </c>
      <c r="I498" s="728">
        <v>0.01</v>
      </c>
      <c r="J498" s="728">
        <v>2</v>
      </c>
      <c r="K498" s="729">
        <v>0.02</v>
      </c>
    </row>
    <row r="499" spans="1:11" ht="14.4" customHeight="1" x14ac:dyDescent="0.3">
      <c r="A499" s="724" t="s">
        <v>552</v>
      </c>
      <c r="B499" s="725" t="s">
        <v>1679</v>
      </c>
      <c r="C499" s="726" t="s">
        <v>572</v>
      </c>
      <c r="D499" s="727" t="s">
        <v>573</v>
      </c>
      <c r="E499" s="726" t="s">
        <v>2964</v>
      </c>
      <c r="F499" s="727" t="s">
        <v>2965</v>
      </c>
      <c r="G499" s="726" t="s">
        <v>2904</v>
      </c>
      <c r="H499" s="726" t="s">
        <v>2905</v>
      </c>
      <c r="I499" s="728">
        <v>0.01</v>
      </c>
      <c r="J499" s="728">
        <v>2</v>
      </c>
      <c r="K499" s="729">
        <v>0.02</v>
      </c>
    </row>
    <row r="500" spans="1:11" ht="14.4" customHeight="1" x14ac:dyDescent="0.3">
      <c r="A500" s="724" t="s">
        <v>552</v>
      </c>
      <c r="B500" s="725" t="s">
        <v>1679</v>
      </c>
      <c r="C500" s="726" t="s">
        <v>572</v>
      </c>
      <c r="D500" s="727" t="s">
        <v>573</v>
      </c>
      <c r="E500" s="726" t="s">
        <v>2964</v>
      </c>
      <c r="F500" s="727" t="s">
        <v>2965</v>
      </c>
      <c r="G500" s="726" t="s">
        <v>2906</v>
      </c>
      <c r="H500" s="726" t="s">
        <v>2907</v>
      </c>
      <c r="I500" s="728">
        <v>0.01</v>
      </c>
      <c r="J500" s="728">
        <v>2</v>
      </c>
      <c r="K500" s="729">
        <v>0.02</v>
      </c>
    </row>
    <row r="501" spans="1:11" ht="14.4" customHeight="1" x14ac:dyDescent="0.3">
      <c r="A501" s="724" t="s">
        <v>552</v>
      </c>
      <c r="B501" s="725" t="s">
        <v>1679</v>
      </c>
      <c r="C501" s="726" t="s">
        <v>572</v>
      </c>
      <c r="D501" s="727" t="s">
        <v>573</v>
      </c>
      <c r="E501" s="726" t="s">
        <v>2964</v>
      </c>
      <c r="F501" s="727" t="s">
        <v>2965</v>
      </c>
      <c r="G501" s="726" t="s">
        <v>2908</v>
      </c>
      <c r="H501" s="726" t="s">
        <v>2909</v>
      </c>
      <c r="I501" s="728">
        <v>59683.83</v>
      </c>
      <c r="J501" s="728">
        <v>4</v>
      </c>
      <c r="K501" s="729">
        <v>238735.33</v>
      </c>
    </row>
    <row r="502" spans="1:11" ht="14.4" customHeight="1" x14ac:dyDescent="0.3">
      <c r="A502" s="724" t="s">
        <v>552</v>
      </c>
      <c r="B502" s="725" t="s">
        <v>1679</v>
      </c>
      <c r="C502" s="726" t="s">
        <v>572</v>
      </c>
      <c r="D502" s="727" t="s">
        <v>573</v>
      </c>
      <c r="E502" s="726" t="s">
        <v>2964</v>
      </c>
      <c r="F502" s="727" t="s">
        <v>2965</v>
      </c>
      <c r="G502" s="726" t="s">
        <v>2910</v>
      </c>
      <c r="H502" s="726" t="s">
        <v>2911</v>
      </c>
      <c r="I502" s="728">
        <v>0.01</v>
      </c>
      <c r="J502" s="728">
        <v>2</v>
      </c>
      <c r="K502" s="729">
        <v>0.02</v>
      </c>
    </row>
    <row r="503" spans="1:11" ht="14.4" customHeight="1" x14ac:dyDescent="0.3">
      <c r="A503" s="724" t="s">
        <v>552</v>
      </c>
      <c r="B503" s="725" t="s">
        <v>1679</v>
      </c>
      <c r="C503" s="726" t="s">
        <v>572</v>
      </c>
      <c r="D503" s="727" t="s">
        <v>573</v>
      </c>
      <c r="E503" s="726" t="s">
        <v>2964</v>
      </c>
      <c r="F503" s="727" t="s">
        <v>2965</v>
      </c>
      <c r="G503" s="726" t="s">
        <v>2912</v>
      </c>
      <c r="H503" s="726" t="s">
        <v>2913</v>
      </c>
      <c r="I503" s="728">
        <v>0.01</v>
      </c>
      <c r="J503" s="728">
        <v>4</v>
      </c>
      <c r="K503" s="729">
        <v>0.04</v>
      </c>
    </row>
    <row r="504" spans="1:11" ht="14.4" customHeight="1" x14ac:dyDescent="0.3">
      <c r="A504" s="724" t="s">
        <v>552</v>
      </c>
      <c r="B504" s="725" t="s">
        <v>1679</v>
      </c>
      <c r="C504" s="726" t="s">
        <v>572</v>
      </c>
      <c r="D504" s="727" t="s">
        <v>573</v>
      </c>
      <c r="E504" s="726" t="s">
        <v>2964</v>
      </c>
      <c r="F504" s="727" t="s">
        <v>2965</v>
      </c>
      <c r="G504" s="726" t="s">
        <v>2914</v>
      </c>
      <c r="H504" s="726" t="s">
        <v>2915</v>
      </c>
      <c r="I504" s="728">
        <v>26544.3</v>
      </c>
      <c r="J504" s="728">
        <v>2</v>
      </c>
      <c r="K504" s="729">
        <v>53088.6</v>
      </c>
    </row>
    <row r="505" spans="1:11" ht="14.4" customHeight="1" x14ac:dyDescent="0.3">
      <c r="A505" s="724" t="s">
        <v>552</v>
      </c>
      <c r="B505" s="725" t="s">
        <v>1679</v>
      </c>
      <c r="C505" s="726" t="s">
        <v>572</v>
      </c>
      <c r="D505" s="727" t="s">
        <v>573</v>
      </c>
      <c r="E505" s="726" t="s">
        <v>2964</v>
      </c>
      <c r="F505" s="727" t="s">
        <v>2965</v>
      </c>
      <c r="G505" s="726" t="s">
        <v>2916</v>
      </c>
      <c r="H505" s="726" t="s">
        <v>2917</v>
      </c>
      <c r="I505" s="728">
        <v>313539.53000000003</v>
      </c>
      <c r="J505" s="728">
        <v>2</v>
      </c>
      <c r="K505" s="729">
        <v>627079.06000000006</v>
      </c>
    </row>
    <row r="506" spans="1:11" ht="14.4" customHeight="1" x14ac:dyDescent="0.3">
      <c r="A506" s="724" t="s">
        <v>552</v>
      </c>
      <c r="B506" s="725" t="s">
        <v>1679</v>
      </c>
      <c r="C506" s="726" t="s">
        <v>572</v>
      </c>
      <c r="D506" s="727" t="s">
        <v>573</v>
      </c>
      <c r="E506" s="726" t="s">
        <v>2964</v>
      </c>
      <c r="F506" s="727" t="s">
        <v>2965</v>
      </c>
      <c r="G506" s="726" t="s">
        <v>2918</v>
      </c>
      <c r="H506" s="726" t="s">
        <v>2919</v>
      </c>
      <c r="I506" s="728">
        <v>0.01</v>
      </c>
      <c r="J506" s="728">
        <v>1</v>
      </c>
      <c r="K506" s="729">
        <v>0.01</v>
      </c>
    </row>
    <row r="507" spans="1:11" ht="14.4" customHeight="1" x14ac:dyDescent="0.3">
      <c r="A507" s="724" t="s">
        <v>552</v>
      </c>
      <c r="B507" s="725" t="s">
        <v>1679</v>
      </c>
      <c r="C507" s="726" t="s">
        <v>572</v>
      </c>
      <c r="D507" s="727" t="s">
        <v>573</v>
      </c>
      <c r="E507" s="726" t="s">
        <v>2966</v>
      </c>
      <c r="F507" s="727" t="s">
        <v>2967</v>
      </c>
      <c r="G507" s="726" t="s">
        <v>2920</v>
      </c>
      <c r="H507" s="726" t="s">
        <v>2921</v>
      </c>
      <c r="I507" s="728">
        <v>5043.8</v>
      </c>
      <c r="J507" s="728">
        <v>3</v>
      </c>
      <c r="K507" s="729">
        <v>15131.39</v>
      </c>
    </row>
    <row r="508" spans="1:11" ht="14.4" customHeight="1" x14ac:dyDescent="0.3">
      <c r="A508" s="724" t="s">
        <v>552</v>
      </c>
      <c r="B508" s="725" t="s">
        <v>1679</v>
      </c>
      <c r="C508" s="726" t="s">
        <v>572</v>
      </c>
      <c r="D508" s="727" t="s">
        <v>573</v>
      </c>
      <c r="E508" s="726" t="s">
        <v>2966</v>
      </c>
      <c r="F508" s="727" t="s">
        <v>2967</v>
      </c>
      <c r="G508" s="726" t="s">
        <v>2922</v>
      </c>
      <c r="H508" s="726" t="s">
        <v>2923</v>
      </c>
      <c r="I508" s="728">
        <v>64.8</v>
      </c>
      <c r="J508" s="728">
        <v>240</v>
      </c>
      <c r="K508" s="729">
        <v>15552.6</v>
      </c>
    </row>
    <row r="509" spans="1:11" ht="14.4" customHeight="1" x14ac:dyDescent="0.3">
      <c r="A509" s="724" t="s">
        <v>552</v>
      </c>
      <c r="B509" s="725" t="s">
        <v>1679</v>
      </c>
      <c r="C509" s="726" t="s">
        <v>572</v>
      </c>
      <c r="D509" s="727" t="s">
        <v>573</v>
      </c>
      <c r="E509" s="726" t="s">
        <v>2966</v>
      </c>
      <c r="F509" s="727" t="s">
        <v>2967</v>
      </c>
      <c r="G509" s="726" t="s">
        <v>2924</v>
      </c>
      <c r="H509" s="726" t="s">
        <v>2925</v>
      </c>
      <c r="I509" s="728">
        <v>13317</v>
      </c>
      <c r="J509" s="728">
        <v>5</v>
      </c>
      <c r="K509" s="729">
        <v>66585</v>
      </c>
    </row>
    <row r="510" spans="1:11" ht="14.4" customHeight="1" x14ac:dyDescent="0.3">
      <c r="A510" s="724" t="s">
        <v>552</v>
      </c>
      <c r="B510" s="725" t="s">
        <v>1679</v>
      </c>
      <c r="C510" s="726" t="s">
        <v>572</v>
      </c>
      <c r="D510" s="727" t="s">
        <v>573</v>
      </c>
      <c r="E510" s="726" t="s">
        <v>2966</v>
      </c>
      <c r="F510" s="727" t="s">
        <v>2967</v>
      </c>
      <c r="G510" s="726" t="s">
        <v>2926</v>
      </c>
      <c r="H510" s="726" t="s">
        <v>2927</v>
      </c>
      <c r="I510" s="728">
        <v>9592.2000000000007</v>
      </c>
      <c r="J510" s="728">
        <v>3</v>
      </c>
      <c r="K510" s="729">
        <v>28776.600000000002</v>
      </c>
    </row>
    <row r="511" spans="1:11" ht="14.4" customHeight="1" x14ac:dyDescent="0.3">
      <c r="A511" s="724" t="s">
        <v>552</v>
      </c>
      <c r="B511" s="725" t="s">
        <v>1679</v>
      </c>
      <c r="C511" s="726" t="s">
        <v>572</v>
      </c>
      <c r="D511" s="727" t="s">
        <v>573</v>
      </c>
      <c r="E511" s="726" t="s">
        <v>2966</v>
      </c>
      <c r="F511" s="727" t="s">
        <v>2967</v>
      </c>
      <c r="G511" s="726" t="s">
        <v>2928</v>
      </c>
      <c r="H511" s="726" t="s">
        <v>2929</v>
      </c>
      <c r="I511" s="728">
        <v>2360.46</v>
      </c>
      <c r="J511" s="728">
        <v>4</v>
      </c>
      <c r="K511" s="729">
        <v>9441.85</v>
      </c>
    </row>
    <row r="512" spans="1:11" ht="14.4" customHeight="1" x14ac:dyDescent="0.3">
      <c r="A512" s="724" t="s">
        <v>552</v>
      </c>
      <c r="B512" s="725" t="s">
        <v>1679</v>
      </c>
      <c r="C512" s="726" t="s">
        <v>572</v>
      </c>
      <c r="D512" s="727" t="s">
        <v>573</v>
      </c>
      <c r="E512" s="726" t="s">
        <v>2966</v>
      </c>
      <c r="F512" s="727" t="s">
        <v>2967</v>
      </c>
      <c r="G512" s="726" t="s">
        <v>2930</v>
      </c>
      <c r="H512" s="726" t="s">
        <v>2931</v>
      </c>
      <c r="I512" s="728">
        <v>9232.7920000000013</v>
      </c>
      <c r="J512" s="728">
        <v>12</v>
      </c>
      <c r="K512" s="729">
        <v>110720.77000000002</v>
      </c>
    </row>
    <row r="513" spans="1:11" ht="14.4" customHeight="1" x14ac:dyDescent="0.3">
      <c r="A513" s="724" t="s">
        <v>552</v>
      </c>
      <c r="B513" s="725" t="s">
        <v>1679</v>
      </c>
      <c r="C513" s="726" t="s">
        <v>572</v>
      </c>
      <c r="D513" s="727" t="s">
        <v>573</v>
      </c>
      <c r="E513" s="726" t="s">
        <v>2966</v>
      </c>
      <c r="F513" s="727" t="s">
        <v>2967</v>
      </c>
      <c r="G513" s="726" t="s">
        <v>2932</v>
      </c>
      <c r="H513" s="726" t="s">
        <v>2933</v>
      </c>
      <c r="I513" s="728">
        <v>2133.953</v>
      </c>
      <c r="J513" s="728">
        <v>13</v>
      </c>
      <c r="K513" s="729">
        <v>27716.17</v>
      </c>
    </row>
    <row r="514" spans="1:11" ht="14.4" customHeight="1" x14ac:dyDescent="0.3">
      <c r="A514" s="724" t="s">
        <v>552</v>
      </c>
      <c r="B514" s="725" t="s">
        <v>1679</v>
      </c>
      <c r="C514" s="726" t="s">
        <v>572</v>
      </c>
      <c r="D514" s="727" t="s">
        <v>573</v>
      </c>
      <c r="E514" s="726" t="s">
        <v>2966</v>
      </c>
      <c r="F514" s="727" t="s">
        <v>2967</v>
      </c>
      <c r="G514" s="726" t="s">
        <v>2934</v>
      </c>
      <c r="H514" s="726" t="s">
        <v>2935</v>
      </c>
      <c r="I514" s="728">
        <v>6313.8175000000001</v>
      </c>
      <c r="J514" s="728">
        <v>5</v>
      </c>
      <c r="K514" s="729">
        <v>31555.27</v>
      </c>
    </row>
    <row r="515" spans="1:11" ht="14.4" customHeight="1" x14ac:dyDescent="0.3">
      <c r="A515" s="724" t="s">
        <v>552</v>
      </c>
      <c r="B515" s="725" t="s">
        <v>1679</v>
      </c>
      <c r="C515" s="726" t="s">
        <v>572</v>
      </c>
      <c r="D515" s="727" t="s">
        <v>573</v>
      </c>
      <c r="E515" s="726" t="s">
        <v>2966</v>
      </c>
      <c r="F515" s="727" t="s">
        <v>2967</v>
      </c>
      <c r="G515" s="726" t="s">
        <v>2936</v>
      </c>
      <c r="H515" s="726" t="s">
        <v>2937</v>
      </c>
      <c r="I515" s="728">
        <v>4922.2299999999996</v>
      </c>
      <c r="J515" s="728">
        <v>1</v>
      </c>
      <c r="K515" s="729">
        <v>4922.2299999999996</v>
      </c>
    </row>
    <row r="516" spans="1:11" ht="14.4" customHeight="1" x14ac:dyDescent="0.3">
      <c r="A516" s="724" t="s">
        <v>552</v>
      </c>
      <c r="B516" s="725" t="s">
        <v>1679</v>
      </c>
      <c r="C516" s="726" t="s">
        <v>572</v>
      </c>
      <c r="D516" s="727" t="s">
        <v>573</v>
      </c>
      <c r="E516" s="726" t="s">
        <v>2966</v>
      </c>
      <c r="F516" s="727" t="s">
        <v>2967</v>
      </c>
      <c r="G516" s="726" t="s">
        <v>2938</v>
      </c>
      <c r="H516" s="726" t="s">
        <v>2939</v>
      </c>
      <c r="I516" s="728">
        <v>5462.5</v>
      </c>
      <c r="J516" s="728">
        <v>2</v>
      </c>
      <c r="K516" s="729">
        <v>10925</v>
      </c>
    </row>
    <row r="517" spans="1:11" ht="14.4" customHeight="1" thickBot="1" x14ac:dyDescent="0.35">
      <c r="A517" s="730" t="s">
        <v>552</v>
      </c>
      <c r="B517" s="731" t="s">
        <v>1679</v>
      </c>
      <c r="C517" s="732" t="s">
        <v>572</v>
      </c>
      <c r="D517" s="733" t="s">
        <v>573</v>
      </c>
      <c r="E517" s="732" t="s">
        <v>2966</v>
      </c>
      <c r="F517" s="733" t="s">
        <v>2967</v>
      </c>
      <c r="G517" s="732" t="s">
        <v>2940</v>
      </c>
      <c r="H517" s="732" t="s">
        <v>2941</v>
      </c>
      <c r="I517" s="734">
        <v>7865.02</v>
      </c>
      <c r="J517" s="734">
        <v>1</v>
      </c>
      <c r="K517" s="735">
        <v>7865.02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5" ht="18.600000000000001" thickBot="1" x14ac:dyDescent="0.4">
      <c r="A1" s="598" t="s">
        <v>130</v>
      </c>
      <c r="B1" s="598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480"/>
    </row>
    <row r="2" spans="1:15" ht="15" thickBot="1" x14ac:dyDescent="0.35">
      <c r="A2" s="374" t="s">
        <v>323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O2" s="480"/>
    </row>
    <row r="3" spans="1:15" x14ac:dyDescent="0.3">
      <c r="A3" s="391" t="s">
        <v>242</v>
      </c>
      <c r="B3" s="596" t="s">
        <v>225</v>
      </c>
      <c r="C3" s="376">
        <v>30</v>
      </c>
      <c r="D3" s="376">
        <v>99</v>
      </c>
      <c r="E3" s="394">
        <v>100</v>
      </c>
      <c r="F3" s="394">
        <v>101</v>
      </c>
      <c r="G3" s="478">
        <v>302</v>
      </c>
      <c r="H3" s="394">
        <v>303</v>
      </c>
      <c r="I3" s="394">
        <v>304</v>
      </c>
      <c r="J3" s="394">
        <v>305</v>
      </c>
      <c r="K3" s="394">
        <v>418</v>
      </c>
      <c r="L3" s="376">
        <v>629</v>
      </c>
      <c r="M3" s="376">
        <v>636</v>
      </c>
      <c r="N3" s="376">
        <v>642</v>
      </c>
      <c r="O3" s="480"/>
    </row>
    <row r="4" spans="1:15" ht="24.6" outlineLevel="1" thickBot="1" x14ac:dyDescent="0.35">
      <c r="A4" s="392">
        <v>2017</v>
      </c>
      <c r="B4" s="597"/>
      <c r="C4" s="377" t="s">
        <v>244</v>
      </c>
      <c r="D4" s="377" t="s">
        <v>226</v>
      </c>
      <c r="E4" s="395" t="s">
        <v>270</v>
      </c>
      <c r="F4" s="395" t="s">
        <v>271</v>
      </c>
      <c r="G4" s="479" t="s">
        <v>272</v>
      </c>
      <c r="H4" s="395" t="s">
        <v>273</v>
      </c>
      <c r="I4" s="395" t="s">
        <v>274</v>
      </c>
      <c r="J4" s="395" t="s">
        <v>275</v>
      </c>
      <c r="K4" s="395" t="s">
        <v>249</v>
      </c>
      <c r="L4" s="377" t="s">
        <v>250</v>
      </c>
      <c r="M4" s="377" t="s">
        <v>251</v>
      </c>
      <c r="N4" s="377" t="s">
        <v>252</v>
      </c>
      <c r="O4" s="480"/>
    </row>
    <row r="5" spans="1:15" x14ac:dyDescent="0.3">
      <c r="A5" s="378" t="s">
        <v>227</v>
      </c>
      <c r="B5" s="406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80"/>
    </row>
    <row r="6" spans="1:15" ht="15" collapsed="1" thickBot="1" x14ac:dyDescent="0.35">
      <c r="A6" s="379" t="s">
        <v>94</v>
      </c>
      <c r="B6" s="408">
        <f xml:space="preserve">
TRUNC(IF($A$4&lt;=12,SUMIFS('ON Data'!F:F,'ON Data'!$D:$D,$A$4,'ON Data'!$E:$E,1),SUMIFS('ON Data'!F:F,'ON Data'!$E:$E,1)/'ON Data'!$D$3),1)</f>
        <v>93.7</v>
      </c>
      <c r="C6" s="409">
        <f xml:space="preserve">
TRUNC(IF($A$4&lt;=12,SUMIFS('ON Data'!I:I,'ON Data'!$D:$D,$A$4,'ON Data'!$E:$E,1),SUMIFS('ON Data'!I:I,'ON Data'!$E:$E,1)/'ON Data'!$D$3),1)</f>
        <v>2</v>
      </c>
      <c r="D6" s="409">
        <f xml:space="preserve">
TRUNC(IF($A$4&lt;=12,SUMIFS('ON Data'!J:J,'ON Data'!$D:$D,$A$4,'ON Data'!$E:$E,1),SUMIFS('ON Data'!J:J,'ON Data'!$E:$E,1)/'ON Data'!$D$3),1)</f>
        <v>3</v>
      </c>
      <c r="E6" s="409">
        <f xml:space="preserve">
TRUNC(IF($A$4&lt;=12,SUMIFS('ON Data'!K:K,'ON Data'!$D:$D,$A$4,'ON Data'!$E:$E,1),SUMIFS('ON Data'!K:K,'ON Data'!$E:$E,1)/'ON Data'!$D$3),1)</f>
        <v>3</v>
      </c>
      <c r="F6" s="409">
        <f xml:space="preserve">
TRUNC(IF($A$4&lt;=12,SUMIFS('ON Data'!L:L,'ON Data'!$D:$D,$A$4,'ON Data'!$E:$E,1),SUMIFS('ON Data'!L:L,'ON Data'!$E:$E,1)/'ON Data'!$D$3),1)</f>
        <v>8</v>
      </c>
      <c r="G6" s="409">
        <f xml:space="preserve">
TRUNC(IF($A$4&lt;=12,SUMIFS('ON Data'!P:P,'ON Data'!$D:$D,$A$4,'ON Data'!$E:$E,1),SUMIFS('ON Data'!P:P,'ON Data'!$E:$E,1)/'ON Data'!$D$3),1)</f>
        <v>0</v>
      </c>
      <c r="H6" s="409">
        <f xml:space="preserve">
TRUNC(IF($A$4&lt;=12,SUMIFS('ON Data'!Q:Q,'ON Data'!$D:$D,$A$4,'ON Data'!$E:$E,1),SUMIFS('ON Data'!Q:Q,'ON Data'!$E:$E,1)/'ON Data'!$D$3),1)</f>
        <v>20.100000000000001</v>
      </c>
      <c r="I6" s="409">
        <f xml:space="preserve">
TRUNC(IF($A$4&lt;=12,SUMIFS('ON Data'!R:R,'ON Data'!$D:$D,$A$4,'ON Data'!$E:$E,1),SUMIFS('ON Data'!R:R,'ON Data'!$E:$E,1)/'ON Data'!$D$3),1)</f>
        <v>30.8</v>
      </c>
      <c r="J6" s="409">
        <f xml:space="preserve">
TRUNC(IF($A$4&lt;=12,SUMIFS('ON Data'!S:S,'ON Data'!$D:$D,$A$4,'ON Data'!$E:$E,1),SUMIFS('ON Data'!S:S,'ON Data'!$E:$E,1)/'ON Data'!$D$3),1)</f>
        <v>5.7</v>
      </c>
      <c r="K6" s="409">
        <f xml:space="preserve">
TRUNC(IF($A$4&lt;=12,SUMIFS('ON Data'!AA:AA,'ON Data'!$D:$D,$A$4,'ON Data'!$E:$E,1),SUMIFS('ON Data'!AA:AA,'ON Data'!$E:$E,1)/'ON Data'!$D$3),1)</f>
        <v>2</v>
      </c>
      <c r="L6" s="409">
        <f xml:space="preserve">
TRUNC(IF($A$4&lt;=12,SUMIFS('ON Data'!AO:AO,'ON Data'!$D:$D,$A$4,'ON Data'!$E:$E,1),SUMIFS('ON Data'!AO:AO,'ON Data'!$E:$E,1)/'ON Data'!$D$3),1)</f>
        <v>3</v>
      </c>
      <c r="M6" s="409">
        <f xml:space="preserve">
TRUNC(IF($A$4&lt;=12,SUMIFS('ON Data'!AQ:AQ,'ON Data'!$D:$D,$A$4,'ON Data'!$E:$E,1),SUMIFS('ON Data'!AQ:AQ,'ON Data'!$E:$E,1)/'ON Data'!$D$3),1)</f>
        <v>1</v>
      </c>
      <c r="N6" s="409">
        <f xml:space="preserve">
TRUNC(IF($A$4&lt;=12,SUMIFS('ON Data'!AT:AT,'ON Data'!$D:$D,$A$4,'ON Data'!$E:$E,1),SUMIFS('ON Data'!AT:AT,'ON Data'!$E:$E,1)/'ON Data'!$D$3),1)</f>
        <v>15</v>
      </c>
      <c r="O6" s="480"/>
    </row>
    <row r="7" spans="1:15" ht="15" hidden="1" outlineLevel="1" thickBot="1" x14ac:dyDescent="0.35">
      <c r="A7" s="379" t="s">
        <v>131</v>
      </c>
      <c r="B7" s="408"/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80"/>
    </row>
    <row r="8" spans="1:15" ht="15" hidden="1" outlineLevel="1" thickBot="1" x14ac:dyDescent="0.35">
      <c r="A8" s="379" t="s">
        <v>96</v>
      </c>
      <c r="B8" s="408"/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80"/>
    </row>
    <row r="9" spans="1:15" ht="15" hidden="1" outlineLevel="1" thickBot="1" x14ac:dyDescent="0.35">
      <c r="A9" s="380" t="s">
        <v>69</v>
      </c>
      <c r="B9" s="410"/>
      <c r="C9" s="411"/>
      <c r="D9" s="411"/>
      <c r="E9" s="411"/>
      <c r="F9" s="411"/>
      <c r="G9" s="411"/>
      <c r="H9" s="411"/>
      <c r="I9" s="411"/>
      <c r="J9" s="411"/>
      <c r="K9" s="411"/>
      <c r="L9" s="411"/>
      <c r="M9" s="411"/>
      <c r="N9" s="411"/>
      <c r="O9" s="480"/>
    </row>
    <row r="10" spans="1:15" x14ac:dyDescent="0.3">
      <c r="A10" s="381" t="s">
        <v>228</v>
      </c>
      <c r="B10" s="396"/>
      <c r="C10" s="397"/>
      <c r="D10" s="397"/>
      <c r="E10" s="397"/>
      <c r="F10" s="397"/>
      <c r="G10" s="397"/>
      <c r="H10" s="397"/>
      <c r="I10" s="397"/>
      <c r="J10" s="397"/>
      <c r="K10" s="397"/>
      <c r="L10" s="397"/>
      <c r="M10" s="397"/>
      <c r="N10" s="397"/>
      <c r="O10" s="480"/>
    </row>
    <row r="11" spans="1:15" x14ac:dyDescent="0.3">
      <c r="A11" s="382" t="s">
        <v>229</v>
      </c>
      <c r="B11" s="398">
        <f xml:space="preserve">
IF($A$4&lt;=12,SUMIFS('ON Data'!F:F,'ON Data'!$D:$D,$A$4,'ON Data'!$E:$E,2),SUMIFS('ON Data'!F:F,'ON Data'!$E:$E,2))</f>
        <v>41036.61</v>
      </c>
      <c r="C11" s="399"/>
      <c r="D11" s="399">
        <f xml:space="preserve">
IF($A$4&lt;=12,SUMIFS('ON Data'!J:J,'ON Data'!$D:$D,$A$4,'ON Data'!$E:$E,2),SUMIFS('ON Data'!J:J,'ON Data'!$E:$E,2))</f>
        <v>1528</v>
      </c>
      <c r="E11" s="399">
        <f xml:space="preserve">
IF($A$4&lt;=12,SUMIFS('ON Data'!K:K,'ON Data'!$D:$D,$A$4,'ON Data'!$E:$E,2),SUMIFS('ON Data'!K:K,'ON Data'!$E:$E,2))</f>
        <v>1536</v>
      </c>
      <c r="F11" s="399">
        <f xml:space="preserve">
IF($A$4&lt;=12,SUMIFS('ON Data'!L:L,'ON Data'!$D:$D,$A$4,'ON Data'!$E:$E,2),SUMIFS('ON Data'!L:L,'ON Data'!$E:$E,2))</f>
        <v>3944</v>
      </c>
      <c r="G11" s="399">
        <f xml:space="preserve">
IF($A$4&lt;=12,SUMIFS('ON Data'!P:P,'ON Data'!$D:$D,$A$4,'ON Data'!$E:$E,2),SUMIFS('ON Data'!P:P,'ON Data'!$E:$E,2))</f>
        <v>0</v>
      </c>
      <c r="H11" s="399">
        <f xml:space="preserve">
IF($A$4&lt;=12,SUMIFS('ON Data'!Q:Q,'ON Data'!$D:$D,$A$4,'ON Data'!$E:$E,2),SUMIFS('ON Data'!Q:Q,'ON Data'!$E:$E,2))</f>
        <v>9226.25</v>
      </c>
      <c r="I11" s="399">
        <f xml:space="preserve">
IF($A$4&lt;=12,SUMIFS('ON Data'!R:R,'ON Data'!$D:$D,$A$4,'ON Data'!$E:$E,2),SUMIFS('ON Data'!R:R,'ON Data'!$E:$E,2))</f>
        <v>12267.57</v>
      </c>
      <c r="J11" s="399">
        <f xml:space="preserve">
IF($A$4&lt;=12,SUMIFS('ON Data'!S:S,'ON Data'!$D:$D,$A$4,'ON Data'!$E:$E,2),SUMIFS('ON Data'!S:S,'ON Data'!$E:$E,2))</f>
        <v>1669.29</v>
      </c>
      <c r="K11" s="399">
        <f xml:space="preserve">
IF($A$4&lt;=12,SUMIFS('ON Data'!AA:AA,'ON Data'!$D:$D,$A$4,'ON Data'!$E:$E,2),SUMIFS('ON Data'!AA:AA,'ON Data'!$E:$E,2))</f>
        <v>846</v>
      </c>
      <c r="L11" s="399">
        <f xml:space="preserve">
IF($A$4&lt;=12,SUMIFS('ON Data'!AO:AO,'ON Data'!$D:$D,$A$4,'ON Data'!$E:$E,2),SUMIFS('ON Data'!AO:AO,'ON Data'!$E:$E,2))</f>
        <v>1492</v>
      </c>
      <c r="M11" s="399">
        <f xml:space="preserve">
IF($A$4&lt;=12,SUMIFS('ON Data'!AQ:AQ,'ON Data'!$D:$D,$A$4,'ON Data'!$E:$E,2),SUMIFS('ON Data'!AQ:AQ,'ON Data'!$E:$E,2))</f>
        <v>487.5</v>
      </c>
      <c r="N11" s="399">
        <f xml:space="preserve">
IF($A$4&lt;=12,SUMIFS('ON Data'!AT:AT,'ON Data'!$D:$D,$A$4,'ON Data'!$E:$E,2),SUMIFS('ON Data'!AT:AT,'ON Data'!$E:$E,2))</f>
        <v>7016</v>
      </c>
      <c r="O11" s="480"/>
    </row>
    <row r="12" spans="1:15" x14ac:dyDescent="0.3">
      <c r="A12" s="382" t="s">
        <v>230</v>
      </c>
      <c r="B12" s="398">
        <f xml:space="preserve">
IF($A$4&lt;=12,SUMIFS('ON Data'!F:F,'ON Data'!$D:$D,$A$4,'ON Data'!$E:$E,3),SUMIFS('ON Data'!F:F,'ON Data'!$E:$E,3))</f>
        <v>0</v>
      </c>
      <c r="C12" s="399"/>
      <c r="D12" s="399">
        <f xml:space="preserve">
IF($A$4&lt;=12,SUMIFS('ON Data'!J:J,'ON Data'!$D:$D,$A$4,'ON Data'!$E:$E,3),SUMIFS('ON Data'!J:J,'ON Data'!$E:$E,3))</f>
        <v>0</v>
      </c>
      <c r="E12" s="399">
        <f xml:space="preserve">
IF($A$4&lt;=12,SUMIFS('ON Data'!K:K,'ON Data'!$D:$D,$A$4,'ON Data'!$E:$E,3),SUMIFS('ON Data'!K:K,'ON Data'!$E:$E,3))</f>
        <v>0</v>
      </c>
      <c r="F12" s="399">
        <f xml:space="preserve">
IF($A$4&lt;=12,SUMIFS('ON Data'!L:L,'ON Data'!$D:$D,$A$4,'ON Data'!$E:$E,3),SUMIFS('ON Data'!L:L,'ON Data'!$E:$E,3))</f>
        <v>0</v>
      </c>
      <c r="G12" s="399">
        <f xml:space="preserve">
IF($A$4&lt;=12,SUMIFS('ON Data'!P:P,'ON Data'!$D:$D,$A$4,'ON Data'!$E:$E,3),SUMIFS('ON Data'!P:P,'ON Data'!$E:$E,3))</f>
        <v>0</v>
      </c>
      <c r="H12" s="399">
        <f xml:space="preserve">
IF($A$4&lt;=12,SUMIFS('ON Data'!Q:Q,'ON Data'!$D:$D,$A$4,'ON Data'!$E:$E,3),SUMIFS('ON Data'!Q:Q,'ON Data'!$E:$E,3))</f>
        <v>0</v>
      </c>
      <c r="I12" s="399">
        <f xml:space="preserve">
IF($A$4&lt;=12,SUMIFS('ON Data'!R:R,'ON Data'!$D:$D,$A$4,'ON Data'!$E:$E,3),SUMIFS('ON Data'!R:R,'ON Data'!$E:$E,3))</f>
        <v>0</v>
      </c>
      <c r="J12" s="399">
        <f xml:space="preserve">
IF($A$4&lt;=12,SUMIFS('ON Data'!S:S,'ON Data'!$D:$D,$A$4,'ON Data'!$E:$E,3),SUMIFS('ON Data'!S:S,'ON Data'!$E:$E,3))</f>
        <v>0</v>
      </c>
      <c r="K12" s="399">
        <f xml:space="preserve">
IF($A$4&lt;=12,SUMIFS('ON Data'!AA:AA,'ON Data'!$D:$D,$A$4,'ON Data'!$E:$E,3),SUMIFS('ON Data'!AA:AA,'ON Data'!$E:$E,3))</f>
        <v>0</v>
      </c>
      <c r="L12" s="399">
        <f xml:space="preserve">
IF($A$4&lt;=12,SUMIFS('ON Data'!AO:AO,'ON Data'!$D:$D,$A$4,'ON Data'!$E:$E,3),SUMIFS('ON Data'!AO:AO,'ON Data'!$E:$E,3))</f>
        <v>0</v>
      </c>
      <c r="M12" s="399">
        <f xml:space="preserve">
IF($A$4&lt;=12,SUMIFS('ON Data'!AQ:AQ,'ON Data'!$D:$D,$A$4,'ON Data'!$E:$E,3),SUMIFS('ON Data'!AQ:AQ,'ON Data'!$E:$E,3))</f>
        <v>0</v>
      </c>
      <c r="N12" s="399">
        <f xml:space="preserve">
IF($A$4&lt;=12,SUMIFS('ON Data'!AT:AT,'ON Data'!$D:$D,$A$4,'ON Data'!$E:$E,3),SUMIFS('ON Data'!AT:AT,'ON Data'!$E:$E,3))</f>
        <v>0</v>
      </c>
      <c r="O12" s="480"/>
    </row>
    <row r="13" spans="1:15" x14ac:dyDescent="0.3">
      <c r="A13" s="382" t="s">
        <v>237</v>
      </c>
      <c r="B13" s="398">
        <f xml:space="preserve">
IF($A$4&lt;=12,SUMIFS('ON Data'!F:F,'ON Data'!$D:$D,$A$4,'ON Data'!$E:$E,4),SUMIFS('ON Data'!F:F,'ON Data'!$E:$E,4))</f>
        <v>1981</v>
      </c>
      <c r="C13" s="399"/>
      <c r="D13" s="399">
        <f xml:space="preserve">
IF($A$4&lt;=12,SUMIFS('ON Data'!J:J,'ON Data'!$D:$D,$A$4,'ON Data'!$E:$E,4),SUMIFS('ON Data'!J:J,'ON Data'!$E:$E,4))</f>
        <v>193</v>
      </c>
      <c r="E13" s="399">
        <f xml:space="preserve">
IF($A$4&lt;=12,SUMIFS('ON Data'!K:K,'ON Data'!$D:$D,$A$4,'ON Data'!$E:$E,4),SUMIFS('ON Data'!K:K,'ON Data'!$E:$E,4))</f>
        <v>277</v>
      </c>
      <c r="F13" s="399">
        <f xml:space="preserve">
IF($A$4&lt;=12,SUMIFS('ON Data'!L:L,'ON Data'!$D:$D,$A$4,'ON Data'!$E:$E,4),SUMIFS('ON Data'!L:L,'ON Data'!$E:$E,4))</f>
        <v>712.5</v>
      </c>
      <c r="G13" s="399">
        <f xml:space="preserve">
IF($A$4&lt;=12,SUMIFS('ON Data'!P:P,'ON Data'!$D:$D,$A$4,'ON Data'!$E:$E,4),SUMIFS('ON Data'!P:P,'ON Data'!$E:$E,4))</f>
        <v>0</v>
      </c>
      <c r="H13" s="399">
        <f xml:space="preserve">
IF($A$4&lt;=12,SUMIFS('ON Data'!Q:Q,'ON Data'!$D:$D,$A$4,'ON Data'!$E:$E,4),SUMIFS('ON Data'!Q:Q,'ON Data'!$E:$E,4))</f>
        <v>353</v>
      </c>
      <c r="I13" s="399">
        <f xml:space="preserve">
IF($A$4&lt;=12,SUMIFS('ON Data'!R:R,'ON Data'!$D:$D,$A$4,'ON Data'!$E:$E,4),SUMIFS('ON Data'!R:R,'ON Data'!$E:$E,4))</f>
        <v>232</v>
      </c>
      <c r="J13" s="399">
        <f xml:space="preserve">
IF($A$4&lt;=12,SUMIFS('ON Data'!S:S,'ON Data'!$D:$D,$A$4,'ON Data'!$E:$E,4),SUMIFS('ON Data'!S:S,'ON Data'!$E:$E,4))</f>
        <v>0</v>
      </c>
      <c r="K13" s="399">
        <f xml:space="preserve">
IF($A$4&lt;=12,SUMIFS('ON Data'!AA:AA,'ON Data'!$D:$D,$A$4,'ON Data'!$E:$E,4),SUMIFS('ON Data'!AA:AA,'ON Data'!$E:$E,4))</f>
        <v>0</v>
      </c>
      <c r="L13" s="399">
        <f xml:space="preserve">
IF($A$4&lt;=12,SUMIFS('ON Data'!AO:AO,'ON Data'!$D:$D,$A$4,'ON Data'!$E:$E,4),SUMIFS('ON Data'!AO:AO,'ON Data'!$E:$E,4))</f>
        <v>0</v>
      </c>
      <c r="M13" s="399">
        <f xml:space="preserve">
IF($A$4&lt;=12,SUMIFS('ON Data'!AQ:AQ,'ON Data'!$D:$D,$A$4,'ON Data'!$E:$E,4),SUMIFS('ON Data'!AQ:AQ,'ON Data'!$E:$E,4))</f>
        <v>0</v>
      </c>
      <c r="N13" s="399">
        <f xml:space="preserve">
IF($A$4&lt;=12,SUMIFS('ON Data'!AT:AT,'ON Data'!$D:$D,$A$4,'ON Data'!$E:$E,4),SUMIFS('ON Data'!AT:AT,'ON Data'!$E:$E,4))</f>
        <v>213.5</v>
      </c>
      <c r="O13" s="480"/>
    </row>
    <row r="14" spans="1:15" ht="15" thickBot="1" x14ac:dyDescent="0.35">
      <c r="A14" s="383" t="s">
        <v>231</v>
      </c>
      <c r="B14" s="400">
        <f xml:space="preserve">
IF($A$4&lt;=12,SUMIFS('ON Data'!F:F,'ON Data'!$D:$D,$A$4,'ON Data'!$E:$E,5),SUMIFS('ON Data'!F:F,'ON Data'!$E:$E,5))</f>
        <v>0</v>
      </c>
      <c r="C14" s="401"/>
      <c r="D14" s="401">
        <f xml:space="preserve">
IF($A$4&lt;=12,SUMIFS('ON Data'!J:J,'ON Data'!$D:$D,$A$4,'ON Data'!$E:$E,5),SUMIFS('ON Data'!J:J,'ON Data'!$E:$E,5))</f>
        <v>0</v>
      </c>
      <c r="E14" s="401">
        <f xml:space="preserve">
IF($A$4&lt;=12,SUMIFS('ON Data'!K:K,'ON Data'!$D:$D,$A$4,'ON Data'!$E:$E,5),SUMIFS('ON Data'!K:K,'ON Data'!$E:$E,5))</f>
        <v>0</v>
      </c>
      <c r="F14" s="401">
        <f xml:space="preserve">
IF($A$4&lt;=12,SUMIFS('ON Data'!L:L,'ON Data'!$D:$D,$A$4,'ON Data'!$E:$E,5),SUMIFS('ON Data'!L:L,'ON Data'!$E:$E,5))</f>
        <v>0</v>
      </c>
      <c r="G14" s="401">
        <f xml:space="preserve">
IF($A$4&lt;=12,SUMIFS('ON Data'!P:P,'ON Data'!$D:$D,$A$4,'ON Data'!$E:$E,5),SUMIFS('ON Data'!P:P,'ON Data'!$E:$E,5))</f>
        <v>0</v>
      </c>
      <c r="H14" s="401">
        <f xml:space="preserve">
IF($A$4&lt;=12,SUMIFS('ON Data'!Q:Q,'ON Data'!$D:$D,$A$4,'ON Data'!$E:$E,5),SUMIFS('ON Data'!Q:Q,'ON Data'!$E:$E,5))</f>
        <v>0</v>
      </c>
      <c r="I14" s="401">
        <f xml:space="preserve">
IF($A$4&lt;=12,SUMIFS('ON Data'!R:R,'ON Data'!$D:$D,$A$4,'ON Data'!$E:$E,5),SUMIFS('ON Data'!R:R,'ON Data'!$E:$E,5))</f>
        <v>0</v>
      </c>
      <c r="J14" s="401">
        <f xml:space="preserve">
IF($A$4&lt;=12,SUMIFS('ON Data'!S:S,'ON Data'!$D:$D,$A$4,'ON Data'!$E:$E,5),SUMIFS('ON Data'!S:S,'ON Data'!$E:$E,5))</f>
        <v>0</v>
      </c>
      <c r="K14" s="401">
        <f xml:space="preserve">
IF($A$4&lt;=12,SUMIFS('ON Data'!AA:AA,'ON Data'!$D:$D,$A$4,'ON Data'!$E:$E,5),SUMIFS('ON Data'!AA:AA,'ON Data'!$E:$E,5))</f>
        <v>0</v>
      </c>
      <c r="L14" s="401">
        <f xml:space="preserve">
IF($A$4&lt;=12,SUMIFS('ON Data'!AO:AO,'ON Data'!$D:$D,$A$4,'ON Data'!$E:$E,5),SUMIFS('ON Data'!AO:AO,'ON Data'!$E:$E,5))</f>
        <v>0</v>
      </c>
      <c r="M14" s="401">
        <f xml:space="preserve">
IF($A$4&lt;=12,SUMIFS('ON Data'!AQ:AQ,'ON Data'!$D:$D,$A$4,'ON Data'!$E:$E,5),SUMIFS('ON Data'!AQ:AQ,'ON Data'!$E:$E,5))</f>
        <v>0</v>
      </c>
      <c r="N14" s="401">
        <f xml:space="preserve">
IF($A$4&lt;=12,SUMIFS('ON Data'!AT:AT,'ON Data'!$D:$D,$A$4,'ON Data'!$E:$E,5),SUMIFS('ON Data'!AT:AT,'ON Data'!$E:$E,5))</f>
        <v>0</v>
      </c>
      <c r="O14" s="480"/>
    </row>
    <row r="15" spans="1:15" x14ac:dyDescent="0.3">
      <c r="A15" s="282" t="s">
        <v>241</v>
      </c>
      <c r="B15" s="402"/>
      <c r="C15" s="403"/>
      <c r="D15" s="403"/>
      <c r="E15" s="403"/>
      <c r="F15" s="403"/>
      <c r="G15" s="403"/>
      <c r="H15" s="403"/>
      <c r="I15" s="403"/>
      <c r="J15" s="403"/>
      <c r="K15" s="403"/>
      <c r="L15" s="403"/>
      <c r="M15" s="403"/>
      <c r="N15" s="403"/>
      <c r="O15" s="480"/>
    </row>
    <row r="16" spans="1:15" x14ac:dyDescent="0.3">
      <c r="A16" s="384" t="s">
        <v>232</v>
      </c>
      <c r="B16" s="398">
        <f xml:space="preserve">
IF($A$4&lt;=12,SUMIFS('ON Data'!F:F,'ON Data'!$D:$D,$A$4,'ON Data'!$E:$E,7),SUMIFS('ON Data'!F:F,'ON Data'!$E:$E,7))</f>
        <v>0</v>
      </c>
      <c r="C16" s="399"/>
      <c r="D16" s="399">
        <f xml:space="preserve">
IF($A$4&lt;=12,SUMIFS('ON Data'!J:J,'ON Data'!$D:$D,$A$4,'ON Data'!$E:$E,7),SUMIFS('ON Data'!J:J,'ON Data'!$E:$E,7))</f>
        <v>0</v>
      </c>
      <c r="E16" s="399">
        <f xml:space="preserve">
IF($A$4&lt;=12,SUMIFS('ON Data'!K:K,'ON Data'!$D:$D,$A$4,'ON Data'!$E:$E,7),SUMIFS('ON Data'!K:K,'ON Data'!$E:$E,7))</f>
        <v>0</v>
      </c>
      <c r="F16" s="399">
        <f xml:space="preserve">
IF($A$4&lt;=12,SUMIFS('ON Data'!L:L,'ON Data'!$D:$D,$A$4,'ON Data'!$E:$E,7),SUMIFS('ON Data'!L:L,'ON Data'!$E:$E,7))</f>
        <v>0</v>
      </c>
      <c r="G16" s="399">
        <f xml:space="preserve">
IF($A$4&lt;=12,SUMIFS('ON Data'!P:P,'ON Data'!$D:$D,$A$4,'ON Data'!$E:$E,7),SUMIFS('ON Data'!P:P,'ON Data'!$E:$E,7))</f>
        <v>0</v>
      </c>
      <c r="H16" s="399">
        <f xml:space="preserve">
IF($A$4&lt;=12,SUMIFS('ON Data'!Q:Q,'ON Data'!$D:$D,$A$4,'ON Data'!$E:$E,7),SUMIFS('ON Data'!Q:Q,'ON Data'!$E:$E,7))</f>
        <v>0</v>
      </c>
      <c r="I16" s="399">
        <f xml:space="preserve">
IF($A$4&lt;=12,SUMIFS('ON Data'!R:R,'ON Data'!$D:$D,$A$4,'ON Data'!$E:$E,7),SUMIFS('ON Data'!R:R,'ON Data'!$E:$E,7))</f>
        <v>0</v>
      </c>
      <c r="J16" s="399">
        <f xml:space="preserve">
IF($A$4&lt;=12,SUMIFS('ON Data'!S:S,'ON Data'!$D:$D,$A$4,'ON Data'!$E:$E,7),SUMIFS('ON Data'!S:S,'ON Data'!$E:$E,7))</f>
        <v>0</v>
      </c>
      <c r="K16" s="399">
        <f xml:space="preserve">
IF($A$4&lt;=12,SUMIFS('ON Data'!AA:AA,'ON Data'!$D:$D,$A$4,'ON Data'!$E:$E,7),SUMIFS('ON Data'!AA:AA,'ON Data'!$E:$E,7))</f>
        <v>0</v>
      </c>
      <c r="L16" s="399">
        <f xml:space="preserve">
IF($A$4&lt;=12,SUMIFS('ON Data'!AO:AO,'ON Data'!$D:$D,$A$4,'ON Data'!$E:$E,7),SUMIFS('ON Data'!AO:AO,'ON Data'!$E:$E,7))</f>
        <v>0</v>
      </c>
      <c r="M16" s="399">
        <f xml:space="preserve">
IF($A$4&lt;=12,SUMIFS('ON Data'!AQ:AQ,'ON Data'!$D:$D,$A$4,'ON Data'!$E:$E,7),SUMIFS('ON Data'!AQ:AQ,'ON Data'!$E:$E,7))</f>
        <v>0</v>
      </c>
      <c r="N16" s="399">
        <f xml:space="preserve">
IF($A$4&lt;=12,SUMIFS('ON Data'!AT:AT,'ON Data'!$D:$D,$A$4,'ON Data'!$E:$E,7),SUMIFS('ON Data'!AT:AT,'ON Data'!$E:$E,7))</f>
        <v>0</v>
      </c>
      <c r="O16" s="480"/>
    </row>
    <row r="17" spans="1:46" x14ac:dyDescent="0.3">
      <c r="A17" s="384" t="s">
        <v>233</v>
      </c>
      <c r="B17" s="398">
        <f xml:space="preserve">
IF($A$4&lt;=12,SUMIFS('ON Data'!F:F,'ON Data'!$D:$D,$A$4,'ON Data'!$E:$E,8),SUMIFS('ON Data'!F:F,'ON Data'!$E:$E,8))</f>
        <v>0</v>
      </c>
      <c r="C17" s="399"/>
      <c r="D17" s="399">
        <f xml:space="preserve">
IF($A$4&lt;=12,SUMIFS('ON Data'!J:J,'ON Data'!$D:$D,$A$4,'ON Data'!$E:$E,8),SUMIFS('ON Data'!J:J,'ON Data'!$E:$E,8))</f>
        <v>0</v>
      </c>
      <c r="E17" s="399">
        <f xml:space="preserve">
IF($A$4&lt;=12,SUMIFS('ON Data'!K:K,'ON Data'!$D:$D,$A$4,'ON Data'!$E:$E,8),SUMIFS('ON Data'!K:K,'ON Data'!$E:$E,8))</f>
        <v>0</v>
      </c>
      <c r="F17" s="399">
        <f xml:space="preserve">
IF($A$4&lt;=12,SUMIFS('ON Data'!L:L,'ON Data'!$D:$D,$A$4,'ON Data'!$E:$E,8),SUMIFS('ON Data'!L:L,'ON Data'!$E:$E,8))</f>
        <v>0</v>
      </c>
      <c r="G17" s="399">
        <f xml:space="preserve">
IF($A$4&lt;=12,SUMIFS('ON Data'!P:P,'ON Data'!$D:$D,$A$4,'ON Data'!$E:$E,8),SUMIFS('ON Data'!P:P,'ON Data'!$E:$E,8))</f>
        <v>0</v>
      </c>
      <c r="H17" s="399">
        <f xml:space="preserve">
IF($A$4&lt;=12,SUMIFS('ON Data'!Q:Q,'ON Data'!$D:$D,$A$4,'ON Data'!$E:$E,8),SUMIFS('ON Data'!Q:Q,'ON Data'!$E:$E,8))</f>
        <v>0</v>
      </c>
      <c r="I17" s="399">
        <f xml:space="preserve">
IF($A$4&lt;=12,SUMIFS('ON Data'!R:R,'ON Data'!$D:$D,$A$4,'ON Data'!$E:$E,8),SUMIFS('ON Data'!R:R,'ON Data'!$E:$E,8))</f>
        <v>0</v>
      </c>
      <c r="J17" s="399">
        <f xml:space="preserve">
IF($A$4&lt;=12,SUMIFS('ON Data'!S:S,'ON Data'!$D:$D,$A$4,'ON Data'!$E:$E,8),SUMIFS('ON Data'!S:S,'ON Data'!$E:$E,8))</f>
        <v>0</v>
      </c>
      <c r="K17" s="399">
        <f xml:space="preserve">
IF($A$4&lt;=12,SUMIFS('ON Data'!AA:AA,'ON Data'!$D:$D,$A$4,'ON Data'!$E:$E,8),SUMIFS('ON Data'!AA:AA,'ON Data'!$E:$E,8))</f>
        <v>0</v>
      </c>
      <c r="L17" s="399">
        <f xml:space="preserve">
IF($A$4&lt;=12,SUMIFS('ON Data'!AO:AO,'ON Data'!$D:$D,$A$4,'ON Data'!$E:$E,8),SUMIFS('ON Data'!AO:AO,'ON Data'!$E:$E,8))</f>
        <v>0</v>
      </c>
      <c r="M17" s="399">
        <f xml:space="preserve">
IF($A$4&lt;=12,SUMIFS('ON Data'!AQ:AQ,'ON Data'!$D:$D,$A$4,'ON Data'!$E:$E,8),SUMIFS('ON Data'!AQ:AQ,'ON Data'!$E:$E,8))</f>
        <v>0</v>
      </c>
      <c r="N17" s="399">
        <f xml:space="preserve">
IF($A$4&lt;=12,SUMIFS('ON Data'!AT:AT,'ON Data'!$D:$D,$A$4,'ON Data'!$E:$E,8),SUMIFS('ON Data'!AT:AT,'ON Data'!$E:$E,8))</f>
        <v>0</v>
      </c>
      <c r="O17" s="480"/>
    </row>
    <row r="18" spans="1:46" x14ac:dyDescent="0.3">
      <c r="A18" s="384" t="s">
        <v>234</v>
      </c>
      <c r="B18" s="398">
        <f xml:space="preserve">
B19-B16-B17</f>
        <v>168548</v>
      </c>
      <c r="C18" s="399"/>
      <c r="D18" s="399">
        <f t="shared" ref="D18:F18" si="0" xml:space="preserve">
D19-D16-D17</f>
        <v>0</v>
      </c>
      <c r="E18" s="399">
        <f t="shared" si="0"/>
        <v>0</v>
      </c>
      <c r="F18" s="399">
        <f t="shared" si="0"/>
        <v>40000</v>
      </c>
      <c r="G18" s="399">
        <f t="shared" ref="G18:L18" si="1" xml:space="preserve">
G19-G16-G17</f>
        <v>0</v>
      </c>
      <c r="H18" s="399">
        <f t="shared" si="1"/>
        <v>35016</v>
      </c>
      <c r="I18" s="399">
        <f t="shared" si="1"/>
        <v>60708</v>
      </c>
      <c r="J18" s="399">
        <f t="shared" si="1"/>
        <v>6024</v>
      </c>
      <c r="K18" s="399">
        <f t="shared" si="1"/>
        <v>1000</v>
      </c>
      <c r="L18" s="399">
        <f t="shared" si="1"/>
        <v>5500</v>
      </c>
      <c r="M18" s="399">
        <f t="shared" ref="M18:N18" si="2" xml:space="preserve">
M19-M16-M17</f>
        <v>1000</v>
      </c>
      <c r="N18" s="399">
        <f t="shared" si="2"/>
        <v>19300</v>
      </c>
      <c r="O18" s="480"/>
    </row>
    <row r="19" spans="1:46" ht="15" thickBot="1" x14ac:dyDescent="0.35">
      <c r="A19" s="385" t="s">
        <v>235</v>
      </c>
      <c r="B19" s="404">
        <f xml:space="preserve">
IF($A$4&lt;=12,SUMIFS('ON Data'!F:F,'ON Data'!$D:$D,$A$4,'ON Data'!$E:$E,9),SUMIFS('ON Data'!F:F,'ON Data'!$E:$E,9))</f>
        <v>168548</v>
      </c>
      <c r="C19" s="405"/>
      <c r="D19" s="405">
        <f xml:space="preserve">
IF($A$4&lt;=12,SUMIFS('ON Data'!J:J,'ON Data'!$D:$D,$A$4,'ON Data'!$E:$E,9),SUMIFS('ON Data'!J:J,'ON Data'!$E:$E,9))</f>
        <v>0</v>
      </c>
      <c r="E19" s="405">
        <f xml:space="preserve">
IF($A$4&lt;=12,SUMIFS('ON Data'!K:K,'ON Data'!$D:$D,$A$4,'ON Data'!$E:$E,9),SUMIFS('ON Data'!K:K,'ON Data'!$E:$E,9))</f>
        <v>0</v>
      </c>
      <c r="F19" s="405">
        <f xml:space="preserve">
IF($A$4&lt;=12,SUMIFS('ON Data'!L:L,'ON Data'!$D:$D,$A$4,'ON Data'!$E:$E,9),SUMIFS('ON Data'!L:L,'ON Data'!$E:$E,9))</f>
        <v>40000</v>
      </c>
      <c r="G19" s="405">
        <f xml:space="preserve">
IF($A$4&lt;=12,SUMIFS('ON Data'!P:P,'ON Data'!$D:$D,$A$4,'ON Data'!$E:$E,9),SUMIFS('ON Data'!P:P,'ON Data'!$E:$E,9))</f>
        <v>0</v>
      </c>
      <c r="H19" s="405">
        <f xml:space="preserve">
IF($A$4&lt;=12,SUMIFS('ON Data'!Q:Q,'ON Data'!$D:$D,$A$4,'ON Data'!$E:$E,9),SUMIFS('ON Data'!Q:Q,'ON Data'!$E:$E,9))</f>
        <v>35016</v>
      </c>
      <c r="I19" s="405">
        <f xml:space="preserve">
IF($A$4&lt;=12,SUMIFS('ON Data'!R:R,'ON Data'!$D:$D,$A$4,'ON Data'!$E:$E,9),SUMIFS('ON Data'!R:R,'ON Data'!$E:$E,9))</f>
        <v>60708</v>
      </c>
      <c r="J19" s="405">
        <f xml:space="preserve">
IF($A$4&lt;=12,SUMIFS('ON Data'!S:S,'ON Data'!$D:$D,$A$4,'ON Data'!$E:$E,9),SUMIFS('ON Data'!S:S,'ON Data'!$E:$E,9))</f>
        <v>6024</v>
      </c>
      <c r="K19" s="405">
        <f xml:space="preserve">
IF($A$4&lt;=12,SUMIFS('ON Data'!AA:AA,'ON Data'!$D:$D,$A$4,'ON Data'!$E:$E,9),SUMIFS('ON Data'!AA:AA,'ON Data'!$E:$E,9))</f>
        <v>1000</v>
      </c>
      <c r="L19" s="405">
        <f xml:space="preserve">
IF($A$4&lt;=12,SUMIFS('ON Data'!AO:AO,'ON Data'!$D:$D,$A$4,'ON Data'!$E:$E,9),SUMIFS('ON Data'!AO:AO,'ON Data'!$E:$E,9))</f>
        <v>5500</v>
      </c>
      <c r="M19" s="405">
        <f xml:space="preserve">
IF($A$4&lt;=12,SUMIFS('ON Data'!AQ:AQ,'ON Data'!$D:$D,$A$4,'ON Data'!$E:$E,9),SUMIFS('ON Data'!AQ:AQ,'ON Data'!$E:$E,9))</f>
        <v>1000</v>
      </c>
      <c r="N19" s="405">
        <f xml:space="preserve">
IF($A$4&lt;=12,SUMIFS('ON Data'!AT:AT,'ON Data'!$D:$D,$A$4,'ON Data'!$E:$E,9),SUMIFS('ON Data'!AT:AT,'ON Data'!$E:$E,9))</f>
        <v>19300</v>
      </c>
      <c r="O19" s="480"/>
    </row>
    <row r="20" spans="1:46" ht="15" collapsed="1" thickBot="1" x14ac:dyDescent="0.35">
      <c r="A20" s="386" t="s">
        <v>94</v>
      </c>
      <c r="B20" s="517">
        <f xml:space="preserve">
IF($A$4&lt;=12,SUMIFS('ON Data'!F:F,'ON Data'!$D:$D,$A$4,'ON Data'!$E:$E,6),SUMIFS('ON Data'!F:F,'ON Data'!$E:$E,6))</f>
        <v>11162349</v>
      </c>
      <c r="C20" s="503"/>
      <c r="D20" s="503">
        <f xml:space="preserve">
IF($A$4&lt;=12,SUMIFS('ON Data'!J:J,'ON Data'!$D:$D,$A$4,'ON Data'!$E:$E,6),SUMIFS('ON Data'!J:J,'ON Data'!$E:$E,6))</f>
        <v>503200</v>
      </c>
      <c r="E20" s="503">
        <f xml:space="preserve">
IF($A$4&lt;=12,SUMIFS('ON Data'!K:K,'ON Data'!$D:$D,$A$4,'ON Data'!$E:$E,6),SUMIFS('ON Data'!K:K,'ON Data'!$E:$E,6))</f>
        <v>602322</v>
      </c>
      <c r="F20" s="503">
        <f xml:space="preserve">
IF($A$4&lt;=12,SUMIFS('ON Data'!L:L,'ON Data'!$D:$D,$A$4,'ON Data'!$E:$E,6),SUMIFS('ON Data'!L:L,'ON Data'!$E:$E,6))</f>
        <v>2956173</v>
      </c>
      <c r="G20" s="503">
        <f xml:space="preserve">
IF($A$4&lt;=12,SUMIFS('ON Data'!P:P,'ON Data'!$D:$D,$A$4,'ON Data'!$E:$E,6),SUMIFS('ON Data'!P:P,'ON Data'!$E:$E,6))</f>
        <v>1521</v>
      </c>
      <c r="H20" s="503">
        <f xml:space="preserve">
IF($A$4&lt;=12,SUMIFS('ON Data'!Q:Q,'ON Data'!$D:$D,$A$4,'ON Data'!$E:$E,6),SUMIFS('ON Data'!Q:Q,'ON Data'!$E:$E,6))</f>
        <v>1820591</v>
      </c>
      <c r="I20" s="503">
        <f xml:space="preserve">
IF($A$4&lt;=12,SUMIFS('ON Data'!R:R,'ON Data'!$D:$D,$A$4,'ON Data'!$E:$E,6),SUMIFS('ON Data'!R:R,'ON Data'!$E:$E,6))</f>
        <v>3250811</v>
      </c>
      <c r="J20" s="503">
        <f xml:space="preserve">
IF($A$4&lt;=12,SUMIFS('ON Data'!S:S,'ON Data'!$D:$D,$A$4,'ON Data'!$E:$E,6),SUMIFS('ON Data'!S:S,'ON Data'!$E:$E,6))</f>
        <v>480599</v>
      </c>
      <c r="K20" s="503">
        <f xml:space="preserve">
IF($A$4&lt;=12,SUMIFS('ON Data'!AA:AA,'ON Data'!$D:$D,$A$4,'ON Data'!$E:$E,6),SUMIFS('ON Data'!AA:AA,'ON Data'!$E:$E,6))</f>
        <v>130589</v>
      </c>
      <c r="L20" s="503">
        <f xml:space="preserve">
IF($A$4&lt;=12,SUMIFS('ON Data'!AO:AO,'ON Data'!$D:$D,$A$4,'ON Data'!$E:$E,6),SUMIFS('ON Data'!AO:AO,'ON Data'!$E:$E,6))</f>
        <v>193358</v>
      </c>
      <c r="M20" s="503">
        <f xml:space="preserve">
IF($A$4&lt;=12,SUMIFS('ON Data'!AQ:AQ,'ON Data'!$D:$D,$A$4,'ON Data'!$E:$E,6),SUMIFS('ON Data'!AQ:AQ,'ON Data'!$E:$E,6))</f>
        <v>77858</v>
      </c>
      <c r="N20" s="503">
        <f xml:space="preserve">
IF($A$4&lt;=12,SUMIFS('ON Data'!AT:AT,'ON Data'!$D:$D,$A$4,'ON Data'!$E:$E,6),SUMIFS('ON Data'!AT:AT,'ON Data'!$E:$E,6))</f>
        <v>997281</v>
      </c>
      <c r="O20" s="480"/>
    </row>
    <row r="21" spans="1:46" ht="15" hidden="1" outlineLevel="1" thickBot="1" x14ac:dyDescent="0.35">
      <c r="A21" s="379" t="s">
        <v>131</v>
      </c>
      <c r="B21" s="518">
        <f xml:space="preserve">
IF($A$4&lt;=12,SUMIFS('ON Data'!F:F,'ON Data'!$D:$D,$A$4,'ON Data'!$E:$E,12),SUMIFS('ON Data'!F:F,'ON Data'!$E:$E,12))</f>
        <v>0</v>
      </c>
      <c r="C21" s="502"/>
      <c r="D21" s="502">
        <f xml:space="preserve">
IF($A$4&lt;=12,SUMIFS('ON Data'!J:J,'ON Data'!$D:$D,$A$4,'ON Data'!$E:$E,12),SUMIFS('ON Data'!J:J,'ON Data'!$E:$E,12))</f>
        <v>0</v>
      </c>
      <c r="E21" s="502">
        <f xml:space="preserve">
IF($A$4&lt;=12,SUMIFS('ON Data'!K:K,'ON Data'!$D:$D,$A$4,'ON Data'!$E:$E,12),SUMIFS('ON Data'!K:K,'ON Data'!$E:$E,12))</f>
        <v>0</v>
      </c>
      <c r="F21" s="502">
        <f xml:space="preserve">
IF($A$4&lt;=12,SUMIFS('ON Data'!L:L,'ON Data'!$D:$D,$A$4,'ON Data'!$E:$E,12),SUMIFS('ON Data'!L:L,'ON Data'!$E:$E,12))</f>
        <v>0</v>
      </c>
      <c r="G21" s="502">
        <f xml:space="preserve">
IF($A$4&lt;=12,SUMIFS('ON Data'!P:P,'ON Data'!$D:$D,$A$4,'ON Data'!$E:$E,12),SUMIFS('ON Data'!P:P,'ON Data'!$E:$E,12))</f>
        <v>0</v>
      </c>
      <c r="H21" s="502">
        <f xml:space="preserve">
IF($A$4&lt;=12,SUMIFS('ON Data'!Q:Q,'ON Data'!$D:$D,$A$4,'ON Data'!$E:$E,12),SUMIFS('ON Data'!Q:Q,'ON Data'!$E:$E,12))</f>
        <v>0</v>
      </c>
      <c r="I21" s="502">
        <f xml:space="preserve">
IF($A$4&lt;=12,SUMIFS('ON Data'!R:R,'ON Data'!$D:$D,$A$4,'ON Data'!$E:$E,12),SUMIFS('ON Data'!R:R,'ON Data'!$E:$E,12))</f>
        <v>0</v>
      </c>
      <c r="J21" s="502">
        <f xml:space="preserve">
IF($A$4&lt;=12,SUMIFS('ON Data'!S:S,'ON Data'!$D:$D,$A$4,'ON Data'!$E:$E,12),SUMIFS('ON Data'!S:S,'ON Data'!$E:$E,12))</f>
        <v>0</v>
      </c>
      <c r="K21" s="502">
        <f xml:space="preserve">
IF($A$4&lt;=12,SUMIFS('ON Data'!AA:AA,'ON Data'!$D:$D,$A$4,'ON Data'!$E:$E,12),SUMIFS('ON Data'!AA:AA,'ON Data'!$E:$E,12))</f>
        <v>0</v>
      </c>
      <c r="L21" s="502">
        <f xml:space="preserve">
IF($A$4&lt;=12,SUMIFS('ON Data'!AO:AO,'ON Data'!$D:$D,$A$4,'ON Data'!$E:$E,12),SUMIFS('ON Data'!AO:AO,'ON Data'!$E:$E,12))</f>
        <v>0</v>
      </c>
      <c r="M21" s="502">
        <f xml:space="preserve">
IF($A$4&lt;=12,SUMIFS('ON Data'!AQ:AQ,'ON Data'!$D:$D,$A$4,'ON Data'!$E:$E,12),SUMIFS('ON Data'!AQ:AQ,'ON Data'!$E:$E,12))</f>
        <v>0</v>
      </c>
      <c r="N21" s="502"/>
      <c r="O21" s="480"/>
    </row>
    <row r="22" spans="1:46" ht="15" hidden="1" outlineLevel="1" thickBot="1" x14ac:dyDescent="0.35">
      <c r="A22" s="379" t="s">
        <v>96</v>
      </c>
      <c r="B22" s="519" t="str">
        <f xml:space="preserve">
IF(OR(B21="",B21=0),"",B20/B21)</f>
        <v/>
      </c>
      <c r="C22" s="447"/>
      <c r="D22" s="447" t="str">
        <f t="shared" ref="D22:F22" si="3" xml:space="preserve">
IF(OR(D21="",D21=0),"",D20/D21)</f>
        <v/>
      </c>
      <c r="E22" s="447" t="str">
        <f t="shared" si="3"/>
        <v/>
      </c>
      <c r="F22" s="447" t="str">
        <f t="shared" si="3"/>
        <v/>
      </c>
      <c r="G22" s="447" t="str">
        <f t="shared" ref="G22:M22" si="4" xml:space="preserve">
IF(OR(G21="",G21=0),"",G20/G21)</f>
        <v/>
      </c>
      <c r="H22" s="447" t="str">
        <f t="shared" si="4"/>
        <v/>
      </c>
      <c r="I22" s="447" t="str">
        <f t="shared" si="4"/>
        <v/>
      </c>
      <c r="J22" s="447" t="str">
        <f t="shared" si="4"/>
        <v/>
      </c>
      <c r="K22" s="447" t="str">
        <f t="shared" si="4"/>
        <v/>
      </c>
      <c r="L22" s="447" t="str">
        <f t="shared" si="4"/>
        <v/>
      </c>
      <c r="M22" s="447" t="str">
        <f t="shared" si="4"/>
        <v/>
      </c>
      <c r="N22" s="447"/>
      <c r="O22" s="480"/>
    </row>
    <row r="23" spans="1:46" ht="15" hidden="1" outlineLevel="1" thickBot="1" x14ac:dyDescent="0.35">
      <c r="A23" s="387" t="s">
        <v>69</v>
      </c>
      <c r="B23" s="520">
        <f xml:space="preserve">
IF(B21="","",B20-B21)</f>
        <v>11162349</v>
      </c>
      <c r="C23" s="401"/>
      <c r="D23" s="401">
        <f t="shared" ref="D23:F23" si="5" xml:space="preserve">
IF(D21="","",D20-D21)</f>
        <v>503200</v>
      </c>
      <c r="E23" s="401">
        <f t="shared" si="5"/>
        <v>602322</v>
      </c>
      <c r="F23" s="401">
        <f t="shared" si="5"/>
        <v>2956173</v>
      </c>
      <c r="G23" s="401">
        <f t="shared" ref="G23:M23" si="6" xml:space="preserve">
IF(G21="","",G20-G21)</f>
        <v>1521</v>
      </c>
      <c r="H23" s="401">
        <f t="shared" si="6"/>
        <v>1820591</v>
      </c>
      <c r="I23" s="401">
        <f t="shared" si="6"/>
        <v>3250811</v>
      </c>
      <c r="J23" s="401">
        <f t="shared" si="6"/>
        <v>480599</v>
      </c>
      <c r="K23" s="401">
        <f t="shared" si="6"/>
        <v>130589</v>
      </c>
      <c r="L23" s="401">
        <f t="shared" si="6"/>
        <v>193358</v>
      </c>
      <c r="M23" s="401">
        <f t="shared" si="6"/>
        <v>77858</v>
      </c>
      <c r="N23" s="401"/>
      <c r="O23" s="480"/>
    </row>
    <row r="24" spans="1:46" x14ac:dyDescent="0.3">
      <c r="A24" s="381" t="s">
        <v>236</v>
      </c>
      <c r="B24" s="416" t="s">
        <v>3</v>
      </c>
      <c r="C24" s="514" t="s">
        <v>318</v>
      </c>
      <c r="D24" s="515" t="s">
        <v>319</v>
      </c>
      <c r="E24" s="515" t="s">
        <v>322</v>
      </c>
      <c r="F24" s="516" t="s">
        <v>247</v>
      </c>
      <c r="AT24" s="480"/>
    </row>
    <row r="25" spans="1:46" x14ac:dyDescent="0.3">
      <c r="A25" s="382" t="s">
        <v>94</v>
      </c>
      <c r="B25" s="398">
        <f xml:space="preserve">
SUM(C25:F25)</f>
        <v>30902</v>
      </c>
      <c r="C25" s="505">
        <f xml:space="preserve">
IF($A$4&lt;=12,SUMIFS('ON Data'!$G:$G,'ON Data'!$D:$D,$A$4,'ON Data'!$E:$E,10),SUMIFS('ON Data'!$G:$G,'ON Data'!$E:$E,10))</f>
        <v>8372</v>
      </c>
      <c r="D25" s="506">
        <f xml:space="preserve">
IF($A$4&lt;=12,SUMIFS('ON Data'!$J:$J,'ON Data'!$D:$D,$A$4,'ON Data'!$E:$E,10),SUMIFS('ON Data'!$J:$J,'ON Data'!$E:$E,10))</f>
        <v>0</v>
      </c>
      <c r="E25" s="506">
        <f xml:space="preserve">
IF($A$4&lt;=12,SUMIFS('ON Data'!$H:$H,'ON Data'!$D:$D,$A$4,'ON Data'!$E:$E,10),SUMIFS('ON Data'!$H:$H,'ON Data'!$E:$E,10))</f>
        <v>22530</v>
      </c>
      <c r="F25" s="507">
        <f xml:space="preserve">
IF($A$4&lt;=12,SUMIFS('ON Data'!$I:$I,'ON Data'!$D:$D,$A$4,'ON Data'!$E:$E,10),SUMIFS('ON Data'!$I:$I,'ON Data'!$E:$E,10))</f>
        <v>0</v>
      </c>
    </row>
    <row r="26" spans="1:46" x14ac:dyDescent="0.3">
      <c r="A26" s="388" t="s">
        <v>246</v>
      </c>
      <c r="B26" s="404">
        <f xml:space="preserve">
SUM(C26:F26)</f>
        <v>29000.791768608437</v>
      </c>
      <c r="C26" s="505">
        <f xml:space="preserve">
IF($A$4&lt;=12,SUMIFS('ON Data'!$G:$G,'ON Data'!$D:$D,$A$4,'ON Data'!$E:$E,11),SUMIFS('ON Data'!$G:$G,'ON Data'!$E:$E,11))</f>
        <v>10750.791768608437</v>
      </c>
      <c r="D26" s="506">
        <f xml:space="preserve">
IF($A$4&lt;=12,SUMIFS('ON Data'!$J:$J,'ON Data'!$D:$D,$A$4,'ON Data'!$E:$E,11),SUMIFS('ON Data'!$J:$J,'ON Data'!$E:$E,11))</f>
        <v>0</v>
      </c>
      <c r="E26" s="506">
        <f xml:space="preserve">
IF($A$4&lt;=12,SUMIFS('ON Data'!$H:$H,'ON Data'!$D:$D,$A$4,'ON Data'!$E:$E,11),SUMIFS('ON Data'!$H:$H,'ON Data'!$E:$E,11))</f>
        <v>18250</v>
      </c>
      <c r="F26" s="507">
        <f xml:space="preserve">
IF($A$4&lt;=12,SUMIFS('ON Data'!$I:$I,'ON Data'!$D:$D,$A$4,'ON Data'!$E:$E,11),SUMIFS('ON Data'!$I:$I,'ON Data'!$E:$E,11))</f>
        <v>0</v>
      </c>
    </row>
    <row r="27" spans="1:46" x14ac:dyDescent="0.3">
      <c r="A27" s="388" t="s">
        <v>96</v>
      </c>
      <c r="B27" s="417">
        <f xml:space="preserve">
IF(B26=0,0,B25/B26)</f>
        <v>1.0655571146664176</v>
      </c>
      <c r="C27" s="508">
        <f xml:space="preserve">
IF(C26=0,0,C25/C26)</f>
        <v>0.77873334171029684</v>
      </c>
      <c r="D27" s="509">
        <f t="shared" ref="D27:E27" si="7" xml:space="preserve">
IF(D26=0,0,D25/D26)</f>
        <v>0</v>
      </c>
      <c r="E27" s="509">
        <f t="shared" si="7"/>
        <v>1.2345205479452055</v>
      </c>
      <c r="F27" s="510">
        <f xml:space="preserve">
IF(F26=0,0,F25/F26)</f>
        <v>0</v>
      </c>
    </row>
    <row r="28" spans="1:46" ht="15" thickBot="1" x14ac:dyDescent="0.35">
      <c r="A28" s="388" t="s">
        <v>245</v>
      </c>
      <c r="B28" s="404">
        <f xml:space="preserve">
SUM(C28:F28)</f>
        <v>-1901.2082313915635</v>
      </c>
      <c r="C28" s="511">
        <f xml:space="preserve">
C26-C25</f>
        <v>2378.7917686084365</v>
      </c>
      <c r="D28" s="512">
        <f t="shared" ref="D28:E28" si="8" xml:space="preserve">
D26-D25</f>
        <v>0</v>
      </c>
      <c r="E28" s="512">
        <f t="shared" si="8"/>
        <v>-4280</v>
      </c>
      <c r="F28" s="513">
        <f xml:space="preserve">
F26-F25</f>
        <v>0</v>
      </c>
      <c r="G28" s="480"/>
      <c r="H28" s="480"/>
      <c r="I28" s="480"/>
      <c r="J28" s="480"/>
      <c r="K28" s="480"/>
      <c r="L28" s="480"/>
      <c r="M28" s="480"/>
      <c r="N28" s="480"/>
      <c r="O28" s="480"/>
      <c r="P28" s="480"/>
      <c r="Q28" s="480"/>
      <c r="R28" s="480"/>
      <c r="S28" s="480"/>
      <c r="T28" s="480"/>
      <c r="U28" s="480"/>
      <c r="V28" s="480"/>
      <c r="W28" s="480"/>
      <c r="X28" s="480"/>
      <c r="Y28" s="480"/>
      <c r="Z28" s="480"/>
      <c r="AA28" s="480"/>
      <c r="AB28" s="480"/>
      <c r="AC28" s="480"/>
      <c r="AD28" s="480"/>
      <c r="AE28" s="480"/>
      <c r="AF28" s="480"/>
      <c r="AG28" s="480"/>
      <c r="AH28" s="480"/>
      <c r="AI28" s="480"/>
      <c r="AJ28" s="480"/>
      <c r="AK28" s="480"/>
      <c r="AL28" s="480"/>
      <c r="AM28" s="480"/>
      <c r="AN28" s="480"/>
      <c r="AO28" s="480"/>
      <c r="AP28" s="480"/>
      <c r="AQ28" s="480"/>
      <c r="AR28" s="480"/>
      <c r="AS28" s="480"/>
    </row>
    <row r="29" spans="1:46" x14ac:dyDescent="0.3">
      <c r="A29" s="389"/>
      <c r="B29" s="389"/>
      <c r="C29" s="390"/>
      <c r="D29" s="389"/>
      <c r="E29" s="389"/>
      <c r="F29" s="389"/>
      <c r="G29" s="504"/>
      <c r="H29" s="504"/>
      <c r="I29" s="504"/>
      <c r="J29" s="504"/>
      <c r="K29" s="504"/>
      <c r="L29" s="504"/>
      <c r="M29" s="504"/>
      <c r="N29" s="504"/>
      <c r="O29" s="504"/>
      <c r="P29" s="504"/>
      <c r="Q29" s="504"/>
      <c r="R29" s="504"/>
      <c r="S29" s="504"/>
      <c r="T29" s="504"/>
      <c r="U29" s="504"/>
      <c r="V29" s="504"/>
      <c r="W29" s="504"/>
      <c r="X29" s="504"/>
      <c r="Y29" s="504"/>
      <c r="Z29" s="504"/>
      <c r="AA29" s="504"/>
      <c r="AB29" s="504"/>
      <c r="AC29" s="504"/>
      <c r="AD29" s="504"/>
      <c r="AE29" s="504"/>
      <c r="AF29" s="504"/>
      <c r="AG29" s="504"/>
      <c r="AH29" s="504"/>
      <c r="AI29" s="274"/>
      <c r="AJ29" s="274"/>
      <c r="AK29" s="274"/>
      <c r="AL29" s="274"/>
      <c r="AM29" s="274"/>
    </row>
    <row r="30" spans="1:46" x14ac:dyDescent="0.3">
      <c r="A30" s="222" t="s">
        <v>202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70"/>
      <c r="AL30" s="270"/>
      <c r="AM30" s="270"/>
    </row>
    <row r="31" spans="1:46" x14ac:dyDescent="0.3">
      <c r="A31" s="223" t="s">
        <v>243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70"/>
      <c r="AL31" s="270"/>
      <c r="AM31" s="270"/>
    </row>
    <row r="32" spans="1:46" ht="14.4" customHeight="1" x14ac:dyDescent="0.3">
      <c r="A32" s="413" t="s">
        <v>240</v>
      </c>
      <c r="B32" s="414"/>
      <c r="C32" s="414"/>
      <c r="D32" s="414"/>
      <c r="E32" s="414"/>
      <c r="F32" s="414"/>
      <c r="G32" s="414"/>
      <c r="H32" s="414"/>
      <c r="I32" s="414"/>
      <c r="J32" s="414"/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  <c r="AH32" s="414"/>
      <c r="AI32" s="414"/>
      <c r="AJ32" s="414"/>
    </row>
    <row r="33" spans="1:1" x14ac:dyDescent="0.3">
      <c r="A33" s="415" t="s">
        <v>314</v>
      </c>
    </row>
    <row r="34" spans="1:1" x14ac:dyDescent="0.3">
      <c r="A34" s="415" t="s">
        <v>315</v>
      </c>
    </row>
    <row r="35" spans="1:1" x14ac:dyDescent="0.3">
      <c r="A35" s="415" t="s">
        <v>316</v>
      </c>
    </row>
    <row r="36" spans="1:1" x14ac:dyDescent="0.3">
      <c r="A36" s="415" t="s">
        <v>317</v>
      </c>
    </row>
    <row r="37" spans="1:1" x14ac:dyDescent="0.3">
      <c r="A37" s="415" t="s">
        <v>248</v>
      </c>
    </row>
  </sheetData>
  <mergeCells count="2">
    <mergeCell ref="B3:B4"/>
    <mergeCell ref="A1:B1"/>
  </mergeCells>
  <conditionalFormatting sqref="C27">
    <cfRule type="cellIs" dxfId="30" priority="17" operator="greaterThan">
      <formula>1</formula>
    </cfRule>
  </conditionalFormatting>
  <conditionalFormatting sqref="C28">
    <cfRule type="cellIs" dxfId="29" priority="16" operator="lessThan">
      <formula>0</formula>
    </cfRule>
  </conditionalFormatting>
  <conditionalFormatting sqref="B22:N22">
    <cfRule type="cellIs" dxfId="28" priority="15" operator="greaterThan">
      <formula>1</formula>
    </cfRule>
  </conditionalFormatting>
  <conditionalFormatting sqref="B23:N23">
    <cfRule type="cellIs" dxfId="27" priority="14" operator="greaterThan">
      <formula>0</formula>
    </cfRule>
  </conditionalFormatting>
  <conditionalFormatting sqref="F27">
    <cfRule type="cellIs" dxfId="26" priority="9" operator="greaterThan">
      <formula>1</formula>
    </cfRule>
  </conditionalFormatting>
  <conditionalFormatting sqref="F28">
    <cfRule type="cellIs" dxfId="25" priority="8" operator="lessThan">
      <formula>0</formula>
    </cfRule>
  </conditionalFormatting>
  <conditionalFormatting sqref="E28">
    <cfRule type="cellIs" dxfId="24" priority="1" operator="lessThan">
      <formula>0</formula>
    </cfRule>
  </conditionalFormatting>
  <conditionalFormatting sqref="D28">
    <cfRule type="cellIs" dxfId="23" priority="3" operator="lessThan">
      <formula>0</formula>
    </cfRule>
  </conditionalFormatting>
  <conditionalFormatting sqref="D27">
    <cfRule type="cellIs" dxfId="22" priority="4" operator="greaterThan">
      <formula>1</formula>
    </cfRule>
  </conditionalFormatting>
  <conditionalFormatting sqref="E27">
    <cfRule type="cellIs" dxfId="2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26" t="s">
        <v>151</v>
      </c>
      <c r="B1" s="526"/>
      <c r="C1" s="527"/>
      <c r="D1" s="527"/>
      <c r="E1" s="527"/>
    </row>
    <row r="2" spans="1:5" ht="14.4" customHeight="1" thickBot="1" x14ac:dyDescent="0.35">
      <c r="A2" s="374" t="s">
        <v>323</v>
      </c>
      <c r="B2" s="271"/>
    </row>
    <row r="3" spans="1:5" ht="14.4" customHeight="1" thickBot="1" x14ac:dyDescent="0.35">
      <c r="A3" s="274"/>
      <c r="C3" s="275" t="s">
        <v>131</v>
      </c>
      <c r="D3" s="276" t="s">
        <v>94</v>
      </c>
      <c r="E3" s="277" t="s">
        <v>96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36568.154809182146</v>
      </c>
      <c r="D4" s="280">
        <f ca="1">IF(ISERROR(VLOOKUP("Náklady celkem",INDIRECT("HI!$A:$G"),5,0)),0,VLOOKUP("Náklady celkem",INDIRECT("HI!$A:$G"),5,0))</f>
        <v>35098.667420000012</v>
      </c>
      <c r="E4" s="281">
        <f ca="1">IF(C4=0,0,D4/C4)</f>
        <v>0.95981510697353667</v>
      </c>
    </row>
    <row r="5" spans="1:5" ht="14.4" customHeight="1" x14ac:dyDescent="0.3">
      <c r="A5" s="282" t="s">
        <v>194</v>
      </c>
      <c r="B5" s="283"/>
      <c r="C5" s="284"/>
      <c r="D5" s="284"/>
      <c r="E5" s="285"/>
    </row>
    <row r="6" spans="1:5" ht="14.4" customHeight="1" x14ac:dyDescent="0.3">
      <c r="A6" s="286" t="s">
        <v>199</v>
      </c>
      <c r="B6" s="287"/>
      <c r="C6" s="288"/>
      <c r="D6" s="288"/>
      <c r="E6" s="285"/>
    </row>
    <row r="7" spans="1:5" ht="14.4" customHeight="1" x14ac:dyDescent="0.3">
      <c r="A7" s="44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136</v>
      </c>
      <c r="C7" s="288">
        <f>IF(ISERROR(HI!F5),"",HI!F5)</f>
        <v>1745.7091648349806</v>
      </c>
      <c r="D7" s="288">
        <f>IF(ISERROR(HI!E5),"",HI!E5)</f>
        <v>1937.9864900000007</v>
      </c>
      <c r="E7" s="285">
        <f t="shared" ref="E7:E15" si="0">IF(C7=0,0,D7/C7)</f>
        <v>1.1101428170500529</v>
      </c>
    </row>
    <row r="8" spans="1:5" ht="14.4" customHeight="1" x14ac:dyDescent="0.3">
      <c r="A8" s="442" t="str">
        <f>HYPERLINK("#'LŽ PL'!A1","Plnění pozitivního listu (min. 90%)")</f>
        <v>Plnění pozitivního listu (min. 90%)</v>
      </c>
      <c r="B8" s="287" t="s">
        <v>186</v>
      </c>
      <c r="C8" s="289">
        <v>0.9</v>
      </c>
      <c r="D8" s="289">
        <f>IF(ISERROR(VLOOKUP("celkem",'LŽ PL'!$A:$F,5,0)),0,VLOOKUP("celkem",'LŽ PL'!$A:$F,5,0))</f>
        <v>0.97941692463910424</v>
      </c>
      <c r="E8" s="285">
        <f t="shared" si="0"/>
        <v>1.0882410273767824</v>
      </c>
    </row>
    <row r="9" spans="1:5" ht="14.4" customHeight="1" x14ac:dyDescent="0.3">
      <c r="A9" s="442" t="str">
        <f>HYPERLINK("#'LŽ Statim'!A1","Podíl statimových žádanek (max. 30%)")</f>
        <v>Podíl statimových žádanek (max. 30%)</v>
      </c>
      <c r="B9" s="440" t="s">
        <v>265</v>
      </c>
      <c r="C9" s="441">
        <v>0.3</v>
      </c>
      <c r="D9" s="441">
        <f>IF('LŽ Statim'!G3="",0,'LŽ Statim'!G3)</f>
        <v>0.26018654884634268</v>
      </c>
      <c r="E9" s="285">
        <f>IF(C9=0,0,D9/C9)</f>
        <v>0.86728849615447567</v>
      </c>
    </row>
    <row r="10" spans="1:5" ht="14.4" customHeight="1" x14ac:dyDescent="0.3">
      <c r="A10" s="290" t="s">
        <v>195</v>
      </c>
      <c r="B10" s="287"/>
      <c r="C10" s="288"/>
      <c r="D10" s="288"/>
      <c r="E10" s="285"/>
    </row>
    <row r="11" spans="1:5" ht="14.4" customHeight="1" x14ac:dyDescent="0.3">
      <c r="A11" s="442" t="str">
        <f>HYPERLINK("#'Léky Recepty'!A1","Záchyt v lékárně (Úhrada Kč, min. 60%)")</f>
        <v>Záchyt v lékárně (Úhrada Kč, min. 60%)</v>
      </c>
      <c r="B11" s="287" t="s">
        <v>141</v>
      </c>
      <c r="C11" s="289">
        <v>0.6</v>
      </c>
      <c r="D11" s="289">
        <f>IF(ISERROR(VLOOKUP("Celkem",'Léky Recepty'!B:H,5,0)),0,VLOOKUP("Celkem",'Léky Recepty'!B:H,5,0))</f>
        <v>0.88874217418742352</v>
      </c>
      <c r="E11" s="285">
        <f t="shared" si="0"/>
        <v>1.4812369569790393</v>
      </c>
    </row>
    <row r="12" spans="1:5" ht="14.4" customHeight="1" x14ac:dyDescent="0.3">
      <c r="A12" s="442" t="str">
        <f>HYPERLINK("#'LRp PL'!A1","Plnění pozitivního listu (min. 80%)")</f>
        <v>Plnění pozitivního listu (min. 80%)</v>
      </c>
      <c r="B12" s="287" t="s">
        <v>187</v>
      </c>
      <c r="C12" s="289">
        <v>0.8</v>
      </c>
      <c r="D12" s="289">
        <f>IF(ISERROR(VLOOKUP("Celkem",'LRp PL'!A:F,5,0)),0,VLOOKUP("Celkem",'LRp PL'!A:F,5,0))</f>
        <v>0.94672663319697525</v>
      </c>
      <c r="E12" s="285">
        <f t="shared" si="0"/>
        <v>1.183408291496219</v>
      </c>
    </row>
    <row r="13" spans="1:5" ht="14.4" customHeight="1" x14ac:dyDescent="0.3">
      <c r="A13" s="290" t="s">
        <v>196</v>
      </c>
      <c r="B13" s="287"/>
      <c r="C13" s="288"/>
      <c r="D13" s="288"/>
      <c r="E13" s="285"/>
    </row>
    <row r="14" spans="1:5" ht="14.4" customHeight="1" x14ac:dyDescent="0.3">
      <c r="A14" s="291" t="s">
        <v>200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136</v>
      </c>
      <c r="C15" s="288">
        <f>IF(ISERROR(HI!F6),"",HI!F6)</f>
        <v>15105.303795199521</v>
      </c>
      <c r="D15" s="288">
        <f>IF(ISERROR(HI!E6),"",HI!E6)</f>
        <v>13487.941090000011</v>
      </c>
      <c r="E15" s="285">
        <f t="shared" si="0"/>
        <v>0.89292749572415031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15276</v>
      </c>
      <c r="D16" s="284">
        <f ca="1">IF(ISERROR(VLOOKUP("Osobní náklady (Kč) *",INDIRECT("HI!$A:$G"),5,0)),0,VLOOKUP("Osobní náklady (Kč) *",INDIRECT("HI!$A:$G"),5,0))</f>
        <v>15167.711170000006</v>
      </c>
      <c r="E16" s="285">
        <f ca="1">IF(C16=0,0,D16/C16)</f>
        <v>0.99291117897355363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36900.626600000003</v>
      </c>
      <c r="D18" s="303">
        <f ca="1">IF(ISERROR(VLOOKUP("Výnosy celkem",INDIRECT("HI!$A:$G"),5,0)),0,VLOOKUP("Výnosy celkem",INDIRECT("HI!$A:$G"),5,0))</f>
        <v>35193.20059</v>
      </c>
      <c r="E18" s="304">
        <f t="shared" ref="E18:E31" ca="1" si="1">IF(C18=0,0,D18/C18)</f>
        <v>0.95372907813982755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578.12660000000017</v>
      </c>
      <c r="D19" s="284">
        <f ca="1">IF(ISERROR(VLOOKUP("Ambulance *",INDIRECT("HI!$A:$G"),5,0)),0,VLOOKUP("Ambulance *",INDIRECT("HI!$A:$G"),5,0))</f>
        <v>621.32059000000004</v>
      </c>
      <c r="E19" s="285">
        <f t="shared" ca="1" si="1"/>
        <v>1.0747137218733749</v>
      </c>
    </row>
    <row r="20" spans="1:5" ht="14.4" customHeight="1" x14ac:dyDescent="0.3">
      <c r="A20" s="471" t="str">
        <f>HYPERLINK("#'ZV Vykáz.-A'!A1","Zdravotní výkony vykázané u ambulantních pacientů (min. 100 % 2016)")</f>
        <v>Zdravotní výkony vykázané u ambulantních pacientů (min. 100 % 2016)</v>
      </c>
      <c r="B20" s="472" t="s">
        <v>153</v>
      </c>
      <c r="C20" s="289">
        <v>1</v>
      </c>
      <c r="D20" s="289">
        <f>IF(ISERROR(VLOOKUP("Celkem:",'ZV Vykáz.-A'!$A:$AB,10,0)),"",VLOOKUP("Celkem:",'ZV Vykáz.-A'!$A:$AB,10,0))</f>
        <v>1.0747137218733749</v>
      </c>
      <c r="E20" s="285">
        <f t="shared" si="1"/>
        <v>1.0747137218733749</v>
      </c>
    </row>
    <row r="21" spans="1:5" ht="14.4" customHeight="1" x14ac:dyDescent="0.3">
      <c r="A21" s="469" t="str">
        <f>HYPERLINK("#'ZV Vykáz.-A'!A1","Specializovaná ambulantní péče")</f>
        <v>Specializovaná ambulantní péče</v>
      </c>
      <c r="B21" s="472" t="s">
        <v>153</v>
      </c>
      <c r="C21" s="289">
        <v>1</v>
      </c>
      <c r="D21" s="441">
        <f>IF(ISERROR(VLOOKUP("Specializovaná ambulantní péče",'ZV Vykáz.-A'!$A:$AB,10,0)),"",VLOOKUP("Specializovaná ambulantní péče",'ZV Vykáz.-A'!$A:$AB,10,0))</f>
        <v>1.0747137218733749</v>
      </c>
      <c r="E21" s="285">
        <f t="shared" si="1"/>
        <v>1.0747137218733749</v>
      </c>
    </row>
    <row r="22" spans="1:5" ht="14.4" customHeight="1" x14ac:dyDescent="0.3">
      <c r="A22" s="469" t="str">
        <f>HYPERLINK("#'ZV Vykáz.-A'!A1","Ambulantní péče ve vyjmenovaných odbornostech (§9)")</f>
        <v>Ambulantní péče ve vyjmenovaných odbornostech (§9)</v>
      </c>
      <c r="B22" s="472" t="s">
        <v>153</v>
      </c>
      <c r="C22" s="289">
        <v>1</v>
      </c>
      <c r="D22" s="441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72" t="s">
        <v>155</v>
      </c>
      <c r="C23" s="289">
        <v>0.85</v>
      </c>
      <c r="D23" s="289">
        <f>IF(ISERROR(VLOOKUP("Celkem:",'ZV Vykáz.-H'!$A:$S,7,0)),"",VLOOKUP("Celkem:",'ZV Vykáz.-H'!$A:$S,7,0))</f>
        <v>0.99573027428636685</v>
      </c>
      <c r="E23" s="285">
        <f t="shared" si="1"/>
        <v>1.1714473815133728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36322.5</v>
      </c>
      <c r="D24" s="284">
        <f ca="1">IF(ISERROR(VLOOKUP("Hospitalizace *",INDIRECT("HI!$A:$G"),5,0)),0,VLOOKUP("Hospitalizace *",INDIRECT("HI!$A:$G"),5,0))</f>
        <v>34571.879999999997</v>
      </c>
      <c r="E24" s="285">
        <f ca="1">IF(C24=0,0,D24/C24)</f>
        <v>0.95180342762750358</v>
      </c>
    </row>
    <row r="25" spans="1:5" ht="14.4" customHeight="1" x14ac:dyDescent="0.3">
      <c r="A25" s="471" t="str">
        <f>HYPERLINK("#'CaseMix'!A1","Casemix (min. 100 % 2016)")</f>
        <v>Casemix (min. 100 % 2016)</v>
      </c>
      <c r="B25" s="287" t="s">
        <v>71</v>
      </c>
      <c r="C25" s="289">
        <v>1</v>
      </c>
      <c r="D25" s="289">
        <f>IF(ISERROR(VLOOKUP("Celkem",CaseMix!A:O,6,0)),0,VLOOKUP("Celkem",CaseMix!A:O,6,0))</f>
        <v>0.95180342762750358</v>
      </c>
      <c r="E25" s="285">
        <f t="shared" si="1"/>
        <v>0.95180342762750358</v>
      </c>
    </row>
    <row r="26" spans="1:5" ht="14.4" customHeight="1" x14ac:dyDescent="0.3">
      <c r="A26" s="470" t="str">
        <f>HYPERLINK("#'CaseMix'!A1","DRG - Úhrada formou případového paušálu")</f>
        <v>DRG - Úhrada formou případového paušálu</v>
      </c>
      <c r="B26" s="287" t="s">
        <v>71</v>
      </c>
      <c r="C26" s="289">
        <v>1</v>
      </c>
      <c r="D26" s="289">
        <f>IF(ISERROR(CaseMix!F26),"",CaseMix!F26)</f>
        <v>0.95180342762750358</v>
      </c>
      <c r="E26" s="285">
        <f t="shared" si="1"/>
        <v>0.95180342762750358</v>
      </c>
    </row>
    <row r="27" spans="1:5" ht="14.4" customHeight="1" x14ac:dyDescent="0.3">
      <c r="A27" s="470" t="str">
        <f>HYPERLINK("#'CaseMix'!A1","DRG - Individuálně smluvně sjednaná složka úhrady")</f>
        <v>DRG - Individuálně smluvně sjednaná složka úhrady</v>
      </c>
      <c r="B27" s="287" t="s">
        <v>71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69" t="str">
        <f>HYPERLINK("#'CaseMix'!A1","DRG - Úhrada vyčleněná z úhrady formou případového paušálu")</f>
        <v>DRG - Úhrada vyčleněná z úhrady formou případového paušálu</v>
      </c>
      <c r="B28" s="287" t="s">
        <v>71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71</v>
      </c>
      <c r="C29" s="289">
        <v>0.95</v>
      </c>
      <c r="D29" s="289">
        <f>IF(ISERROR(CaseMix!K13),"",CaseMix!K13)</f>
        <v>0.964769647696477</v>
      </c>
      <c r="E29" s="285">
        <f t="shared" si="1"/>
        <v>1.0155469975752389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86</v>
      </c>
      <c r="C30" s="289">
        <v>1</v>
      </c>
      <c r="D30" s="308">
        <f>IF(ISERROR(INDEX(ALOS!$E:$E,COUNT(ALOS!$E:$E)+32)),0,INDEX(ALOS!$E:$E,COUNT(ALOS!$E:$E)+32))</f>
        <v>0.77136407610448243</v>
      </c>
      <c r="E30" s="285">
        <f t="shared" si="1"/>
        <v>0.77136407610448243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150</v>
      </c>
      <c r="C31" s="289">
        <f>IF(E25&gt;1,95%,95%-2*ABS(C25-D25))</f>
        <v>0.85360685525500712</v>
      </c>
      <c r="D31" s="289">
        <f>IF(ISERROR(VLOOKUP("Celkem:",'ZV Vyžád.'!$A:$M,7,0)),"",VLOOKUP("Celkem:",'ZV Vyžád.'!$A:$M,7,0))</f>
        <v>0.9174692634316981</v>
      </c>
      <c r="E31" s="285">
        <f t="shared" si="1"/>
        <v>1.0748147789389679</v>
      </c>
    </row>
    <row r="32" spans="1:5" ht="14.4" customHeight="1" thickBot="1" x14ac:dyDescent="0.35">
      <c r="A32" s="310" t="s">
        <v>197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198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90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8" priority="5" operator="lessThan">
      <formula>1</formula>
    </cfRule>
  </conditionalFormatting>
  <conditionalFormatting sqref="E30:E31 E4 E7 E15 E22:E23">
    <cfRule type="cellIs" dxfId="87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5"/>
  <sheetViews>
    <sheetView showGridLines="0" workbookViewId="0"/>
  </sheetViews>
  <sheetFormatPr defaultRowHeight="14.4" x14ac:dyDescent="0.3"/>
  <cols>
    <col min="1" max="16384" width="8.88671875" style="370"/>
  </cols>
  <sheetData>
    <row r="1" spans="1:49" x14ac:dyDescent="0.3">
      <c r="A1" s="370" t="s">
        <v>2969</v>
      </c>
    </row>
    <row r="2" spans="1:49" x14ac:dyDescent="0.3">
      <c r="A2" s="374" t="s">
        <v>323</v>
      </c>
    </row>
    <row r="3" spans="1:49" x14ac:dyDescent="0.3">
      <c r="A3" s="370" t="s">
        <v>212</v>
      </c>
      <c r="B3" s="393">
        <v>2017</v>
      </c>
      <c r="D3" s="371">
        <f>MAX(D5:D1048576)</f>
        <v>3</v>
      </c>
      <c r="F3" s="371">
        <f>SUMIF($E5:$E1048576,"&lt;10",F5:F1048576)</f>
        <v>11374195.859999999</v>
      </c>
      <c r="G3" s="371">
        <f t="shared" ref="G3:AW3" si="0">SUMIF($E5:$E1048576,"&lt;10",G5:G1048576)</f>
        <v>0</v>
      </c>
      <c r="H3" s="371">
        <f t="shared" si="0"/>
        <v>0</v>
      </c>
      <c r="I3" s="371">
        <f t="shared" si="0"/>
        <v>149076</v>
      </c>
      <c r="J3" s="371">
        <f t="shared" si="0"/>
        <v>504930</v>
      </c>
      <c r="K3" s="371">
        <f t="shared" si="0"/>
        <v>604144</v>
      </c>
      <c r="L3" s="371">
        <f t="shared" si="0"/>
        <v>3000853.5</v>
      </c>
      <c r="M3" s="371">
        <f t="shared" si="0"/>
        <v>0</v>
      </c>
      <c r="N3" s="371">
        <f t="shared" si="0"/>
        <v>0</v>
      </c>
      <c r="O3" s="371">
        <f t="shared" si="0"/>
        <v>0</v>
      </c>
      <c r="P3" s="371">
        <f t="shared" si="0"/>
        <v>1521</v>
      </c>
      <c r="Q3" s="371">
        <f t="shared" si="0"/>
        <v>1865246.75</v>
      </c>
      <c r="R3" s="371">
        <f t="shared" si="0"/>
        <v>3324111.0700000003</v>
      </c>
      <c r="S3" s="371">
        <f t="shared" si="0"/>
        <v>488309.54</v>
      </c>
      <c r="T3" s="371">
        <f t="shared" si="0"/>
        <v>0</v>
      </c>
      <c r="U3" s="371">
        <f t="shared" si="0"/>
        <v>0</v>
      </c>
      <c r="V3" s="371">
        <f t="shared" si="0"/>
        <v>0</v>
      </c>
      <c r="W3" s="371">
        <f t="shared" si="0"/>
        <v>0</v>
      </c>
      <c r="X3" s="371">
        <f t="shared" si="0"/>
        <v>0</v>
      </c>
      <c r="Y3" s="371">
        <f t="shared" si="0"/>
        <v>0</v>
      </c>
      <c r="Z3" s="371">
        <f t="shared" si="0"/>
        <v>0</v>
      </c>
      <c r="AA3" s="371">
        <f t="shared" si="0"/>
        <v>132441</v>
      </c>
      <c r="AB3" s="371">
        <f t="shared" si="0"/>
        <v>0</v>
      </c>
      <c r="AC3" s="371">
        <f t="shared" si="0"/>
        <v>0</v>
      </c>
      <c r="AD3" s="371">
        <f t="shared" si="0"/>
        <v>0</v>
      </c>
      <c r="AE3" s="371">
        <f t="shared" si="0"/>
        <v>0</v>
      </c>
      <c r="AF3" s="371">
        <f t="shared" si="0"/>
        <v>0</v>
      </c>
      <c r="AG3" s="371">
        <f t="shared" si="0"/>
        <v>0</v>
      </c>
      <c r="AH3" s="371">
        <f t="shared" si="0"/>
        <v>0</v>
      </c>
      <c r="AI3" s="371">
        <f t="shared" si="0"/>
        <v>0</v>
      </c>
      <c r="AJ3" s="371">
        <f t="shared" si="0"/>
        <v>0</v>
      </c>
      <c r="AK3" s="371">
        <f t="shared" si="0"/>
        <v>0</v>
      </c>
      <c r="AL3" s="371">
        <f t="shared" si="0"/>
        <v>0</v>
      </c>
      <c r="AM3" s="371">
        <f t="shared" si="0"/>
        <v>0</v>
      </c>
      <c r="AN3" s="371">
        <f t="shared" si="0"/>
        <v>0</v>
      </c>
      <c r="AO3" s="371">
        <f t="shared" si="0"/>
        <v>200359</v>
      </c>
      <c r="AP3" s="371">
        <f t="shared" si="0"/>
        <v>0</v>
      </c>
      <c r="AQ3" s="371">
        <f t="shared" si="0"/>
        <v>79348.5</v>
      </c>
      <c r="AR3" s="371">
        <f t="shared" si="0"/>
        <v>0</v>
      </c>
      <c r="AS3" s="371">
        <f t="shared" si="0"/>
        <v>0</v>
      </c>
      <c r="AT3" s="371">
        <f t="shared" si="0"/>
        <v>1023855.5</v>
      </c>
      <c r="AU3" s="371">
        <f t="shared" si="0"/>
        <v>0</v>
      </c>
      <c r="AV3" s="371">
        <f t="shared" si="0"/>
        <v>0</v>
      </c>
      <c r="AW3" s="371">
        <f t="shared" si="0"/>
        <v>0</v>
      </c>
    </row>
    <row r="4" spans="1:49" x14ac:dyDescent="0.3">
      <c r="A4" s="370" t="s">
        <v>213</v>
      </c>
      <c r="B4" s="393">
        <v>1</v>
      </c>
      <c r="C4" s="372" t="s">
        <v>5</v>
      </c>
      <c r="D4" s="373" t="s">
        <v>68</v>
      </c>
      <c r="E4" s="373" t="s">
        <v>211</v>
      </c>
      <c r="F4" s="373" t="s">
        <v>3</v>
      </c>
      <c r="G4" s="373">
        <v>0</v>
      </c>
      <c r="H4" s="373">
        <v>25</v>
      </c>
      <c r="I4" s="373">
        <v>30</v>
      </c>
      <c r="J4" s="373">
        <v>99</v>
      </c>
      <c r="K4" s="373">
        <v>100</v>
      </c>
      <c r="L4" s="373">
        <v>101</v>
      </c>
      <c r="M4" s="373">
        <v>102</v>
      </c>
      <c r="N4" s="373">
        <v>103</v>
      </c>
      <c r="O4" s="373">
        <v>203</v>
      </c>
      <c r="P4" s="373">
        <v>302</v>
      </c>
      <c r="Q4" s="373">
        <v>303</v>
      </c>
      <c r="R4" s="373">
        <v>304</v>
      </c>
      <c r="S4" s="373">
        <v>305</v>
      </c>
      <c r="T4" s="373">
        <v>306</v>
      </c>
      <c r="U4" s="373">
        <v>407</v>
      </c>
      <c r="V4" s="373">
        <v>408</v>
      </c>
      <c r="W4" s="373">
        <v>409</v>
      </c>
      <c r="X4" s="373">
        <v>410</v>
      </c>
      <c r="Y4" s="373">
        <v>415</v>
      </c>
      <c r="Z4" s="373">
        <v>416</v>
      </c>
      <c r="AA4" s="373">
        <v>418</v>
      </c>
      <c r="AB4" s="373">
        <v>419</v>
      </c>
      <c r="AC4" s="373">
        <v>420</v>
      </c>
      <c r="AD4" s="373">
        <v>421</v>
      </c>
      <c r="AE4" s="373">
        <v>422</v>
      </c>
      <c r="AF4" s="373">
        <v>520</v>
      </c>
      <c r="AG4" s="373">
        <v>521</v>
      </c>
      <c r="AH4" s="373">
        <v>522</v>
      </c>
      <c r="AI4" s="373">
        <v>523</v>
      </c>
      <c r="AJ4" s="373">
        <v>524</v>
      </c>
      <c r="AK4" s="373">
        <v>525</v>
      </c>
      <c r="AL4" s="373">
        <v>526</v>
      </c>
      <c r="AM4" s="373">
        <v>527</v>
      </c>
      <c r="AN4" s="373">
        <v>528</v>
      </c>
      <c r="AO4" s="373">
        <v>629</v>
      </c>
      <c r="AP4" s="373">
        <v>630</v>
      </c>
      <c r="AQ4" s="373">
        <v>636</v>
      </c>
      <c r="AR4" s="373">
        <v>637</v>
      </c>
      <c r="AS4" s="373">
        <v>640</v>
      </c>
      <c r="AT4" s="373">
        <v>642</v>
      </c>
      <c r="AU4" s="373">
        <v>743</v>
      </c>
      <c r="AV4" s="373">
        <v>745</v>
      </c>
      <c r="AW4" s="373">
        <v>746</v>
      </c>
    </row>
    <row r="5" spans="1:49" x14ac:dyDescent="0.3">
      <c r="A5" s="370" t="s">
        <v>214</v>
      </c>
      <c r="B5" s="393">
        <v>2</v>
      </c>
      <c r="C5" s="370">
        <v>6</v>
      </c>
      <c r="D5" s="370">
        <v>1</v>
      </c>
      <c r="E5" s="370">
        <v>1</v>
      </c>
      <c r="F5" s="370">
        <v>96.5</v>
      </c>
      <c r="G5" s="370">
        <v>0</v>
      </c>
      <c r="H5" s="370">
        <v>0</v>
      </c>
      <c r="I5" s="370">
        <v>2</v>
      </c>
      <c r="J5" s="370">
        <v>3</v>
      </c>
      <c r="K5" s="370">
        <v>3</v>
      </c>
      <c r="L5" s="370">
        <v>8</v>
      </c>
      <c r="M5" s="370">
        <v>0</v>
      </c>
      <c r="N5" s="370">
        <v>0</v>
      </c>
      <c r="O5" s="370">
        <v>0</v>
      </c>
      <c r="P5" s="370">
        <v>0</v>
      </c>
      <c r="Q5" s="370">
        <v>20.5</v>
      </c>
      <c r="R5" s="370">
        <v>31.25</v>
      </c>
      <c r="S5" s="370">
        <v>7.75</v>
      </c>
      <c r="T5" s="370">
        <v>0</v>
      </c>
      <c r="U5" s="370">
        <v>0</v>
      </c>
      <c r="V5" s="370">
        <v>0</v>
      </c>
      <c r="W5" s="370">
        <v>0</v>
      </c>
      <c r="X5" s="370">
        <v>0</v>
      </c>
      <c r="Y5" s="370">
        <v>0</v>
      </c>
      <c r="Z5" s="370">
        <v>0</v>
      </c>
      <c r="AA5" s="370">
        <v>2</v>
      </c>
      <c r="AB5" s="370">
        <v>0</v>
      </c>
      <c r="AC5" s="370">
        <v>0</v>
      </c>
      <c r="AD5" s="370">
        <v>0</v>
      </c>
      <c r="AE5" s="370">
        <v>0</v>
      </c>
      <c r="AF5" s="370">
        <v>0</v>
      </c>
      <c r="AG5" s="370">
        <v>0</v>
      </c>
      <c r="AH5" s="370">
        <v>0</v>
      </c>
      <c r="AI5" s="370">
        <v>0</v>
      </c>
      <c r="AJ5" s="370">
        <v>0</v>
      </c>
      <c r="AK5" s="370">
        <v>0</v>
      </c>
      <c r="AL5" s="370">
        <v>0</v>
      </c>
      <c r="AM5" s="370">
        <v>0</v>
      </c>
      <c r="AN5" s="370">
        <v>0</v>
      </c>
      <c r="AO5" s="370">
        <v>3</v>
      </c>
      <c r="AP5" s="370">
        <v>0</v>
      </c>
      <c r="AQ5" s="370">
        <v>1</v>
      </c>
      <c r="AR5" s="370">
        <v>0</v>
      </c>
      <c r="AS5" s="370">
        <v>0</v>
      </c>
      <c r="AT5" s="370">
        <v>15</v>
      </c>
      <c r="AU5" s="370">
        <v>0</v>
      </c>
      <c r="AV5" s="370">
        <v>0</v>
      </c>
      <c r="AW5" s="370">
        <v>0</v>
      </c>
    </row>
    <row r="6" spans="1:49" x14ac:dyDescent="0.3">
      <c r="A6" s="370" t="s">
        <v>215</v>
      </c>
      <c r="B6" s="393">
        <v>3</v>
      </c>
      <c r="C6" s="370">
        <v>6</v>
      </c>
      <c r="D6" s="370">
        <v>1</v>
      </c>
      <c r="E6" s="370">
        <v>2</v>
      </c>
      <c r="F6" s="370">
        <v>14405.08</v>
      </c>
      <c r="G6" s="370">
        <v>0</v>
      </c>
      <c r="H6" s="370">
        <v>0</v>
      </c>
      <c r="I6" s="370">
        <v>352</v>
      </c>
      <c r="J6" s="370">
        <v>528</v>
      </c>
      <c r="K6" s="370">
        <v>520</v>
      </c>
      <c r="L6" s="370">
        <v>1324</v>
      </c>
      <c r="M6" s="370">
        <v>0</v>
      </c>
      <c r="N6" s="370">
        <v>0</v>
      </c>
      <c r="O6" s="370">
        <v>0</v>
      </c>
      <c r="P6" s="370">
        <v>0</v>
      </c>
      <c r="Q6" s="370">
        <v>3350.5</v>
      </c>
      <c r="R6" s="370">
        <v>4322.8099999999995</v>
      </c>
      <c r="S6" s="370">
        <v>560.77</v>
      </c>
      <c r="T6" s="370">
        <v>0</v>
      </c>
      <c r="U6" s="370">
        <v>0</v>
      </c>
      <c r="V6" s="370">
        <v>0</v>
      </c>
      <c r="W6" s="370">
        <v>0</v>
      </c>
      <c r="X6" s="370">
        <v>0</v>
      </c>
      <c r="Y6" s="370">
        <v>0</v>
      </c>
      <c r="Z6" s="370">
        <v>0</v>
      </c>
      <c r="AA6" s="370">
        <v>330</v>
      </c>
      <c r="AB6" s="370">
        <v>0</v>
      </c>
      <c r="AC6" s="370">
        <v>0</v>
      </c>
      <c r="AD6" s="370">
        <v>0</v>
      </c>
      <c r="AE6" s="370">
        <v>0</v>
      </c>
      <c r="AF6" s="370">
        <v>0</v>
      </c>
      <c r="AG6" s="370">
        <v>0</v>
      </c>
      <c r="AH6" s="370">
        <v>0</v>
      </c>
      <c r="AI6" s="370">
        <v>0</v>
      </c>
      <c r="AJ6" s="370">
        <v>0</v>
      </c>
      <c r="AK6" s="370">
        <v>0</v>
      </c>
      <c r="AL6" s="370">
        <v>0</v>
      </c>
      <c r="AM6" s="370">
        <v>0</v>
      </c>
      <c r="AN6" s="370">
        <v>0</v>
      </c>
      <c r="AO6" s="370">
        <v>523.5</v>
      </c>
      <c r="AP6" s="370">
        <v>0</v>
      </c>
      <c r="AQ6" s="370">
        <v>165</v>
      </c>
      <c r="AR6" s="370">
        <v>0</v>
      </c>
      <c r="AS6" s="370">
        <v>0</v>
      </c>
      <c r="AT6" s="370">
        <v>2428.5</v>
      </c>
      <c r="AU6" s="370">
        <v>0</v>
      </c>
      <c r="AV6" s="370">
        <v>0</v>
      </c>
      <c r="AW6" s="370">
        <v>0</v>
      </c>
    </row>
    <row r="7" spans="1:49" x14ac:dyDescent="0.3">
      <c r="A7" s="370" t="s">
        <v>216</v>
      </c>
      <c r="B7" s="393">
        <v>4</v>
      </c>
      <c r="C7" s="370">
        <v>6</v>
      </c>
      <c r="D7" s="370">
        <v>1</v>
      </c>
      <c r="E7" s="370">
        <v>4</v>
      </c>
      <c r="F7" s="370">
        <v>595.5</v>
      </c>
      <c r="G7" s="370">
        <v>0</v>
      </c>
      <c r="H7" s="370">
        <v>0</v>
      </c>
      <c r="I7" s="370">
        <v>0</v>
      </c>
      <c r="J7" s="370">
        <v>59.5</v>
      </c>
      <c r="K7" s="370">
        <v>89</v>
      </c>
      <c r="L7" s="370">
        <v>236.5</v>
      </c>
      <c r="M7" s="370">
        <v>0</v>
      </c>
      <c r="N7" s="370">
        <v>0</v>
      </c>
      <c r="O7" s="370">
        <v>0</v>
      </c>
      <c r="P7" s="370">
        <v>0</v>
      </c>
      <c r="Q7" s="370">
        <v>82</v>
      </c>
      <c r="R7" s="370">
        <v>71.5</v>
      </c>
      <c r="S7" s="370">
        <v>0</v>
      </c>
      <c r="T7" s="370">
        <v>0</v>
      </c>
      <c r="U7" s="370">
        <v>0</v>
      </c>
      <c r="V7" s="370">
        <v>0</v>
      </c>
      <c r="W7" s="370">
        <v>0</v>
      </c>
      <c r="X7" s="370">
        <v>0</v>
      </c>
      <c r="Y7" s="370">
        <v>0</v>
      </c>
      <c r="Z7" s="370">
        <v>0</v>
      </c>
      <c r="AA7" s="370">
        <v>0</v>
      </c>
      <c r="AB7" s="370">
        <v>0</v>
      </c>
      <c r="AC7" s="370">
        <v>0</v>
      </c>
      <c r="AD7" s="370">
        <v>0</v>
      </c>
      <c r="AE7" s="370">
        <v>0</v>
      </c>
      <c r="AF7" s="370">
        <v>0</v>
      </c>
      <c r="AG7" s="370">
        <v>0</v>
      </c>
      <c r="AH7" s="370">
        <v>0</v>
      </c>
      <c r="AI7" s="370">
        <v>0</v>
      </c>
      <c r="AJ7" s="370">
        <v>0</v>
      </c>
      <c r="AK7" s="370">
        <v>0</v>
      </c>
      <c r="AL7" s="370">
        <v>0</v>
      </c>
      <c r="AM7" s="370">
        <v>0</v>
      </c>
      <c r="AN7" s="370">
        <v>0</v>
      </c>
      <c r="AO7" s="370">
        <v>0</v>
      </c>
      <c r="AP7" s="370">
        <v>0</v>
      </c>
      <c r="AQ7" s="370">
        <v>0</v>
      </c>
      <c r="AR7" s="370">
        <v>0</v>
      </c>
      <c r="AS7" s="370">
        <v>0</v>
      </c>
      <c r="AT7" s="370">
        <v>57</v>
      </c>
      <c r="AU7" s="370">
        <v>0</v>
      </c>
      <c r="AV7" s="370">
        <v>0</v>
      </c>
      <c r="AW7" s="370">
        <v>0</v>
      </c>
    </row>
    <row r="8" spans="1:49" x14ac:dyDescent="0.3">
      <c r="A8" s="370" t="s">
        <v>217</v>
      </c>
      <c r="B8" s="393">
        <v>5</v>
      </c>
      <c r="C8" s="370">
        <v>6</v>
      </c>
      <c r="D8" s="370">
        <v>1</v>
      </c>
      <c r="E8" s="370">
        <v>6</v>
      </c>
      <c r="F8" s="370">
        <v>3859933</v>
      </c>
      <c r="G8" s="370">
        <v>0</v>
      </c>
      <c r="H8" s="370">
        <v>0</v>
      </c>
      <c r="I8" s="370">
        <v>50300</v>
      </c>
      <c r="J8" s="370">
        <v>164640</v>
      </c>
      <c r="K8" s="370">
        <v>200043</v>
      </c>
      <c r="L8" s="370">
        <v>1044431</v>
      </c>
      <c r="M8" s="370">
        <v>0</v>
      </c>
      <c r="N8" s="370">
        <v>0</v>
      </c>
      <c r="O8" s="370">
        <v>0</v>
      </c>
      <c r="P8" s="370">
        <v>0</v>
      </c>
      <c r="Q8" s="370">
        <v>621856</v>
      </c>
      <c r="R8" s="370">
        <v>1118520</v>
      </c>
      <c r="S8" s="370">
        <v>185533</v>
      </c>
      <c r="T8" s="370">
        <v>0</v>
      </c>
      <c r="U8" s="370">
        <v>0</v>
      </c>
      <c r="V8" s="370">
        <v>0</v>
      </c>
      <c r="W8" s="370">
        <v>0</v>
      </c>
      <c r="X8" s="370">
        <v>0</v>
      </c>
      <c r="Y8" s="370">
        <v>0</v>
      </c>
      <c r="Z8" s="370">
        <v>0</v>
      </c>
      <c r="AA8" s="370">
        <v>45557</v>
      </c>
      <c r="AB8" s="370">
        <v>0</v>
      </c>
      <c r="AC8" s="370">
        <v>0</v>
      </c>
      <c r="AD8" s="370">
        <v>0</v>
      </c>
      <c r="AE8" s="370">
        <v>0</v>
      </c>
      <c r="AF8" s="370">
        <v>0</v>
      </c>
      <c r="AG8" s="370">
        <v>0</v>
      </c>
      <c r="AH8" s="370">
        <v>0</v>
      </c>
      <c r="AI8" s="370">
        <v>0</v>
      </c>
      <c r="AJ8" s="370">
        <v>0</v>
      </c>
      <c r="AK8" s="370">
        <v>0</v>
      </c>
      <c r="AL8" s="370">
        <v>0</v>
      </c>
      <c r="AM8" s="370">
        <v>0</v>
      </c>
      <c r="AN8" s="370">
        <v>0</v>
      </c>
      <c r="AO8" s="370">
        <v>65523</v>
      </c>
      <c r="AP8" s="370">
        <v>0</v>
      </c>
      <c r="AQ8" s="370">
        <v>26914</v>
      </c>
      <c r="AR8" s="370">
        <v>0</v>
      </c>
      <c r="AS8" s="370">
        <v>0</v>
      </c>
      <c r="AT8" s="370">
        <v>336616</v>
      </c>
      <c r="AU8" s="370">
        <v>0</v>
      </c>
      <c r="AV8" s="370">
        <v>0</v>
      </c>
      <c r="AW8" s="370">
        <v>0</v>
      </c>
    </row>
    <row r="9" spans="1:49" x14ac:dyDescent="0.3">
      <c r="A9" s="370" t="s">
        <v>218</v>
      </c>
      <c r="B9" s="393">
        <v>6</v>
      </c>
      <c r="C9" s="370">
        <v>6</v>
      </c>
      <c r="D9" s="370">
        <v>1</v>
      </c>
      <c r="E9" s="370">
        <v>9</v>
      </c>
      <c r="F9" s="370">
        <v>85392</v>
      </c>
      <c r="G9" s="370">
        <v>0</v>
      </c>
      <c r="H9" s="370">
        <v>0</v>
      </c>
      <c r="I9" s="370">
        <v>0</v>
      </c>
      <c r="J9" s="370">
        <v>0</v>
      </c>
      <c r="K9" s="370">
        <v>0</v>
      </c>
      <c r="L9" s="370">
        <v>40000</v>
      </c>
      <c r="M9" s="370">
        <v>0</v>
      </c>
      <c r="N9" s="370">
        <v>0</v>
      </c>
      <c r="O9" s="370">
        <v>0</v>
      </c>
      <c r="P9" s="370">
        <v>0</v>
      </c>
      <c r="Q9" s="370">
        <v>13456</v>
      </c>
      <c r="R9" s="370">
        <v>25436</v>
      </c>
      <c r="S9" s="370">
        <v>3100</v>
      </c>
      <c r="T9" s="370">
        <v>0</v>
      </c>
      <c r="U9" s="370">
        <v>0</v>
      </c>
      <c r="V9" s="370">
        <v>0</v>
      </c>
      <c r="W9" s="370">
        <v>0</v>
      </c>
      <c r="X9" s="370">
        <v>0</v>
      </c>
      <c r="Y9" s="370">
        <v>0</v>
      </c>
      <c r="Z9" s="370">
        <v>0</v>
      </c>
      <c r="AA9" s="370">
        <v>0</v>
      </c>
      <c r="AB9" s="370">
        <v>0</v>
      </c>
      <c r="AC9" s="370">
        <v>0</v>
      </c>
      <c r="AD9" s="370">
        <v>0</v>
      </c>
      <c r="AE9" s="370">
        <v>0</v>
      </c>
      <c r="AF9" s="370">
        <v>0</v>
      </c>
      <c r="AG9" s="370">
        <v>0</v>
      </c>
      <c r="AH9" s="370">
        <v>0</v>
      </c>
      <c r="AI9" s="370">
        <v>0</v>
      </c>
      <c r="AJ9" s="370">
        <v>0</v>
      </c>
      <c r="AK9" s="370">
        <v>0</v>
      </c>
      <c r="AL9" s="370">
        <v>0</v>
      </c>
      <c r="AM9" s="370">
        <v>0</v>
      </c>
      <c r="AN9" s="370">
        <v>0</v>
      </c>
      <c r="AO9" s="370">
        <v>2000</v>
      </c>
      <c r="AP9" s="370">
        <v>0</v>
      </c>
      <c r="AQ9" s="370">
        <v>0</v>
      </c>
      <c r="AR9" s="370">
        <v>0</v>
      </c>
      <c r="AS9" s="370">
        <v>0</v>
      </c>
      <c r="AT9" s="370">
        <v>1400</v>
      </c>
      <c r="AU9" s="370">
        <v>0</v>
      </c>
      <c r="AV9" s="370">
        <v>0</v>
      </c>
      <c r="AW9" s="370">
        <v>0</v>
      </c>
    </row>
    <row r="10" spans="1:49" x14ac:dyDescent="0.3">
      <c r="A10" s="370" t="s">
        <v>219</v>
      </c>
      <c r="B10" s="393">
        <v>7</v>
      </c>
      <c r="C10" s="370">
        <v>6</v>
      </c>
      <c r="D10" s="370">
        <v>1</v>
      </c>
      <c r="E10" s="370">
        <v>10</v>
      </c>
      <c r="F10" s="370">
        <v>11352</v>
      </c>
      <c r="G10" s="370">
        <v>0</v>
      </c>
      <c r="H10" s="370">
        <v>11352</v>
      </c>
      <c r="I10" s="370">
        <v>0</v>
      </c>
      <c r="J10" s="370">
        <v>0</v>
      </c>
      <c r="K10" s="370">
        <v>0</v>
      </c>
      <c r="L10" s="370">
        <v>0</v>
      </c>
      <c r="M10" s="370">
        <v>0</v>
      </c>
      <c r="N10" s="370">
        <v>0</v>
      </c>
      <c r="O10" s="370">
        <v>0</v>
      </c>
      <c r="P10" s="370">
        <v>0</v>
      </c>
      <c r="Q10" s="370">
        <v>0</v>
      </c>
      <c r="R10" s="370">
        <v>0</v>
      </c>
      <c r="S10" s="370">
        <v>0</v>
      </c>
      <c r="T10" s="370">
        <v>0</v>
      </c>
      <c r="U10" s="370">
        <v>0</v>
      </c>
      <c r="V10" s="370">
        <v>0</v>
      </c>
      <c r="W10" s="370">
        <v>0</v>
      </c>
      <c r="X10" s="370">
        <v>0</v>
      </c>
      <c r="Y10" s="370">
        <v>0</v>
      </c>
      <c r="Z10" s="370">
        <v>0</v>
      </c>
      <c r="AA10" s="370">
        <v>0</v>
      </c>
      <c r="AB10" s="370">
        <v>0</v>
      </c>
      <c r="AC10" s="370">
        <v>0</v>
      </c>
      <c r="AD10" s="370">
        <v>0</v>
      </c>
      <c r="AE10" s="370">
        <v>0</v>
      </c>
      <c r="AF10" s="370">
        <v>0</v>
      </c>
      <c r="AG10" s="370">
        <v>0</v>
      </c>
      <c r="AH10" s="370">
        <v>0</v>
      </c>
      <c r="AI10" s="370">
        <v>0</v>
      </c>
      <c r="AJ10" s="370">
        <v>0</v>
      </c>
      <c r="AK10" s="370">
        <v>0</v>
      </c>
      <c r="AL10" s="370">
        <v>0</v>
      </c>
      <c r="AM10" s="370">
        <v>0</v>
      </c>
      <c r="AN10" s="370">
        <v>0</v>
      </c>
      <c r="AO10" s="370">
        <v>0</v>
      </c>
      <c r="AP10" s="370">
        <v>0</v>
      </c>
      <c r="AQ10" s="370">
        <v>0</v>
      </c>
      <c r="AR10" s="370">
        <v>0</v>
      </c>
      <c r="AS10" s="370">
        <v>0</v>
      </c>
      <c r="AT10" s="370">
        <v>0</v>
      </c>
      <c r="AU10" s="370">
        <v>0</v>
      </c>
      <c r="AV10" s="370">
        <v>0</v>
      </c>
      <c r="AW10" s="370">
        <v>0</v>
      </c>
    </row>
    <row r="11" spans="1:49" x14ac:dyDescent="0.3">
      <c r="A11" s="370" t="s">
        <v>220</v>
      </c>
      <c r="B11" s="393">
        <v>8</v>
      </c>
      <c r="C11" s="370">
        <v>6</v>
      </c>
      <c r="D11" s="370">
        <v>1</v>
      </c>
      <c r="E11" s="370">
        <v>11</v>
      </c>
      <c r="F11" s="370">
        <v>9666.9305895361449</v>
      </c>
      <c r="G11" s="370">
        <v>3583.5972562028123</v>
      </c>
      <c r="H11" s="370">
        <v>6083.333333333333</v>
      </c>
      <c r="I11" s="370">
        <v>0</v>
      </c>
      <c r="J11" s="370">
        <v>0</v>
      </c>
      <c r="K11" s="370">
        <v>0</v>
      </c>
      <c r="L11" s="370">
        <v>0</v>
      </c>
      <c r="M11" s="370">
        <v>0</v>
      </c>
      <c r="N11" s="370">
        <v>0</v>
      </c>
      <c r="O11" s="370">
        <v>0</v>
      </c>
      <c r="P11" s="370">
        <v>0</v>
      </c>
      <c r="Q11" s="370">
        <v>0</v>
      </c>
      <c r="R11" s="370">
        <v>0</v>
      </c>
      <c r="S11" s="370">
        <v>0</v>
      </c>
      <c r="T11" s="370">
        <v>0</v>
      </c>
      <c r="U11" s="370">
        <v>0</v>
      </c>
      <c r="V11" s="370">
        <v>0</v>
      </c>
      <c r="W11" s="370">
        <v>0</v>
      </c>
      <c r="X11" s="370">
        <v>0</v>
      </c>
      <c r="Y11" s="370">
        <v>0</v>
      </c>
      <c r="Z11" s="370">
        <v>0</v>
      </c>
      <c r="AA11" s="370">
        <v>0</v>
      </c>
      <c r="AB11" s="370">
        <v>0</v>
      </c>
      <c r="AC11" s="370">
        <v>0</v>
      </c>
      <c r="AD11" s="370">
        <v>0</v>
      </c>
      <c r="AE11" s="370">
        <v>0</v>
      </c>
      <c r="AF11" s="370">
        <v>0</v>
      </c>
      <c r="AG11" s="370">
        <v>0</v>
      </c>
      <c r="AH11" s="370">
        <v>0</v>
      </c>
      <c r="AI11" s="370">
        <v>0</v>
      </c>
      <c r="AJ11" s="370">
        <v>0</v>
      </c>
      <c r="AK11" s="370">
        <v>0</v>
      </c>
      <c r="AL11" s="370">
        <v>0</v>
      </c>
      <c r="AM11" s="370">
        <v>0</v>
      </c>
      <c r="AN11" s="370">
        <v>0</v>
      </c>
      <c r="AO11" s="370">
        <v>0</v>
      </c>
      <c r="AP11" s="370">
        <v>0</v>
      </c>
      <c r="AQ11" s="370">
        <v>0</v>
      </c>
      <c r="AR11" s="370">
        <v>0</v>
      </c>
      <c r="AS11" s="370">
        <v>0</v>
      </c>
      <c r="AT11" s="370">
        <v>0</v>
      </c>
      <c r="AU11" s="370">
        <v>0</v>
      </c>
      <c r="AV11" s="370">
        <v>0</v>
      </c>
      <c r="AW11" s="370">
        <v>0</v>
      </c>
    </row>
    <row r="12" spans="1:49" x14ac:dyDescent="0.3">
      <c r="A12" s="370" t="s">
        <v>221</v>
      </c>
      <c r="B12" s="393">
        <v>9</v>
      </c>
      <c r="C12" s="370">
        <v>6</v>
      </c>
      <c r="D12" s="370">
        <v>2</v>
      </c>
      <c r="E12" s="370">
        <v>1</v>
      </c>
      <c r="F12" s="370">
        <v>93.5</v>
      </c>
      <c r="G12" s="370">
        <v>0</v>
      </c>
      <c r="H12" s="370">
        <v>0</v>
      </c>
      <c r="I12" s="370">
        <v>2</v>
      </c>
      <c r="J12" s="370">
        <v>3</v>
      </c>
      <c r="K12" s="370">
        <v>3</v>
      </c>
      <c r="L12" s="370">
        <v>8</v>
      </c>
      <c r="M12" s="370">
        <v>0</v>
      </c>
      <c r="N12" s="370">
        <v>0</v>
      </c>
      <c r="O12" s="370">
        <v>0</v>
      </c>
      <c r="P12" s="370">
        <v>0</v>
      </c>
      <c r="Q12" s="370">
        <v>20.5</v>
      </c>
      <c r="R12" s="370">
        <v>31.25</v>
      </c>
      <c r="S12" s="370">
        <v>4.75</v>
      </c>
      <c r="T12" s="370">
        <v>0</v>
      </c>
      <c r="U12" s="370">
        <v>0</v>
      </c>
      <c r="V12" s="370">
        <v>0</v>
      </c>
      <c r="W12" s="370">
        <v>0</v>
      </c>
      <c r="X12" s="370">
        <v>0</v>
      </c>
      <c r="Y12" s="370">
        <v>0</v>
      </c>
      <c r="Z12" s="370">
        <v>0</v>
      </c>
      <c r="AA12" s="370">
        <v>2</v>
      </c>
      <c r="AB12" s="370">
        <v>0</v>
      </c>
      <c r="AC12" s="370">
        <v>0</v>
      </c>
      <c r="AD12" s="370">
        <v>0</v>
      </c>
      <c r="AE12" s="370">
        <v>0</v>
      </c>
      <c r="AF12" s="370">
        <v>0</v>
      </c>
      <c r="AG12" s="370">
        <v>0</v>
      </c>
      <c r="AH12" s="370">
        <v>0</v>
      </c>
      <c r="AI12" s="370">
        <v>0</v>
      </c>
      <c r="AJ12" s="370">
        <v>0</v>
      </c>
      <c r="AK12" s="370">
        <v>0</v>
      </c>
      <c r="AL12" s="370">
        <v>0</v>
      </c>
      <c r="AM12" s="370">
        <v>0</v>
      </c>
      <c r="AN12" s="370">
        <v>0</v>
      </c>
      <c r="AO12" s="370">
        <v>3</v>
      </c>
      <c r="AP12" s="370">
        <v>0</v>
      </c>
      <c r="AQ12" s="370">
        <v>1</v>
      </c>
      <c r="AR12" s="370">
        <v>0</v>
      </c>
      <c r="AS12" s="370">
        <v>0</v>
      </c>
      <c r="AT12" s="370">
        <v>15</v>
      </c>
      <c r="AU12" s="370">
        <v>0</v>
      </c>
      <c r="AV12" s="370">
        <v>0</v>
      </c>
      <c r="AW12" s="370">
        <v>0</v>
      </c>
    </row>
    <row r="13" spans="1:49" x14ac:dyDescent="0.3">
      <c r="A13" s="370" t="s">
        <v>222</v>
      </c>
      <c r="B13" s="393">
        <v>10</v>
      </c>
      <c r="C13" s="370">
        <v>6</v>
      </c>
      <c r="D13" s="370">
        <v>2</v>
      </c>
      <c r="E13" s="370">
        <v>2</v>
      </c>
      <c r="F13" s="370">
        <v>12593.33</v>
      </c>
      <c r="G13" s="370">
        <v>0</v>
      </c>
      <c r="H13" s="370">
        <v>0</v>
      </c>
      <c r="I13" s="370">
        <v>304</v>
      </c>
      <c r="J13" s="370">
        <v>456</v>
      </c>
      <c r="K13" s="370">
        <v>464</v>
      </c>
      <c r="L13" s="370">
        <v>1248</v>
      </c>
      <c r="M13" s="370">
        <v>0</v>
      </c>
      <c r="N13" s="370">
        <v>0</v>
      </c>
      <c r="O13" s="370">
        <v>0</v>
      </c>
      <c r="P13" s="370">
        <v>0</v>
      </c>
      <c r="Q13" s="370">
        <v>2759</v>
      </c>
      <c r="R13" s="370">
        <v>3836.06</v>
      </c>
      <c r="S13" s="370">
        <v>546.52</v>
      </c>
      <c r="T13" s="370">
        <v>0</v>
      </c>
      <c r="U13" s="370">
        <v>0</v>
      </c>
      <c r="V13" s="370">
        <v>0</v>
      </c>
      <c r="W13" s="370">
        <v>0</v>
      </c>
      <c r="X13" s="370">
        <v>0</v>
      </c>
      <c r="Y13" s="370">
        <v>0</v>
      </c>
      <c r="Z13" s="370">
        <v>0</v>
      </c>
      <c r="AA13" s="370">
        <v>240</v>
      </c>
      <c r="AB13" s="370">
        <v>0</v>
      </c>
      <c r="AC13" s="370">
        <v>0</v>
      </c>
      <c r="AD13" s="370">
        <v>0</v>
      </c>
      <c r="AE13" s="370">
        <v>0</v>
      </c>
      <c r="AF13" s="370">
        <v>0</v>
      </c>
      <c r="AG13" s="370">
        <v>0</v>
      </c>
      <c r="AH13" s="370">
        <v>0</v>
      </c>
      <c r="AI13" s="370">
        <v>0</v>
      </c>
      <c r="AJ13" s="370">
        <v>0</v>
      </c>
      <c r="AK13" s="370">
        <v>0</v>
      </c>
      <c r="AL13" s="370">
        <v>0</v>
      </c>
      <c r="AM13" s="370">
        <v>0</v>
      </c>
      <c r="AN13" s="370">
        <v>0</v>
      </c>
      <c r="AO13" s="370">
        <v>451</v>
      </c>
      <c r="AP13" s="370">
        <v>0</v>
      </c>
      <c r="AQ13" s="370">
        <v>150</v>
      </c>
      <c r="AR13" s="370">
        <v>0</v>
      </c>
      <c r="AS13" s="370">
        <v>0</v>
      </c>
      <c r="AT13" s="370">
        <v>2138.75</v>
      </c>
      <c r="AU13" s="370">
        <v>0</v>
      </c>
      <c r="AV13" s="370">
        <v>0</v>
      </c>
      <c r="AW13" s="370">
        <v>0</v>
      </c>
    </row>
    <row r="14" spans="1:49" x14ac:dyDescent="0.3">
      <c r="A14" s="370" t="s">
        <v>223</v>
      </c>
      <c r="B14" s="393">
        <v>11</v>
      </c>
      <c r="C14" s="370">
        <v>6</v>
      </c>
      <c r="D14" s="370">
        <v>2</v>
      </c>
      <c r="E14" s="370">
        <v>4</v>
      </c>
      <c r="F14" s="370">
        <v>723.5</v>
      </c>
      <c r="G14" s="370">
        <v>0</v>
      </c>
      <c r="H14" s="370">
        <v>0</v>
      </c>
      <c r="I14" s="370">
        <v>0</v>
      </c>
      <c r="J14" s="370">
        <v>59.5</v>
      </c>
      <c r="K14" s="370">
        <v>91</v>
      </c>
      <c r="L14" s="370">
        <v>238</v>
      </c>
      <c r="M14" s="370">
        <v>0</v>
      </c>
      <c r="N14" s="370">
        <v>0</v>
      </c>
      <c r="O14" s="370">
        <v>0</v>
      </c>
      <c r="P14" s="370">
        <v>0</v>
      </c>
      <c r="Q14" s="370">
        <v>163</v>
      </c>
      <c r="R14" s="370">
        <v>95</v>
      </c>
      <c r="S14" s="370">
        <v>0</v>
      </c>
      <c r="T14" s="370">
        <v>0</v>
      </c>
      <c r="U14" s="370">
        <v>0</v>
      </c>
      <c r="V14" s="370">
        <v>0</v>
      </c>
      <c r="W14" s="370">
        <v>0</v>
      </c>
      <c r="X14" s="370">
        <v>0</v>
      </c>
      <c r="Y14" s="370">
        <v>0</v>
      </c>
      <c r="Z14" s="370">
        <v>0</v>
      </c>
      <c r="AA14" s="370">
        <v>0</v>
      </c>
      <c r="AB14" s="370">
        <v>0</v>
      </c>
      <c r="AC14" s="370">
        <v>0</v>
      </c>
      <c r="AD14" s="370">
        <v>0</v>
      </c>
      <c r="AE14" s="370">
        <v>0</v>
      </c>
      <c r="AF14" s="370">
        <v>0</v>
      </c>
      <c r="AG14" s="370">
        <v>0</v>
      </c>
      <c r="AH14" s="370">
        <v>0</v>
      </c>
      <c r="AI14" s="370">
        <v>0</v>
      </c>
      <c r="AJ14" s="370">
        <v>0</v>
      </c>
      <c r="AK14" s="370">
        <v>0</v>
      </c>
      <c r="AL14" s="370">
        <v>0</v>
      </c>
      <c r="AM14" s="370">
        <v>0</v>
      </c>
      <c r="AN14" s="370">
        <v>0</v>
      </c>
      <c r="AO14" s="370">
        <v>0</v>
      </c>
      <c r="AP14" s="370">
        <v>0</v>
      </c>
      <c r="AQ14" s="370">
        <v>0</v>
      </c>
      <c r="AR14" s="370">
        <v>0</v>
      </c>
      <c r="AS14" s="370">
        <v>0</v>
      </c>
      <c r="AT14" s="370">
        <v>77</v>
      </c>
      <c r="AU14" s="370">
        <v>0</v>
      </c>
      <c r="AV14" s="370">
        <v>0</v>
      </c>
      <c r="AW14" s="370">
        <v>0</v>
      </c>
    </row>
    <row r="15" spans="1:49" x14ac:dyDescent="0.3">
      <c r="A15" s="370" t="s">
        <v>224</v>
      </c>
      <c r="B15" s="393">
        <v>12</v>
      </c>
      <c r="C15" s="370">
        <v>6</v>
      </c>
      <c r="D15" s="370">
        <v>2</v>
      </c>
      <c r="E15" s="370">
        <v>6</v>
      </c>
      <c r="F15" s="370">
        <v>3684600</v>
      </c>
      <c r="G15" s="370">
        <v>0</v>
      </c>
      <c r="H15" s="370">
        <v>0</v>
      </c>
      <c r="I15" s="370">
        <v>48846</v>
      </c>
      <c r="J15" s="370">
        <v>160557</v>
      </c>
      <c r="K15" s="370">
        <v>199485</v>
      </c>
      <c r="L15" s="370">
        <v>955916</v>
      </c>
      <c r="M15" s="370">
        <v>0</v>
      </c>
      <c r="N15" s="370">
        <v>0</v>
      </c>
      <c r="O15" s="370">
        <v>0</v>
      </c>
      <c r="P15" s="370">
        <v>0</v>
      </c>
      <c r="Q15" s="370">
        <v>622819</v>
      </c>
      <c r="R15" s="370">
        <v>1081438</v>
      </c>
      <c r="S15" s="370">
        <v>163283</v>
      </c>
      <c r="T15" s="370">
        <v>0</v>
      </c>
      <c r="U15" s="370">
        <v>0</v>
      </c>
      <c r="V15" s="370">
        <v>0</v>
      </c>
      <c r="W15" s="370">
        <v>0</v>
      </c>
      <c r="X15" s="370">
        <v>0</v>
      </c>
      <c r="Y15" s="370">
        <v>0</v>
      </c>
      <c r="Z15" s="370">
        <v>0</v>
      </c>
      <c r="AA15" s="370">
        <v>41810</v>
      </c>
      <c r="AB15" s="370">
        <v>0</v>
      </c>
      <c r="AC15" s="370">
        <v>0</v>
      </c>
      <c r="AD15" s="370">
        <v>0</v>
      </c>
      <c r="AE15" s="370">
        <v>0</v>
      </c>
      <c r="AF15" s="370">
        <v>0</v>
      </c>
      <c r="AG15" s="370">
        <v>0</v>
      </c>
      <c r="AH15" s="370">
        <v>0</v>
      </c>
      <c r="AI15" s="370">
        <v>0</v>
      </c>
      <c r="AJ15" s="370">
        <v>0</v>
      </c>
      <c r="AK15" s="370">
        <v>0</v>
      </c>
      <c r="AL15" s="370">
        <v>0</v>
      </c>
      <c r="AM15" s="370">
        <v>0</v>
      </c>
      <c r="AN15" s="370">
        <v>0</v>
      </c>
      <c r="AO15" s="370">
        <v>61852</v>
      </c>
      <c r="AP15" s="370">
        <v>0</v>
      </c>
      <c r="AQ15" s="370">
        <v>24862</v>
      </c>
      <c r="AR15" s="370">
        <v>0</v>
      </c>
      <c r="AS15" s="370">
        <v>0</v>
      </c>
      <c r="AT15" s="370">
        <v>323732</v>
      </c>
      <c r="AU15" s="370">
        <v>0</v>
      </c>
      <c r="AV15" s="370">
        <v>0</v>
      </c>
      <c r="AW15" s="370">
        <v>0</v>
      </c>
    </row>
    <row r="16" spans="1:49" x14ac:dyDescent="0.3">
      <c r="A16" s="370" t="s">
        <v>212</v>
      </c>
      <c r="B16" s="393">
        <v>2017</v>
      </c>
      <c r="C16" s="370">
        <v>6</v>
      </c>
      <c r="D16" s="370">
        <v>2</v>
      </c>
      <c r="E16" s="370">
        <v>9</v>
      </c>
      <c r="F16" s="370">
        <v>40064</v>
      </c>
      <c r="G16" s="370">
        <v>0</v>
      </c>
      <c r="H16" s="370">
        <v>0</v>
      </c>
      <c r="I16" s="370">
        <v>0</v>
      </c>
      <c r="J16" s="370">
        <v>0</v>
      </c>
      <c r="K16" s="370">
        <v>0</v>
      </c>
      <c r="L16" s="370">
        <v>0</v>
      </c>
      <c r="M16" s="370">
        <v>0</v>
      </c>
      <c r="N16" s="370">
        <v>0</v>
      </c>
      <c r="O16" s="370">
        <v>0</v>
      </c>
      <c r="P16" s="370">
        <v>0</v>
      </c>
      <c r="Q16" s="370">
        <v>17360</v>
      </c>
      <c r="R16" s="370">
        <v>16204</v>
      </c>
      <c r="S16" s="370">
        <v>0</v>
      </c>
      <c r="T16" s="370">
        <v>0</v>
      </c>
      <c r="U16" s="370">
        <v>0</v>
      </c>
      <c r="V16" s="370">
        <v>0</v>
      </c>
      <c r="W16" s="370">
        <v>0</v>
      </c>
      <c r="X16" s="370">
        <v>0</v>
      </c>
      <c r="Y16" s="370">
        <v>0</v>
      </c>
      <c r="Z16" s="370">
        <v>0</v>
      </c>
      <c r="AA16" s="370">
        <v>1000</v>
      </c>
      <c r="AB16" s="370">
        <v>0</v>
      </c>
      <c r="AC16" s="370">
        <v>0</v>
      </c>
      <c r="AD16" s="370">
        <v>0</v>
      </c>
      <c r="AE16" s="370">
        <v>0</v>
      </c>
      <c r="AF16" s="370">
        <v>0</v>
      </c>
      <c r="AG16" s="370">
        <v>0</v>
      </c>
      <c r="AH16" s="370">
        <v>0</v>
      </c>
      <c r="AI16" s="370">
        <v>0</v>
      </c>
      <c r="AJ16" s="370">
        <v>0</v>
      </c>
      <c r="AK16" s="370">
        <v>0</v>
      </c>
      <c r="AL16" s="370">
        <v>0</v>
      </c>
      <c r="AM16" s="370">
        <v>0</v>
      </c>
      <c r="AN16" s="370">
        <v>0</v>
      </c>
      <c r="AO16" s="370">
        <v>0</v>
      </c>
      <c r="AP16" s="370">
        <v>0</v>
      </c>
      <c r="AQ16" s="370">
        <v>0</v>
      </c>
      <c r="AR16" s="370">
        <v>0</v>
      </c>
      <c r="AS16" s="370">
        <v>0</v>
      </c>
      <c r="AT16" s="370">
        <v>5500</v>
      </c>
      <c r="AU16" s="370">
        <v>0</v>
      </c>
      <c r="AV16" s="370">
        <v>0</v>
      </c>
      <c r="AW16" s="370">
        <v>0</v>
      </c>
    </row>
    <row r="17" spans="3:49" x14ac:dyDescent="0.3">
      <c r="C17" s="370">
        <v>6</v>
      </c>
      <c r="D17" s="370">
        <v>2</v>
      </c>
      <c r="E17" s="370">
        <v>10</v>
      </c>
      <c r="F17" s="370">
        <v>12088</v>
      </c>
      <c r="G17" s="370">
        <v>8372</v>
      </c>
      <c r="H17" s="370">
        <v>3716</v>
      </c>
      <c r="I17" s="370">
        <v>0</v>
      </c>
      <c r="J17" s="370">
        <v>0</v>
      </c>
      <c r="K17" s="370">
        <v>0</v>
      </c>
      <c r="L17" s="370">
        <v>0</v>
      </c>
      <c r="M17" s="370">
        <v>0</v>
      </c>
      <c r="N17" s="370">
        <v>0</v>
      </c>
      <c r="O17" s="370">
        <v>0</v>
      </c>
      <c r="P17" s="370">
        <v>0</v>
      </c>
      <c r="Q17" s="370">
        <v>0</v>
      </c>
      <c r="R17" s="370">
        <v>0</v>
      </c>
      <c r="S17" s="370">
        <v>0</v>
      </c>
      <c r="T17" s="370">
        <v>0</v>
      </c>
      <c r="U17" s="370">
        <v>0</v>
      </c>
      <c r="V17" s="370">
        <v>0</v>
      </c>
      <c r="W17" s="370">
        <v>0</v>
      </c>
      <c r="X17" s="370">
        <v>0</v>
      </c>
      <c r="Y17" s="370">
        <v>0</v>
      </c>
      <c r="Z17" s="370">
        <v>0</v>
      </c>
      <c r="AA17" s="370">
        <v>0</v>
      </c>
      <c r="AB17" s="370">
        <v>0</v>
      </c>
      <c r="AC17" s="370">
        <v>0</v>
      </c>
      <c r="AD17" s="370">
        <v>0</v>
      </c>
      <c r="AE17" s="370">
        <v>0</v>
      </c>
      <c r="AF17" s="370">
        <v>0</v>
      </c>
      <c r="AG17" s="370">
        <v>0</v>
      </c>
      <c r="AH17" s="370">
        <v>0</v>
      </c>
      <c r="AI17" s="370">
        <v>0</v>
      </c>
      <c r="AJ17" s="370">
        <v>0</v>
      </c>
      <c r="AK17" s="370">
        <v>0</v>
      </c>
      <c r="AL17" s="370">
        <v>0</v>
      </c>
      <c r="AM17" s="370">
        <v>0</v>
      </c>
      <c r="AN17" s="370">
        <v>0</v>
      </c>
      <c r="AO17" s="370">
        <v>0</v>
      </c>
      <c r="AP17" s="370">
        <v>0</v>
      </c>
      <c r="AQ17" s="370">
        <v>0</v>
      </c>
      <c r="AR17" s="370">
        <v>0</v>
      </c>
      <c r="AS17" s="370">
        <v>0</v>
      </c>
      <c r="AT17" s="370">
        <v>0</v>
      </c>
      <c r="AU17" s="370">
        <v>0</v>
      </c>
      <c r="AV17" s="370">
        <v>0</v>
      </c>
      <c r="AW17" s="370">
        <v>0</v>
      </c>
    </row>
    <row r="18" spans="3:49" x14ac:dyDescent="0.3">
      <c r="C18" s="370">
        <v>6</v>
      </c>
      <c r="D18" s="370">
        <v>2</v>
      </c>
      <c r="E18" s="370">
        <v>11</v>
      </c>
      <c r="F18" s="370">
        <v>9666.9305895361449</v>
      </c>
      <c r="G18" s="370">
        <v>3583.5972562028123</v>
      </c>
      <c r="H18" s="370">
        <v>6083.333333333333</v>
      </c>
      <c r="I18" s="370">
        <v>0</v>
      </c>
      <c r="J18" s="370">
        <v>0</v>
      </c>
      <c r="K18" s="370">
        <v>0</v>
      </c>
      <c r="L18" s="370">
        <v>0</v>
      </c>
      <c r="M18" s="370">
        <v>0</v>
      </c>
      <c r="N18" s="370">
        <v>0</v>
      </c>
      <c r="O18" s="370">
        <v>0</v>
      </c>
      <c r="P18" s="370">
        <v>0</v>
      </c>
      <c r="Q18" s="370">
        <v>0</v>
      </c>
      <c r="R18" s="370">
        <v>0</v>
      </c>
      <c r="S18" s="370">
        <v>0</v>
      </c>
      <c r="T18" s="370">
        <v>0</v>
      </c>
      <c r="U18" s="370">
        <v>0</v>
      </c>
      <c r="V18" s="370">
        <v>0</v>
      </c>
      <c r="W18" s="370">
        <v>0</v>
      </c>
      <c r="X18" s="370">
        <v>0</v>
      </c>
      <c r="Y18" s="370">
        <v>0</v>
      </c>
      <c r="Z18" s="370">
        <v>0</v>
      </c>
      <c r="AA18" s="370">
        <v>0</v>
      </c>
      <c r="AB18" s="370">
        <v>0</v>
      </c>
      <c r="AC18" s="370">
        <v>0</v>
      </c>
      <c r="AD18" s="370">
        <v>0</v>
      </c>
      <c r="AE18" s="370">
        <v>0</v>
      </c>
      <c r="AF18" s="370">
        <v>0</v>
      </c>
      <c r="AG18" s="370">
        <v>0</v>
      </c>
      <c r="AH18" s="370">
        <v>0</v>
      </c>
      <c r="AI18" s="370">
        <v>0</v>
      </c>
      <c r="AJ18" s="370">
        <v>0</v>
      </c>
      <c r="AK18" s="370">
        <v>0</v>
      </c>
      <c r="AL18" s="370">
        <v>0</v>
      </c>
      <c r="AM18" s="370">
        <v>0</v>
      </c>
      <c r="AN18" s="370">
        <v>0</v>
      </c>
      <c r="AO18" s="370">
        <v>0</v>
      </c>
      <c r="AP18" s="370">
        <v>0</v>
      </c>
      <c r="AQ18" s="370">
        <v>0</v>
      </c>
      <c r="AR18" s="370">
        <v>0</v>
      </c>
      <c r="AS18" s="370">
        <v>0</v>
      </c>
      <c r="AT18" s="370">
        <v>0</v>
      </c>
      <c r="AU18" s="370">
        <v>0</v>
      </c>
      <c r="AV18" s="370">
        <v>0</v>
      </c>
      <c r="AW18" s="370">
        <v>0</v>
      </c>
    </row>
    <row r="19" spans="3:49" x14ac:dyDescent="0.3">
      <c r="C19" s="370">
        <v>6</v>
      </c>
      <c r="D19" s="370">
        <v>3</v>
      </c>
      <c r="E19" s="370">
        <v>1</v>
      </c>
      <c r="F19" s="370">
        <v>91.25</v>
      </c>
      <c r="G19" s="370">
        <v>0</v>
      </c>
      <c r="H19" s="370">
        <v>0</v>
      </c>
      <c r="I19" s="370">
        <v>2</v>
      </c>
      <c r="J19" s="370">
        <v>3</v>
      </c>
      <c r="K19" s="370">
        <v>3</v>
      </c>
      <c r="L19" s="370">
        <v>8</v>
      </c>
      <c r="M19" s="370">
        <v>0</v>
      </c>
      <c r="N19" s="370">
        <v>0</v>
      </c>
      <c r="O19" s="370">
        <v>0</v>
      </c>
      <c r="P19" s="370">
        <v>0</v>
      </c>
      <c r="Q19" s="370">
        <v>19.5</v>
      </c>
      <c r="R19" s="370">
        <v>30</v>
      </c>
      <c r="S19" s="370">
        <v>4.75</v>
      </c>
      <c r="T19" s="370">
        <v>0</v>
      </c>
      <c r="U19" s="370">
        <v>0</v>
      </c>
      <c r="V19" s="370">
        <v>0</v>
      </c>
      <c r="W19" s="370">
        <v>0</v>
      </c>
      <c r="X19" s="370">
        <v>0</v>
      </c>
      <c r="Y19" s="370">
        <v>0</v>
      </c>
      <c r="Z19" s="370">
        <v>0</v>
      </c>
      <c r="AA19" s="370">
        <v>2</v>
      </c>
      <c r="AB19" s="370">
        <v>0</v>
      </c>
      <c r="AC19" s="370">
        <v>0</v>
      </c>
      <c r="AD19" s="370">
        <v>0</v>
      </c>
      <c r="AE19" s="370">
        <v>0</v>
      </c>
      <c r="AF19" s="370">
        <v>0</v>
      </c>
      <c r="AG19" s="370">
        <v>0</v>
      </c>
      <c r="AH19" s="370">
        <v>0</v>
      </c>
      <c r="AI19" s="370">
        <v>0</v>
      </c>
      <c r="AJ19" s="370">
        <v>0</v>
      </c>
      <c r="AK19" s="370">
        <v>0</v>
      </c>
      <c r="AL19" s="370">
        <v>0</v>
      </c>
      <c r="AM19" s="370">
        <v>0</v>
      </c>
      <c r="AN19" s="370">
        <v>0</v>
      </c>
      <c r="AO19" s="370">
        <v>3</v>
      </c>
      <c r="AP19" s="370">
        <v>0</v>
      </c>
      <c r="AQ19" s="370">
        <v>1</v>
      </c>
      <c r="AR19" s="370">
        <v>0</v>
      </c>
      <c r="AS19" s="370">
        <v>0</v>
      </c>
      <c r="AT19" s="370">
        <v>15</v>
      </c>
      <c r="AU19" s="370">
        <v>0</v>
      </c>
      <c r="AV19" s="370">
        <v>0</v>
      </c>
      <c r="AW19" s="370">
        <v>0</v>
      </c>
    </row>
    <row r="20" spans="3:49" x14ac:dyDescent="0.3">
      <c r="C20" s="370">
        <v>6</v>
      </c>
      <c r="D20" s="370">
        <v>3</v>
      </c>
      <c r="E20" s="370">
        <v>2</v>
      </c>
      <c r="F20" s="370">
        <v>14038.2</v>
      </c>
      <c r="G20" s="370">
        <v>0</v>
      </c>
      <c r="H20" s="370">
        <v>0</v>
      </c>
      <c r="I20" s="370">
        <v>368</v>
      </c>
      <c r="J20" s="370">
        <v>544</v>
      </c>
      <c r="K20" s="370">
        <v>552</v>
      </c>
      <c r="L20" s="370">
        <v>1372</v>
      </c>
      <c r="M20" s="370">
        <v>0</v>
      </c>
      <c r="N20" s="370">
        <v>0</v>
      </c>
      <c r="O20" s="370">
        <v>0</v>
      </c>
      <c r="P20" s="370">
        <v>0</v>
      </c>
      <c r="Q20" s="370">
        <v>3116.75</v>
      </c>
      <c r="R20" s="370">
        <v>4108.7</v>
      </c>
      <c r="S20" s="370">
        <v>562</v>
      </c>
      <c r="T20" s="370">
        <v>0</v>
      </c>
      <c r="U20" s="370">
        <v>0</v>
      </c>
      <c r="V20" s="370">
        <v>0</v>
      </c>
      <c r="W20" s="370">
        <v>0</v>
      </c>
      <c r="X20" s="370">
        <v>0</v>
      </c>
      <c r="Y20" s="370">
        <v>0</v>
      </c>
      <c r="Z20" s="370">
        <v>0</v>
      </c>
      <c r="AA20" s="370">
        <v>276</v>
      </c>
      <c r="AB20" s="370">
        <v>0</v>
      </c>
      <c r="AC20" s="370">
        <v>0</v>
      </c>
      <c r="AD20" s="370">
        <v>0</v>
      </c>
      <c r="AE20" s="370">
        <v>0</v>
      </c>
      <c r="AF20" s="370">
        <v>0</v>
      </c>
      <c r="AG20" s="370">
        <v>0</v>
      </c>
      <c r="AH20" s="370">
        <v>0</v>
      </c>
      <c r="AI20" s="370">
        <v>0</v>
      </c>
      <c r="AJ20" s="370">
        <v>0</v>
      </c>
      <c r="AK20" s="370">
        <v>0</v>
      </c>
      <c r="AL20" s="370">
        <v>0</v>
      </c>
      <c r="AM20" s="370">
        <v>0</v>
      </c>
      <c r="AN20" s="370">
        <v>0</v>
      </c>
      <c r="AO20" s="370">
        <v>517.5</v>
      </c>
      <c r="AP20" s="370">
        <v>0</v>
      </c>
      <c r="AQ20" s="370">
        <v>172.5</v>
      </c>
      <c r="AR20" s="370">
        <v>0</v>
      </c>
      <c r="AS20" s="370">
        <v>0</v>
      </c>
      <c r="AT20" s="370">
        <v>2448.75</v>
      </c>
      <c r="AU20" s="370">
        <v>0</v>
      </c>
      <c r="AV20" s="370">
        <v>0</v>
      </c>
      <c r="AW20" s="370">
        <v>0</v>
      </c>
    </row>
    <row r="21" spans="3:49" x14ac:dyDescent="0.3">
      <c r="C21" s="370">
        <v>6</v>
      </c>
      <c r="D21" s="370">
        <v>3</v>
      </c>
      <c r="E21" s="370">
        <v>4</v>
      </c>
      <c r="F21" s="370">
        <v>662</v>
      </c>
      <c r="G21" s="370">
        <v>0</v>
      </c>
      <c r="H21" s="370">
        <v>0</v>
      </c>
      <c r="I21" s="370">
        <v>0</v>
      </c>
      <c r="J21" s="370">
        <v>74</v>
      </c>
      <c r="K21" s="370">
        <v>97</v>
      </c>
      <c r="L21" s="370">
        <v>238</v>
      </c>
      <c r="M21" s="370">
        <v>0</v>
      </c>
      <c r="N21" s="370">
        <v>0</v>
      </c>
      <c r="O21" s="370">
        <v>0</v>
      </c>
      <c r="P21" s="370">
        <v>0</v>
      </c>
      <c r="Q21" s="370">
        <v>108</v>
      </c>
      <c r="R21" s="370">
        <v>65.5</v>
      </c>
      <c r="S21" s="370">
        <v>0</v>
      </c>
      <c r="T21" s="370">
        <v>0</v>
      </c>
      <c r="U21" s="370">
        <v>0</v>
      </c>
      <c r="V21" s="370">
        <v>0</v>
      </c>
      <c r="W21" s="370">
        <v>0</v>
      </c>
      <c r="X21" s="370">
        <v>0</v>
      </c>
      <c r="Y21" s="370">
        <v>0</v>
      </c>
      <c r="Z21" s="370">
        <v>0</v>
      </c>
      <c r="AA21" s="370">
        <v>0</v>
      </c>
      <c r="AB21" s="370">
        <v>0</v>
      </c>
      <c r="AC21" s="370">
        <v>0</v>
      </c>
      <c r="AD21" s="370">
        <v>0</v>
      </c>
      <c r="AE21" s="370">
        <v>0</v>
      </c>
      <c r="AF21" s="370">
        <v>0</v>
      </c>
      <c r="AG21" s="370">
        <v>0</v>
      </c>
      <c r="AH21" s="370">
        <v>0</v>
      </c>
      <c r="AI21" s="370">
        <v>0</v>
      </c>
      <c r="AJ21" s="370">
        <v>0</v>
      </c>
      <c r="AK21" s="370">
        <v>0</v>
      </c>
      <c r="AL21" s="370">
        <v>0</v>
      </c>
      <c r="AM21" s="370">
        <v>0</v>
      </c>
      <c r="AN21" s="370">
        <v>0</v>
      </c>
      <c r="AO21" s="370">
        <v>0</v>
      </c>
      <c r="AP21" s="370">
        <v>0</v>
      </c>
      <c r="AQ21" s="370">
        <v>0</v>
      </c>
      <c r="AR21" s="370">
        <v>0</v>
      </c>
      <c r="AS21" s="370">
        <v>0</v>
      </c>
      <c r="AT21" s="370">
        <v>79.5</v>
      </c>
      <c r="AU21" s="370">
        <v>0</v>
      </c>
      <c r="AV21" s="370">
        <v>0</v>
      </c>
      <c r="AW21" s="370">
        <v>0</v>
      </c>
    </row>
    <row r="22" spans="3:49" x14ac:dyDescent="0.3">
      <c r="C22" s="370">
        <v>6</v>
      </c>
      <c r="D22" s="370">
        <v>3</v>
      </c>
      <c r="E22" s="370">
        <v>6</v>
      </c>
      <c r="F22" s="370">
        <v>3617816</v>
      </c>
      <c r="G22" s="370">
        <v>0</v>
      </c>
      <c r="H22" s="370">
        <v>0</v>
      </c>
      <c r="I22" s="370">
        <v>48900</v>
      </c>
      <c r="J22" s="370">
        <v>178003</v>
      </c>
      <c r="K22" s="370">
        <v>202794</v>
      </c>
      <c r="L22" s="370">
        <v>955826</v>
      </c>
      <c r="M22" s="370">
        <v>0</v>
      </c>
      <c r="N22" s="370">
        <v>0</v>
      </c>
      <c r="O22" s="370">
        <v>0</v>
      </c>
      <c r="P22" s="370">
        <v>1521</v>
      </c>
      <c r="Q22" s="370">
        <v>575916</v>
      </c>
      <c r="R22" s="370">
        <v>1050853</v>
      </c>
      <c r="S22" s="370">
        <v>131783</v>
      </c>
      <c r="T22" s="370">
        <v>0</v>
      </c>
      <c r="U22" s="370">
        <v>0</v>
      </c>
      <c r="V22" s="370">
        <v>0</v>
      </c>
      <c r="W22" s="370">
        <v>0</v>
      </c>
      <c r="X22" s="370">
        <v>0</v>
      </c>
      <c r="Y22" s="370">
        <v>0</v>
      </c>
      <c r="Z22" s="370">
        <v>0</v>
      </c>
      <c r="AA22" s="370">
        <v>43222</v>
      </c>
      <c r="AB22" s="370">
        <v>0</v>
      </c>
      <c r="AC22" s="370">
        <v>0</v>
      </c>
      <c r="AD22" s="370">
        <v>0</v>
      </c>
      <c r="AE22" s="370">
        <v>0</v>
      </c>
      <c r="AF22" s="370">
        <v>0</v>
      </c>
      <c r="AG22" s="370">
        <v>0</v>
      </c>
      <c r="AH22" s="370">
        <v>0</v>
      </c>
      <c r="AI22" s="370">
        <v>0</v>
      </c>
      <c r="AJ22" s="370">
        <v>0</v>
      </c>
      <c r="AK22" s="370">
        <v>0</v>
      </c>
      <c r="AL22" s="370">
        <v>0</v>
      </c>
      <c r="AM22" s="370">
        <v>0</v>
      </c>
      <c r="AN22" s="370">
        <v>0</v>
      </c>
      <c r="AO22" s="370">
        <v>65983</v>
      </c>
      <c r="AP22" s="370">
        <v>0</v>
      </c>
      <c r="AQ22" s="370">
        <v>26082</v>
      </c>
      <c r="AR22" s="370">
        <v>0</v>
      </c>
      <c r="AS22" s="370">
        <v>0</v>
      </c>
      <c r="AT22" s="370">
        <v>336933</v>
      </c>
      <c r="AU22" s="370">
        <v>0</v>
      </c>
      <c r="AV22" s="370">
        <v>0</v>
      </c>
      <c r="AW22" s="370">
        <v>0</v>
      </c>
    </row>
    <row r="23" spans="3:49" x14ac:dyDescent="0.3">
      <c r="C23" s="370">
        <v>6</v>
      </c>
      <c r="D23" s="370">
        <v>3</v>
      </c>
      <c r="E23" s="370">
        <v>9</v>
      </c>
      <c r="F23" s="370">
        <v>43092</v>
      </c>
      <c r="G23" s="370">
        <v>0</v>
      </c>
      <c r="H23" s="370">
        <v>0</v>
      </c>
      <c r="I23" s="370">
        <v>0</v>
      </c>
      <c r="J23" s="370">
        <v>0</v>
      </c>
      <c r="K23" s="370">
        <v>0</v>
      </c>
      <c r="L23" s="370">
        <v>0</v>
      </c>
      <c r="M23" s="370">
        <v>0</v>
      </c>
      <c r="N23" s="370">
        <v>0</v>
      </c>
      <c r="O23" s="370">
        <v>0</v>
      </c>
      <c r="P23" s="370">
        <v>0</v>
      </c>
      <c r="Q23" s="370">
        <v>4200</v>
      </c>
      <c r="R23" s="370">
        <v>19068</v>
      </c>
      <c r="S23" s="370">
        <v>2924</v>
      </c>
      <c r="T23" s="370">
        <v>0</v>
      </c>
      <c r="U23" s="370">
        <v>0</v>
      </c>
      <c r="V23" s="370">
        <v>0</v>
      </c>
      <c r="W23" s="370">
        <v>0</v>
      </c>
      <c r="X23" s="370">
        <v>0</v>
      </c>
      <c r="Y23" s="370">
        <v>0</v>
      </c>
      <c r="Z23" s="370">
        <v>0</v>
      </c>
      <c r="AA23" s="370">
        <v>0</v>
      </c>
      <c r="AB23" s="370">
        <v>0</v>
      </c>
      <c r="AC23" s="370">
        <v>0</v>
      </c>
      <c r="AD23" s="370">
        <v>0</v>
      </c>
      <c r="AE23" s="370">
        <v>0</v>
      </c>
      <c r="AF23" s="370">
        <v>0</v>
      </c>
      <c r="AG23" s="370">
        <v>0</v>
      </c>
      <c r="AH23" s="370">
        <v>0</v>
      </c>
      <c r="AI23" s="370">
        <v>0</v>
      </c>
      <c r="AJ23" s="370">
        <v>0</v>
      </c>
      <c r="AK23" s="370">
        <v>0</v>
      </c>
      <c r="AL23" s="370">
        <v>0</v>
      </c>
      <c r="AM23" s="370">
        <v>0</v>
      </c>
      <c r="AN23" s="370">
        <v>0</v>
      </c>
      <c r="AO23" s="370">
        <v>3500</v>
      </c>
      <c r="AP23" s="370">
        <v>0</v>
      </c>
      <c r="AQ23" s="370">
        <v>1000</v>
      </c>
      <c r="AR23" s="370">
        <v>0</v>
      </c>
      <c r="AS23" s="370">
        <v>0</v>
      </c>
      <c r="AT23" s="370">
        <v>12400</v>
      </c>
      <c r="AU23" s="370">
        <v>0</v>
      </c>
      <c r="AV23" s="370">
        <v>0</v>
      </c>
      <c r="AW23" s="370">
        <v>0</v>
      </c>
    </row>
    <row r="24" spans="3:49" x14ac:dyDescent="0.3">
      <c r="C24" s="370">
        <v>6</v>
      </c>
      <c r="D24" s="370">
        <v>3</v>
      </c>
      <c r="E24" s="370">
        <v>10</v>
      </c>
      <c r="F24" s="370">
        <v>7462</v>
      </c>
      <c r="G24" s="370">
        <v>0</v>
      </c>
      <c r="H24" s="370">
        <v>7462</v>
      </c>
      <c r="I24" s="370">
        <v>0</v>
      </c>
      <c r="J24" s="370">
        <v>0</v>
      </c>
      <c r="K24" s="370">
        <v>0</v>
      </c>
      <c r="L24" s="370">
        <v>0</v>
      </c>
      <c r="M24" s="370">
        <v>0</v>
      </c>
      <c r="N24" s="370">
        <v>0</v>
      </c>
      <c r="O24" s="370">
        <v>0</v>
      </c>
      <c r="P24" s="370">
        <v>0</v>
      </c>
      <c r="Q24" s="370">
        <v>0</v>
      </c>
      <c r="R24" s="370">
        <v>0</v>
      </c>
      <c r="S24" s="370">
        <v>0</v>
      </c>
      <c r="T24" s="370">
        <v>0</v>
      </c>
      <c r="U24" s="370">
        <v>0</v>
      </c>
      <c r="V24" s="370">
        <v>0</v>
      </c>
      <c r="W24" s="370">
        <v>0</v>
      </c>
      <c r="X24" s="370">
        <v>0</v>
      </c>
      <c r="Y24" s="370">
        <v>0</v>
      </c>
      <c r="Z24" s="370">
        <v>0</v>
      </c>
      <c r="AA24" s="370">
        <v>0</v>
      </c>
      <c r="AB24" s="370">
        <v>0</v>
      </c>
      <c r="AC24" s="370">
        <v>0</v>
      </c>
      <c r="AD24" s="370">
        <v>0</v>
      </c>
      <c r="AE24" s="370">
        <v>0</v>
      </c>
      <c r="AF24" s="370">
        <v>0</v>
      </c>
      <c r="AG24" s="370">
        <v>0</v>
      </c>
      <c r="AH24" s="370">
        <v>0</v>
      </c>
      <c r="AI24" s="370">
        <v>0</v>
      </c>
      <c r="AJ24" s="370">
        <v>0</v>
      </c>
      <c r="AK24" s="370">
        <v>0</v>
      </c>
      <c r="AL24" s="370">
        <v>0</v>
      </c>
      <c r="AM24" s="370">
        <v>0</v>
      </c>
      <c r="AN24" s="370">
        <v>0</v>
      </c>
      <c r="AO24" s="370">
        <v>0</v>
      </c>
      <c r="AP24" s="370">
        <v>0</v>
      </c>
      <c r="AQ24" s="370">
        <v>0</v>
      </c>
      <c r="AR24" s="370">
        <v>0</v>
      </c>
      <c r="AS24" s="370">
        <v>0</v>
      </c>
      <c r="AT24" s="370">
        <v>0</v>
      </c>
      <c r="AU24" s="370">
        <v>0</v>
      </c>
      <c r="AV24" s="370">
        <v>0</v>
      </c>
      <c r="AW24" s="370">
        <v>0</v>
      </c>
    </row>
    <row r="25" spans="3:49" x14ac:dyDescent="0.3">
      <c r="C25" s="370">
        <v>6</v>
      </c>
      <c r="D25" s="370">
        <v>3</v>
      </c>
      <c r="E25" s="370">
        <v>11</v>
      </c>
      <c r="F25" s="370">
        <v>9666.9305895361449</v>
      </c>
      <c r="G25" s="370">
        <v>3583.5972562028123</v>
      </c>
      <c r="H25" s="370">
        <v>6083.333333333333</v>
      </c>
      <c r="I25" s="370">
        <v>0</v>
      </c>
      <c r="J25" s="370">
        <v>0</v>
      </c>
      <c r="K25" s="370">
        <v>0</v>
      </c>
      <c r="L25" s="370">
        <v>0</v>
      </c>
      <c r="M25" s="370">
        <v>0</v>
      </c>
      <c r="N25" s="370">
        <v>0</v>
      </c>
      <c r="O25" s="370">
        <v>0</v>
      </c>
      <c r="P25" s="370">
        <v>0</v>
      </c>
      <c r="Q25" s="370">
        <v>0</v>
      </c>
      <c r="R25" s="370">
        <v>0</v>
      </c>
      <c r="S25" s="370">
        <v>0</v>
      </c>
      <c r="T25" s="370">
        <v>0</v>
      </c>
      <c r="U25" s="370">
        <v>0</v>
      </c>
      <c r="V25" s="370">
        <v>0</v>
      </c>
      <c r="W25" s="370">
        <v>0</v>
      </c>
      <c r="X25" s="370">
        <v>0</v>
      </c>
      <c r="Y25" s="370">
        <v>0</v>
      </c>
      <c r="Z25" s="370">
        <v>0</v>
      </c>
      <c r="AA25" s="370">
        <v>0</v>
      </c>
      <c r="AB25" s="370">
        <v>0</v>
      </c>
      <c r="AC25" s="370">
        <v>0</v>
      </c>
      <c r="AD25" s="370">
        <v>0</v>
      </c>
      <c r="AE25" s="370">
        <v>0</v>
      </c>
      <c r="AF25" s="370">
        <v>0</v>
      </c>
      <c r="AG25" s="370">
        <v>0</v>
      </c>
      <c r="AH25" s="370">
        <v>0</v>
      </c>
      <c r="AI25" s="370">
        <v>0</v>
      </c>
      <c r="AJ25" s="370">
        <v>0</v>
      </c>
      <c r="AK25" s="370">
        <v>0</v>
      </c>
      <c r="AL25" s="370">
        <v>0</v>
      </c>
      <c r="AM25" s="370">
        <v>0</v>
      </c>
      <c r="AN25" s="370">
        <v>0</v>
      </c>
      <c r="AO25" s="370">
        <v>0</v>
      </c>
      <c r="AP25" s="370">
        <v>0</v>
      </c>
      <c r="AQ25" s="370">
        <v>0</v>
      </c>
      <c r="AR25" s="370">
        <v>0</v>
      </c>
      <c r="AS25" s="370">
        <v>0</v>
      </c>
      <c r="AT25" s="370">
        <v>0</v>
      </c>
      <c r="AU25" s="370">
        <v>0</v>
      </c>
      <c r="AV25" s="370">
        <v>0</v>
      </c>
      <c r="AW25" s="3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01" t="s">
        <v>2973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</row>
    <row r="2" spans="1:28" ht="14.4" customHeight="1" thickBot="1" x14ac:dyDescent="0.35">
      <c r="A2" s="374" t="s">
        <v>323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159</v>
      </c>
      <c r="B3" s="343">
        <f>SUBTOTAL(9,B6:B1048576)/4</f>
        <v>497406</v>
      </c>
      <c r="C3" s="344">
        <f t="shared" ref="C3:Z3" si="0">SUBTOTAL(9,C6:C1048576)</f>
        <v>6</v>
      </c>
      <c r="D3" s="344"/>
      <c r="E3" s="344">
        <f>SUBTOTAL(9,E6:E1048576)/4</f>
        <v>578126.60000000021</v>
      </c>
      <c r="F3" s="344"/>
      <c r="G3" s="344">
        <f t="shared" si="0"/>
        <v>6</v>
      </c>
      <c r="H3" s="344">
        <f>SUBTOTAL(9,H6:H1048576)/4</f>
        <v>621320.59000000008</v>
      </c>
      <c r="I3" s="347">
        <f>IF(B3&lt;&gt;0,H3/B3,"")</f>
        <v>1.2491216229800206</v>
      </c>
      <c r="J3" s="345">
        <f>IF(E3&lt;&gt;0,H3/E3,"")</f>
        <v>1.0747137218733749</v>
      </c>
      <c r="K3" s="346">
        <f t="shared" si="0"/>
        <v>14745.279999999999</v>
      </c>
      <c r="L3" s="346"/>
      <c r="M3" s="344">
        <f t="shared" si="0"/>
        <v>7.6028348305262776</v>
      </c>
      <c r="N3" s="344">
        <f t="shared" si="0"/>
        <v>161627.28</v>
      </c>
      <c r="O3" s="344"/>
      <c r="P3" s="344">
        <f t="shared" si="0"/>
        <v>3</v>
      </c>
      <c r="Q3" s="344">
        <f t="shared" si="0"/>
        <v>96222.86</v>
      </c>
      <c r="R3" s="347">
        <f>IF(K3&lt;&gt;0,Q3/K3,"")</f>
        <v>6.5256719438355875</v>
      </c>
      <c r="S3" s="347">
        <f>IF(N3&lt;&gt;0,Q3/N3,"")</f>
        <v>0.59533798997297982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02" t="s">
        <v>269</v>
      </c>
      <c r="B4" s="603" t="s">
        <v>123</v>
      </c>
      <c r="C4" s="604"/>
      <c r="D4" s="605"/>
      <c r="E4" s="604"/>
      <c r="F4" s="605"/>
      <c r="G4" s="604"/>
      <c r="H4" s="604"/>
      <c r="I4" s="605"/>
      <c r="J4" s="606"/>
      <c r="K4" s="603" t="s">
        <v>124</v>
      </c>
      <c r="L4" s="605"/>
      <c r="M4" s="604"/>
      <c r="N4" s="604"/>
      <c r="O4" s="605"/>
      <c r="P4" s="604"/>
      <c r="Q4" s="604"/>
      <c r="R4" s="605"/>
      <c r="S4" s="606"/>
      <c r="T4" s="603" t="s">
        <v>125</v>
      </c>
      <c r="U4" s="605"/>
      <c r="V4" s="604"/>
      <c r="W4" s="604"/>
      <c r="X4" s="605"/>
      <c r="Y4" s="604"/>
      <c r="Z4" s="604"/>
      <c r="AA4" s="605"/>
      <c r="AB4" s="606"/>
    </row>
    <row r="5" spans="1:28" ht="14.4" customHeight="1" thickBot="1" x14ac:dyDescent="0.35">
      <c r="A5" s="819"/>
      <c r="B5" s="820">
        <v>2015</v>
      </c>
      <c r="C5" s="821"/>
      <c r="D5" s="821"/>
      <c r="E5" s="821">
        <v>2016</v>
      </c>
      <c r="F5" s="821"/>
      <c r="G5" s="821"/>
      <c r="H5" s="821">
        <v>2017</v>
      </c>
      <c r="I5" s="822" t="s">
        <v>301</v>
      </c>
      <c r="J5" s="823" t="s">
        <v>2</v>
      </c>
      <c r="K5" s="820">
        <v>2015</v>
      </c>
      <c r="L5" s="821"/>
      <c r="M5" s="821"/>
      <c r="N5" s="821">
        <v>2016</v>
      </c>
      <c r="O5" s="821"/>
      <c r="P5" s="821"/>
      <c r="Q5" s="821">
        <v>2017</v>
      </c>
      <c r="R5" s="822" t="s">
        <v>301</v>
      </c>
      <c r="S5" s="823" t="s">
        <v>2</v>
      </c>
      <c r="T5" s="820">
        <v>2015</v>
      </c>
      <c r="U5" s="821"/>
      <c r="V5" s="821"/>
      <c r="W5" s="821">
        <v>2016</v>
      </c>
      <c r="X5" s="821"/>
      <c r="Y5" s="821"/>
      <c r="Z5" s="821">
        <v>2017</v>
      </c>
      <c r="AA5" s="822" t="s">
        <v>301</v>
      </c>
      <c r="AB5" s="823" t="s">
        <v>2</v>
      </c>
    </row>
    <row r="6" spans="1:28" ht="14.4" customHeight="1" x14ac:dyDescent="0.3">
      <c r="A6" s="824" t="s">
        <v>2970</v>
      </c>
      <c r="B6" s="825">
        <v>497406</v>
      </c>
      <c r="C6" s="826">
        <v>1</v>
      </c>
      <c r="D6" s="826">
        <v>0.86037556479843658</v>
      </c>
      <c r="E6" s="825">
        <v>578126.60000000021</v>
      </c>
      <c r="F6" s="826">
        <v>1.1622831248517311</v>
      </c>
      <c r="G6" s="826">
        <v>1</v>
      </c>
      <c r="H6" s="825">
        <v>621320.59000000008</v>
      </c>
      <c r="I6" s="826">
        <v>1.2491216229800206</v>
      </c>
      <c r="J6" s="826">
        <v>1.0747137218733749</v>
      </c>
      <c r="K6" s="825">
        <v>7372.6399999999994</v>
      </c>
      <c r="L6" s="826">
        <v>1</v>
      </c>
      <c r="M6" s="826">
        <v>9.1230143822255735E-2</v>
      </c>
      <c r="N6" s="825">
        <v>80813.64</v>
      </c>
      <c r="O6" s="826">
        <v>10.961289307493653</v>
      </c>
      <c r="P6" s="826">
        <v>1</v>
      </c>
      <c r="Q6" s="825">
        <v>48111.43</v>
      </c>
      <c r="R6" s="826">
        <v>6.5256719438355875</v>
      </c>
      <c r="S6" s="826">
        <v>0.59533798997297982</v>
      </c>
      <c r="T6" s="825"/>
      <c r="U6" s="826"/>
      <c r="V6" s="826"/>
      <c r="W6" s="825"/>
      <c r="X6" s="826"/>
      <c r="Y6" s="826"/>
      <c r="Z6" s="825"/>
      <c r="AA6" s="826"/>
      <c r="AB6" s="827"/>
    </row>
    <row r="7" spans="1:28" ht="14.4" customHeight="1" x14ac:dyDescent="0.3">
      <c r="A7" s="834" t="s">
        <v>2971</v>
      </c>
      <c r="B7" s="828">
        <v>492954</v>
      </c>
      <c r="C7" s="829">
        <v>1</v>
      </c>
      <c r="D7" s="829">
        <v>0.86034930998084336</v>
      </c>
      <c r="E7" s="828">
        <v>572969.60000000021</v>
      </c>
      <c r="F7" s="829">
        <v>1.1623185936213118</v>
      </c>
      <c r="G7" s="829">
        <v>1</v>
      </c>
      <c r="H7" s="828">
        <v>613790.59000000008</v>
      </c>
      <c r="I7" s="829">
        <v>1.2451275169691292</v>
      </c>
      <c r="J7" s="829">
        <v>1.0712446000625511</v>
      </c>
      <c r="K7" s="828">
        <v>7372.6399999999994</v>
      </c>
      <c r="L7" s="829">
        <v>1</v>
      </c>
      <c r="M7" s="829">
        <v>7.5116046867040218</v>
      </c>
      <c r="N7" s="828">
        <v>981.50000000000023</v>
      </c>
      <c r="O7" s="829">
        <v>0.13312734651359626</v>
      </c>
      <c r="P7" s="829">
        <v>1</v>
      </c>
      <c r="Q7" s="828">
        <v>1762.4700000000003</v>
      </c>
      <c r="R7" s="829">
        <v>0.23905548080470501</v>
      </c>
      <c r="S7" s="829">
        <v>1.7956902699949056</v>
      </c>
      <c r="T7" s="828"/>
      <c r="U7" s="829"/>
      <c r="V7" s="829"/>
      <c r="W7" s="828"/>
      <c r="X7" s="829"/>
      <c r="Y7" s="829"/>
      <c r="Z7" s="828"/>
      <c r="AA7" s="829"/>
      <c r="AB7" s="830"/>
    </row>
    <row r="8" spans="1:28" ht="14.4" customHeight="1" thickBot="1" x14ac:dyDescent="0.35">
      <c r="A8" s="835" t="s">
        <v>2972</v>
      </c>
      <c r="B8" s="831">
        <v>4452</v>
      </c>
      <c r="C8" s="832">
        <v>1</v>
      </c>
      <c r="D8" s="832">
        <v>0.86329261198371143</v>
      </c>
      <c r="E8" s="831">
        <v>5157</v>
      </c>
      <c r="F8" s="832">
        <v>1.1583557951482479</v>
      </c>
      <c r="G8" s="832">
        <v>1</v>
      </c>
      <c r="H8" s="831">
        <v>7530</v>
      </c>
      <c r="I8" s="832">
        <v>1.6913746630727762</v>
      </c>
      <c r="J8" s="832">
        <v>1.460151250727167</v>
      </c>
      <c r="K8" s="831"/>
      <c r="L8" s="832"/>
      <c r="M8" s="832"/>
      <c r="N8" s="831">
        <v>79832.14</v>
      </c>
      <c r="O8" s="832"/>
      <c r="P8" s="832">
        <v>1</v>
      </c>
      <c r="Q8" s="831">
        <v>46348.959999999999</v>
      </c>
      <c r="R8" s="832"/>
      <c r="S8" s="832">
        <v>0.5805802024097062</v>
      </c>
      <c r="T8" s="831"/>
      <c r="U8" s="832"/>
      <c r="V8" s="832"/>
      <c r="W8" s="831"/>
      <c r="X8" s="832"/>
      <c r="Y8" s="832"/>
      <c r="Z8" s="831"/>
      <c r="AA8" s="832"/>
      <c r="AB8" s="833"/>
    </row>
    <row r="9" spans="1:28" ht="14.4" customHeight="1" thickBot="1" x14ac:dyDescent="0.35"/>
    <row r="10" spans="1:28" ht="14.4" customHeight="1" x14ac:dyDescent="0.3">
      <c r="A10" s="824" t="s">
        <v>566</v>
      </c>
      <c r="B10" s="825">
        <v>497406</v>
      </c>
      <c r="C10" s="826">
        <v>1</v>
      </c>
      <c r="D10" s="826">
        <v>0.8603755647984368</v>
      </c>
      <c r="E10" s="825">
        <v>578126.60000000009</v>
      </c>
      <c r="F10" s="826">
        <v>1.1622831248517309</v>
      </c>
      <c r="G10" s="826">
        <v>1</v>
      </c>
      <c r="H10" s="825">
        <v>621320.59000000008</v>
      </c>
      <c r="I10" s="826">
        <v>1.2491216229800206</v>
      </c>
      <c r="J10" s="827">
        <v>1.0747137218733751</v>
      </c>
    </row>
    <row r="11" spans="1:28" ht="14.4" customHeight="1" x14ac:dyDescent="0.3">
      <c r="A11" s="834" t="s">
        <v>2974</v>
      </c>
      <c r="B11" s="828">
        <v>106357</v>
      </c>
      <c r="C11" s="829">
        <v>1</v>
      </c>
      <c r="D11" s="829">
        <v>0.85028229752821183</v>
      </c>
      <c r="E11" s="828">
        <v>125084.34</v>
      </c>
      <c r="F11" s="829">
        <v>1.1760799947347143</v>
      </c>
      <c r="G11" s="829">
        <v>1</v>
      </c>
      <c r="H11" s="828">
        <v>126751.66</v>
      </c>
      <c r="I11" s="829">
        <v>1.1917566309692826</v>
      </c>
      <c r="J11" s="830">
        <v>1.013329566275043</v>
      </c>
    </row>
    <row r="12" spans="1:28" ht="14.4" customHeight="1" thickBot="1" x14ac:dyDescent="0.35">
      <c r="A12" s="835" t="s">
        <v>2975</v>
      </c>
      <c r="B12" s="831">
        <v>391049</v>
      </c>
      <c r="C12" s="832">
        <v>1</v>
      </c>
      <c r="D12" s="832">
        <v>0.86316230190093057</v>
      </c>
      <c r="E12" s="831">
        <v>453042.26000000013</v>
      </c>
      <c r="F12" s="832">
        <v>1.1585306700694802</v>
      </c>
      <c r="G12" s="832">
        <v>1</v>
      </c>
      <c r="H12" s="831">
        <v>494568.93000000005</v>
      </c>
      <c r="I12" s="832">
        <v>1.2647236791297256</v>
      </c>
      <c r="J12" s="833">
        <v>1.0916618021462279</v>
      </c>
    </row>
    <row r="13" spans="1:28" ht="14.4" customHeight="1" x14ac:dyDescent="0.3">
      <c r="A13" s="779" t="s">
        <v>1899</v>
      </c>
    </row>
    <row r="14" spans="1:28" ht="14.4" customHeight="1" x14ac:dyDescent="0.3">
      <c r="A14" s="780" t="s">
        <v>1900</v>
      </c>
    </row>
    <row r="15" spans="1:28" ht="14.4" customHeight="1" x14ac:dyDescent="0.3">
      <c r="A15" s="779" t="s">
        <v>2976</v>
      </c>
    </row>
    <row r="16" spans="1:28" ht="14.4" customHeight="1" x14ac:dyDescent="0.3">
      <c r="A16" s="779" t="s">
        <v>2977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01" t="s">
        <v>2981</v>
      </c>
      <c r="B1" s="526"/>
      <c r="C1" s="526"/>
      <c r="D1" s="526"/>
      <c r="E1" s="526"/>
      <c r="F1" s="526"/>
      <c r="G1" s="526"/>
    </row>
    <row r="2" spans="1:7" ht="14.4" customHeight="1" thickBot="1" x14ac:dyDescent="0.35">
      <c r="A2" s="374" t="s">
        <v>323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84" t="s">
        <v>159</v>
      </c>
      <c r="B3" s="444">
        <f t="shared" ref="B3:G3" si="0">SUBTOTAL(9,B6:B1048576)</f>
        <v>4206</v>
      </c>
      <c r="C3" s="445">
        <f t="shared" si="0"/>
        <v>3469</v>
      </c>
      <c r="D3" s="483">
        <f t="shared" si="0"/>
        <v>4288</v>
      </c>
      <c r="E3" s="346">
        <f t="shared" si="0"/>
        <v>497406</v>
      </c>
      <c r="F3" s="344">
        <f t="shared" si="0"/>
        <v>578126.6</v>
      </c>
      <c r="G3" s="446">
        <f t="shared" si="0"/>
        <v>621320.58999999985</v>
      </c>
    </row>
    <row r="4" spans="1:7" ht="14.4" customHeight="1" x14ac:dyDescent="0.3">
      <c r="A4" s="602" t="s">
        <v>167</v>
      </c>
      <c r="B4" s="607" t="s">
        <v>267</v>
      </c>
      <c r="C4" s="605"/>
      <c r="D4" s="608"/>
      <c r="E4" s="607" t="s">
        <v>123</v>
      </c>
      <c r="F4" s="605"/>
      <c r="G4" s="608"/>
    </row>
    <row r="5" spans="1:7" ht="14.4" customHeight="1" thickBot="1" x14ac:dyDescent="0.35">
      <c r="A5" s="819"/>
      <c r="B5" s="820">
        <v>2015</v>
      </c>
      <c r="C5" s="821">
        <v>2016</v>
      </c>
      <c r="D5" s="836">
        <v>2017</v>
      </c>
      <c r="E5" s="820">
        <v>2015</v>
      </c>
      <c r="F5" s="821">
        <v>2016</v>
      </c>
      <c r="G5" s="836">
        <v>2017</v>
      </c>
    </row>
    <row r="6" spans="1:7" ht="14.4" customHeight="1" x14ac:dyDescent="0.3">
      <c r="A6" s="814" t="s">
        <v>1902</v>
      </c>
      <c r="B6" s="225">
        <v>201</v>
      </c>
      <c r="C6" s="225">
        <v>284</v>
      </c>
      <c r="D6" s="225">
        <v>367</v>
      </c>
      <c r="E6" s="837">
        <v>34522</v>
      </c>
      <c r="F6" s="837">
        <v>26116</v>
      </c>
      <c r="G6" s="838">
        <v>52098.65</v>
      </c>
    </row>
    <row r="7" spans="1:7" ht="14.4" customHeight="1" x14ac:dyDescent="0.3">
      <c r="A7" s="751" t="s">
        <v>2974</v>
      </c>
      <c r="B7" s="728">
        <v>2091</v>
      </c>
      <c r="C7" s="728">
        <v>276</v>
      </c>
      <c r="D7" s="728">
        <v>334</v>
      </c>
      <c r="E7" s="839">
        <v>106357</v>
      </c>
      <c r="F7" s="839">
        <v>125084.34</v>
      </c>
      <c r="G7" s="840">
        <v>126751.66</v>
      </c>
    </row>
    <row r="8" spans="1:7" ht="14.4" customHeight="1" x14ac:dyDescent="0.3">
      <c r="A8" s="751" t="s">
        <v>1903</v>
      </c>
      <c r="B8" s="728">
        <v>32</v>
      </c>
      <c r="C8" s="728">
        <v>56</v>
      </c>
      <c r="D8" s="728">
        <v>53</v>
      </c>
      <c r="E8" s="839">
        <v>4989</v>
      </c>
      <c r="F8" s="839">
        <v>7200.33</v>
      </c>
      <c r="G8" s="840">
        <v>7954.66</v>
      </c>
    </row>
    <row r="9" spans="1:7" ht="14.4" customHeight="1" x14ac:dyDescent="0.3">
      <c r="A9" s="751" t="s">
        <v>1904</v>
      </c>
      <c r="B9" s="728">
        <v>157</v>
      </c>
      <c r="C9" s="728">
        <v>140</v>
      </c>
      <c r="D9" s="728">
        <v>401</v>
      </c>
      <c r="E9" s="839">
        <v>27283</v>
      </c>
      <c r="F9" s="839">
        <v>18786.990000000002</v>
      </c>
      <c r="G9" s="840">
        <v>46327.66</v>
      </c>
    </row>
    <row r="10" spans="1:7" ht="14.4" customHeight="1" x14ac:dyDescent="0.3">
      <c r="A10" s="751" t="s">
        <v>1905</v>
      </c>
      <c r="B10" s="728">
        <v>304</v>
      </c>
      <c r="C10" s="728">
        <v>341</v>
      </c>
      <c r="D10" s="728">
        <v>391</v>
      </c>
      <c r="E10" s="839">
        <v>52940</v>
      </c>
      <c r="F10" s="839">
        <v>42410.33</v>
      </c>
      <c r="G10" s="840">
        <v>41879.990000000005</v>
      </c>
    </row>
    <row r="11" spans="1:7" ht="14.4" customHeight="1" x14ac:dyDescent="0.3">
      <c r="A11" s="751" t="s">
        <v>1906</v>
      </c>
      <c r="B11" s="728">
        <v>127</v>
      </c>
      <c r="C11" s="728">
        <v>181</v>
      </c>
      <c r="D11" s="728">
        <v>124</v>
      </c>
      <c r="E11" s="839">
        <v>32467</v>
      </c>
      <c r="F11" s="839">
        <v>43080.66</v>
      </c>
      <c r="G11" s="840">
        <v>25829.659999999996</v>
      </c>
    </row>
    <row r="12" spans="1:7" ht="14.4" customHeight="1" x14ac:dyDescent="0.3">
      <c r="A12" s="751" t="s">
        <v>1907</v>
      </c>
      <c r="B12" s="728"/>
      <c r="C12" s="728"/>
      <c r="D12" s="728">
        <v>4</v>
      </c>
      <c r="E12" s="839"/>
      <c r="F12" s="839"/>
      <c r="G12" s="840">
        <v>447.33</v>
      </c>
    </row>
    <row r="13" spans="1:7" ht="14.4" customHeight="1" x14ac:dyDescent="0.3">
      <c r="A13" s="751" t="s">
        <v>1908</v>
      </c>
      <c r="B13" s="728">
        <v>271</v>
      </c>
      <c r="C13" s="728">
        <v>457</v>
      </c>
      <c r="D13" s="728">
        <v>580</v>
      </c>
      <c r="E13" s="839">
        <v>46540</v>
      </c>
      <c r="F13" s="839">
        <v>67086.320000000007</v>
      </c>
      <c r="G13" s="840">
        <v>67315.66</v>
      </c>
    </row>
    <row r="14" spans="1:7" ht="14.4" customHeight="1" x14ac:dyDescent="0.3">
      <c r="A14" s="751" t="s">
        <v>1909</v>
      </c>
      <c r="B14" s="728">
        <v>429</v>
      </c>
      <c r="C14" s="728">
        <v>671</v>
      </c>
      <c r="D14" s="728">
        <v>756</v>
      </c>
      <c r="E14" s="839">
        <v>95841</v>
      </c>
      <c r="F14" s="839">
        <v>113050.66</v>
      </c>
      <c r="G14" s="840">
        <v>112191</v>
      </c>
    </row>
    <row r="15" spans="1:7" ht="14.4" customHeight="1" x14ac:dyDescent="0.3">
      <c r="A15" s="751" t="s">
        <v>1910</v>
      </c>
      <c r="B15" s="728">
        <v>124</v>
      </c>
      <c r="C15" s="728">
        <v>420</v>
      </c>
      <c r="D15" s="728">
        <v>476</v>
      </c>
      <c r="E15" s="839">
        <v>20706</v>
      </c>
      <c r="F15" s="839">
        <v>51001.320000000007</v>
      </c>
      <c r="G15" s="840">
        <v>44473.32</v>
      </c>
    </row>
    <row r="16" spans="1:7" ht="14.4" customHeight="1" x14ac:dyDescent="0.3">
      <c r="A16" s="751" t="s">
        <v>1911</v>
      </c>
      <c r="B16" s="728">
        <v>254</v>
      </c>
      <c r="C16" s="728">
        <v>264</v>
      </c>
      <c r="D16" s="728">
        <v>410</v>
      </c>
      <c r="E16" s="839">
        <v>35429</v>
      </c>
      <c r="F16" s="839">
        <v>30841.660000000003</v>
      </c>
      <c r="G16" s="840">
        <v>46021.33</v>
      </c>
    </row>
    <row r="17" spans="1:7" ht="14.4" customHeight="1" x14ac:dyDescent="0.3">
      <c r="A17" s="751" t="s">
        <v>2978</v>
      </c>
      <c r="B17" s="728">
        <v>5</v>
      </c>
      <c r="C17" s="728">
        <v>5</v>
      </c>
      <c r="D17" s="728">
        <v>2</v>
      </c>
      <c r="E17" s="839">
        <v>860</v>
      </c>
      <c r="F17" s="839">
        <v>811</v>
      </c>
      <c r="G17" s="840">
        <v>74</v>
      </c>
    </row>
    <row r="18" spans="1:7" ht="14.4" customHeight="1" x14ac:dyDescent="0.3">
      <c r="A18" s="751" t="s">
        <v>2979</v>
      </c>
      <c r="B18" s="728">
        <v>1</v>
      </c>
      <c r="C18" s="728"/>
      <c r="D18" s="728">
        <v>1</v>
      </c>
      <c r="E18" s="839">
        <v>235</v>
      </c>
      <c r="F18" s="839"/>
      <c r="G18" s="840">
        <v>37</v>
      </c>
    </row>
    <row r="19" spans="1:7" ht="14.4" customHeight="1" x14ac:dyDescent="0.3">
      <c r="A19" s="751" t="s">
        <v>2980</v>
      </c>
      <c r="B19" s="728">
        <v>14</v>
      </c>
      <c r="C19" s="728">
        <v>29</v>
      </c>
      <c r="D19" s="728">
        <v>14</v>
      </c>
      <c r="E19" s="839">
        <v>4658</v>
      </c>
      <c r="F19" s="839">
        <v>6385.33</v>
      </c>
      <c r="G19" s="840">
        <v>2844.33</v>
      </c>
    </row>
    <row r="20" spans="1:7" ht="14.4" customHeight="1" thickBot="1" x14ac:dyDescent="0.35">
      <c r="A20" s="843" t="s">
        <v>1912</v>
      </c>
      <c r="B20" s="734">
        <v>196</v>
      </c>
      <c r="C20" s="734">
        <v>345</v>
      </c>
      <c r="D20" s="734">
        <v>375</v>
      </c>
      <c r="E20" s="841">
        <v>34579</v>
      </c>
      <c r="F20" s="841">
        <v>46271.66</v>
      </c>
      <c r="G20" s="842">
        <v>47074.34</v>
      </c>
    </row>
    <row r="21" spans="1:7" ht="14.4" customHeight="1" x14ac:dyDescent="0.3">
      <c r="A21" s="779" t="s">
        <v>1899</v>
      </c>
    </row>
    <row r="22" spans="1:7" ht="14.4" customHeight="1" x14ac:dyDescent="0.3">
      <c r="A22" s="780" t="s">
        <v>1900</v>
      </c>
    </row>
    <row r="23" spans="1:7" ht="14.4" customHeight="1" x14ac:dyDescent="0.3">
      <c r="A23" s="779" t="s">
        <v>2976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26" t="s">
        <v>3041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8"/>
      <c r="R1" s="558"/>
    </row>
    <row r="2" spans="1:18" ht="14.4" customHeight="1" thickBot="1" x14ac:dyDescent="0.35">
      <c r="A2" s="374" t="s">
        <v>323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159</v>
      </c>
      <c r="G3" s="207">
        <f t="shared" ref="G3:P3" si="0">SUBTOTAL(9,G6:G1048576)</f>
        <v>4254.8</v>
      </c>
      <c r="H3" s="208">
        <f t="shared" si="0"/>
        <v>504778.64</v>
      </c>
      <c r="I3" s="78"/>
      <c r="J3" s="78"/>
      <c r="K3" s="208">
        <f t="shared" si="0"/>
        <v>3502.5</v>
      </c>
      <c r="L3" s="208">
        <f t="shared" si="0"/>
        <v>658940.24000000011</v>
      </c>
      <c r="M3" s="78"/>
      <c r="N3" s="78"/>
      <c r="O3" s="208">
        <f t="shared" si="0"/>
        <v>4313.7</v>
      </c>
      <c r="P3" s="208">
        <f t="shared" si="0"/>
        <v>669432.02</v>
      </c>
      <c r="Q3" s="79">
        <f>IF(L3=0,0,P3/L3)</f>
        <v>1.0159222025960957</v>
      </c>
      <c r="R3" s="209">
        <f>IF(O3=0,0,P3/O3)</f>
        <v>155.18743074390895</v>
      </c>
    </row>
    <row r="4" spans="1:18" ht="14.4" customHeight="1" x14ac:dyDescent="0.3">
      <c r="A4" s="609" t="s">
        <v>305</v>
      </c>
      <c r="B4" s="609" t="s">
        <v>119</v>
      </c>
      <c r="C4" s="617" t="s">
        <v>0</v>
      </c>
      <c r="D4" s="611" t="s">
        <v>120</v>
      </c>
      <c r="E4" s="616" t="s">
        <v>90</v>
      </c>
      <c r="F4" s="612" t="s">
        <v>81</v>
      </c>
      <c r="G4" s="613">
        <v>2015</v>
      </c>
      <c r="H4" s="614"/>
      <c r="I4" s="206"/>
      <c r="J4" s="206"/>
      <c r="K4" s="613">
        <v>2016</v>
      </c>
      <c r="L4" s="614"/>
      <c r="M4" s="206"/>
      <c r="N4" s="206"/>
      <c r="O4" s="613">
        <v>2017</v>
      </c>
      <c r="P4" s="614"/>
      <c r="Q4" s="615" t="s">
        <v>2</v>
      </c>
      <c r="R4" s="610" t="s">
        <v>122</v>
      </c>
    </row>
    <row r="5" spans="1:18" ht="14.4" customHeight="1" thickBot="1" x14ac:dyDescent="0.35">
      <c r="A5" s="844"/>
      <c r="B5" s="844"/>
      <c r="C5" s="845"/>
      <c r="D5" s="846"/>
      <c r="E5" s="847"/>
      <c r="F5" s="848"/>
      <c r="G5" s="849" t="s">
        <v>91</v>
      </c>
      <c r="H5" s="850" t="s">
        <v>14</v>
      </c>
      <c r="I5" s="851"/>
      <c r="J5" s="851"/>
      <c r="K5" s="849" t="s">
        <v>91</v>
      </c>
      <c r="L5" s="850" t="s">
        <v>14</v>
      </c>
      <c r="M5" s="851"/>
      <c r="N5" s="851"/>
      <c r="O5" s="849" t="s">
        <v>91</v>
      </c>
      <c r="P5" s="850" t="s">
        <v>14</v>
      </c>
      <c r="Q5" s="852"/>
      <c r="R5" s="853"/>
    </row>
    <row r="6" spans="1:18" ht="14.4" customHeight="1" x14ac:dyDescent="0.3">
      <c r="A6" s="799" t="s">
        <v>552</v>
      </c>
      <c r="B6" s="800" t="s">
        <v>2982</v>
      </c>
      <c r="C6" s="800" t="s">
        <v>566</v>
      </c>
      <c r="D6" s="800" t="s">
        <v>2983</v>
      </c>
      <c r="E6" s="800" t="s">
        <v>2984</v>
      </c>
      <c r="F6" s="800" t="s">
        <v>2985</v>
      </c>
      <c r="G6" s="225">
        <v>48.8</v>
      </c>
      <c r="H6" s="225">
        <v>7372.6399999999994</v>
      </c>
      <c r="I6" s="800">
        <v>7.5116046867040218</v>
      </c>
      <c r="J6" s="800">
        <v>151.07868852459015</v>
      </c>
      <c r="K6" s="225">
        <v>6.4999999999999982</v>
      </c>
      <c r="L6" s="225">
        <v>981.50000000000023</v>
      </c>
      <c r="M6" s="800">
        <v>1</v>
      </c>
      <c r="N6" s="800">
        <v>151.00000000000009</v>
      </c>
      <c r="O6" s="225">
        <v>6.5000000000000009</v>
      </c>
      <c r="P6" s="225">
        <v>981.5</v>
      </c>
      <c r="Q6" s="805">
        <v>0.99999999999999978</v>
      </c>
      <c r="R6" s="813">
        <v>150.99999999999997</v>
      </c>
    </row>
    <row r="7" spans="1:18" ht="14.4" customHeight="1" x14ac:dyDescent="0.3">
      <c r="A7" s="724" t="s">
        <v>552</v>
      </c>
      <c r="B7" s="725" t="s">
        <v>2982</v>
      </c>
      <c r="C7" s="725" t="s">
        <v>566</v>
      </c>
      <c r="D7" s="725" t="s">
        <v>2983</v>
      </c>
      <c r="E7" s="725" t="s">
        <v>2986</v>
      </c>
      <c r="F7" s="725" t="s">
        <v>2987</v>
      </c>
      <c r="G7" s="728"/>
      <c r="H7" s="728"/>
      <c r="I7" s="725"/>
      <c r="J7" s="725"/>
      <c r="K7" s="728"/>
      <c r="L7" s="728"/>
      <c r="M7" s="725"/>
      <c r="N7" s="725"/>
      <c r="O7" s="728">
        <v>2.5000000000000004</v>
      </c>
      <c r="P7" s="728">
        <v>633.95000000000005</v>
      </c>
      <c r="Q7" s="741"/>
      <c r="R7" s="729">
        <v>253.57999999999998</v>
      </c>
    </row>
    <row r="8" spans="1:18" ht="14.4" customHeight="1" x14ac:dyDescent="0.3">
      <c r="A8" s="724" t="s">
        <v>552</v>
      </c>
      <c r="B8" s="725" t="s">
        <v>2982</v>
      </c>
      <c r="C8" s="725" t="s">
        <v>566</v>
      </c>
      <c r="D8" s="725" t="s">
        <v>2983</v>
      </c>
      <c r="E8" s="725" t="s">
        <v>2988</v>
      </c>
      <c r="F8" s="725" t="s">
        <v>1091</v>
      </c>
      <c r="G8" s="728"/>
      <c r="H8" s="728"/>
      <c r="I8" s="725"/>
      <c r="J8" s="725"/>
      <c r="K8" s="728"/>
      <c r="L8" s="728"/>
      <c r="M8" s="725"/>
      <c r="N8" s="725"/>
      <c r="O8" s="728">
        <v>0.7</v>
      </c>
      <c r="P8" s="728">
        <v>147.01999999999998</v>
      </c>
      <c r="Q8" s="741"/>
      <c r="R8" s="729">
        <v>210.02857142857141</v>
      </c>
    </row>
    <row r="9" spans="1:18" ht="14.4" customHeight="1" x14ac:dyDescent="0.3">
      <c r="A9" s="724" t="s">
        <v>552</v>
      </c>
      <c r="B9" s="725" t="s">
        <v>2982</v>
      </c>
      <c r="C9" s="725" t="s">
        <v>566</v>
      </c>
      <c r="D9" s="725" t="s">
        <v>2989</v>
      </c>
      <c r="E9" s="725" t="s">
        <v>2990</v>
      </c>
      <c r="F9" s="725" t="s">
        <v>2991</v>
      </c>
      <c r="G9" s="728">
        <v>53</v>
      </c>
      <c r="H9" s="728">
        <v>4293</v>
      </c>
      <c r="I9" s="725">
        <v>2.8734939759036147</v>
      </c>
      <c r="J9" s="725">
        <v>81</v>
      </c>
      <c r="K9" s="728">
        <v>18</v>
      </c>
      <c r="L9" s="728">
        <v>1494</v>
      </c>
      <c r="M9" s="725">
        <v>1</v>
      </c>
      <c r="N9" s="725">
        <v>83</v>
      </c>
      <c r="O9" s="728">
        <v>42</v>
      </c>
      <c r="P9" s="728">
        <v>3486</v>
      </c>
      <c r="Q9" s="741">
        <v>2.3333333333333335</v>
      </c>
      <c r="R9" s="729">
        <v>83</v>
      </c>
    </row>
    <row r="10" spans="1:18" ht="14.4" customHeight="1" x14ac:dyDescent="0.3">
      <c r="A10" s="724" t="s">
        <v>552</v>
      </c>
      <c r="B10" s="725" t="s">
        <v>2982</v>
      </c>
      <c r="C10" s="725" t="s">
        <v>566</v>
      </c>
      <c r="D10" s="725" t="s">
        <v>2989</v>
      </c>
      <c r="E10" s="725" t="s">
        <v>2992</v>
      </c>
      <c r="F10" s="725" t="s">
        <v>2993</v>
      </c>
      <c r="G10" s="728">
        <v>141</v>
      </c>
      <c r="H10" s="728">
        <v>4935</v>
      </c>
      <c r="I10" s="725">
        <v>1.307631160572337</v>
      </c>
      <c r="J10" s="725">
        <v>35</v>
      </c>
      <c r="K10" s="728">
        <v>102</v>
      </c>
      <c r="L10" s="728">
        <v>3774</v>
      </c>
      <c r="M10" s="725">
        <v>1</v>
      </c>
      <c r="N10" s="725">
        <v>37</v>
      </c>
      <c r="O10" s="728">
        <v>79</v>
      </c>
      <c r="P10" s="728">
        <v>2923</v>
      </c>
      <c r="Q10" s="741">
        <v>0.77450980392156865</v>
      </c>
      <c r="R10" s="729">
        <v>37</v>
      </c>
    </row>
    <row r="11" spans="1:18" ht="14.4" customHeight="1" x14ac:dyDescent="0.3">
      <c r="A11" s="724" t="s">
        <v>552</v>
      </c>
      <c r="B11" s="725" t="s">
        <v>2982</v>
      </c>
      <c r="C11" s="725" t="s">
        <v>566</v>
      </c>
      <c r="D11" s="725" t="s">
        <v>2989</v>
      </c>
      <c r="E11" s="725" t="s">
        <v>2994</v>
      </c>
      <c r="F11" s="725" t="s">
        <v>2995</v>
      </c>
      <c r="G11" s="728">
        <v>1</v>
      </c>
      <c r="H11" s="728">
        <v>5</v>
      </c>
      <c r="I11" s="725">
        <v>0.5</v>
      </c>
      <c r="J11" s="725">
        <v>5</v>
      </c>
      <c r="K11" s="728">
        <v>2</v>
      </c>
      <c r="L11" s="728">
        <v>10</v>
      </c>
      <c r="M11" s="725">
        <v>1</v>
      </c>
      <c r="N11" s="725">
        <v>5</v>
      </c>
      <c r="O11" s="728">
        <v>1</v>
      </c>
      <c r="P11" s="728">
        <v>5</v>
      </c>
      <c r="Q11" s="741">
        <v>0.5</v>
      </c>
      <c r="R11" s="729">
        <v>5</v>
      </c>
    </row>
    <row r="12" spans="1:18" ht="14.4" customHeight="1" x14ac:dyDescent="0.3">
      <c r="A12" s="724" t="s">
        <v>552</v>
      </c>
      <c r="B12" s="725" t="s">
        <v>2982</v>
      </c>
      <c r="C12" s="725" t="s">
        <v>566</v>
      </c>
      <c r="D12" s="725" t="s">
        <v>2989</v>
      </c>
      <c r="E12" s="725" t="s">
        <v>2996</v>
      </c>
      <c r="F12" s="725" t="s">
        <v>2997</v>
      </c>
      <c r="G12" s="728"/>
      <c r="H12" s="728"/>
      <c r="I12" s="725"/>
      <c r="J12" s="725"/>
      <c r="K12" s="728">
        <v>1</v>
      </c>
      <c r="L12" s="728">
        <v>5</v>
      </c>
      <c r="M12" s="725">
        <v>1</v>
      </c>
      <c r="N12" s="725">
        <v>5</v>
      </c>
      <c r="O12" s="728">
        <v>1</v>
      </c>
      <c r="P12" s="728">
        <v>5</v>
      </c>
      <c r="Q12" s="741">
        <v>1</v>
      </c>
      <c r="R12" s="729">
        <v>5</v>
      </c>
    </row>
    <row r="13" spans="1:18" ht="14.4" customHeight="1" x14ac:dyDescent="0.3">
      <c r="A13" s="724" t="s">
        <v>552</v>
      </c>
      <c r="B13" s="725" t="s">
        <v>2982</v>
      </c>
      <c r="C13" s="725" t="s">
        <v>566</v>
      </c>
      <c r="D13" s="725" t="s">
        <v>2989</v>
      </c>
      <c r="E13" s="725" t="s">
        <v>2998</v>
      </c>
      <c r="F13" s="725" t="s">
        <v>2999</v>
      </c>
      <c r="G13" s="728"/>
      <c r="H13" s="728"/>
      <c r="I13" s="725"/>
      <c r="J13" s="725"/>
      <c r="K13" s="728">
        <v>1</v>
      </c>
      <c r="L13" s="728">
        <v>116</v>
      </c>
      <c r="M13" s="725">
        <v>1</v>
      </c>
      <c r="N13" s="725">
        <v>116</v>
      </c>
      <c r="O13" s="728">
        <v>3</v>
      </c>
      <c r="P13" s="728">
        <v>348</v>
      </c>
      <c r="Q13" s="741">
        <v>3</v>
      </c>
      <c r="R13" s="729">
        <v>116</v>
      </c>
    </row>
    <row r="14" spans="1:18" ht="14.4" customHeight="1" x14ac:dyDescent="0.3">
      <c r="A14" s="724" t="s">
        <v>552</v>
      </c>
      <c r="B14" s="725" t="s">
        <v>2982</v>
      </c>
      <c r="C14" s="725" t="s">
        <v>566</v>
      </c>
      <c r="D14" s="725" t="s">
        <v>2989</v>
      </c>
      <c r="E14" s="725" t="s">
        <v>3000</v>
      </c>
      <c r="F14" s="725" t="s">
        <v>3001</v>
      </c>
      <c r="G14" s="728"/>
      <c r="H14" s="728"/>
      <c r="I14" s="725"/>
      <c r="J14" s="725"/>
      <c r="K14" s="728"/>
      <c r="L14" s="728"/>
      <c r="M14" s="725"/>
      <c r="N14" s="725"/>
      <c r="O14" s="728">
        <v>2</v>
      </c>
      <c r="P14" s="728">
        <v>258</v>
      </c>
      <c r="Q14" s="741"/>
      <c r="R14" s="729">
        <v>129</v>
      </c>
    </row>
    <row r="15" spans="1:18" ht="14.4" customHeight="1" x14ac:dyDescent="0.3">
      <c r="A15" s="724" t="s">
        <v>552</v>
      </c>
      <c r="B15" s="725" t="s">
        <v>2982</v>
      </c>
      <c r="C15" s="725" t="s">
        <v>566</v>
      </c>
      <c r="D15" s="725" t="s">
        <v>2989</v>
      </c>
      <c r="E15" s="725" t="s">
        <v>3002</v>
      </c>
      <c r="F15" s="725" t="s">
        <v>3003</v>
      </c>
      <c r="G15" s="728">
        <v>769</v>
      </c>
      <c r="H15" s="728">
        <v>90742</v>
      </c>
      <c r="I15" s="725">
        <v>0.94140471003216097</v>
      </c>
      <c r="J15" s="725">
        <v>118</v>
      </c>
      <c r="K15" s="728">
        <v>765</v>
      </c>
      <c r="L15" s="728">
        <v>96390</v>
      </c>
      <c r="M15" s="725">
        <v>1</v>
      </c>
      <c r="N15" s="725">
        <v>126</v>
      </c>
      <c r="O15" s="728">
        <v>809</v>
      </c>
      <c r="P15" s="728">
        <v>101934</v>
      </c>
      <c r="Q15" s="741">
        <v>1.0575163398692811</v>
      </c>
      <c r="R15" s="729">
        <v>126</v>
      </c>
    </row>
    <row r="16" spans="1:18" ht="14.4" customHeight="1" x14ac:dyDescent="0.3">
      <c r="A16" s="724" t="s">
        <v>552</v>
      </c>
      <c r="B16" s="725" t="s">
        <v>2982</v>
      </c>
      <c r="C16" s="725" t="s">
        <v>566</v>
      </c>
      <c r="D16" s="725" t="s">
        <v>2989</v>
      </c>
      <c r="E16" s="725" t="s">
        <v>3004</v>
      </c>
      <c r="F16" s="725" t="s">
        <v>3005</v>
      </c>
      <c r="G16" s="728"/>
      <c r="H16" s="728"/>
      <c r="I16" s="725"/>
      <c r="J16" s="725"/>
      <c r="K16" s="728">
        <v>1</v>
      </c>
      <c r="L16" s="728">
        <v>540</v>
      </c>
      <c r="M16" s="725">
        <v>1</v>
      </c>
      <c r="N16" s="725">
        <v>540</v>
      </c>
      <c r="O16" s="728"/>
      <c r="P16" s="728"/>
      <c r="Q16" s="741"/>
      <c r="R16" s="729"/>
    </row>
    <row r="17" spans="1:18" ht="14.4" customHeight="1" x14ac:dyDescent="0.3">
      <c r="A17" s="724" t="s">
        <v>552</v>
      </c>
      <c r="B17" s="725" t="s">
        <v>2982</v>
      </c>
      <c r="C17" s="725" t="s">
        <v>566</v>
      </c>
      <c r="D17" s="725" t="s">
        <v>2989</v>
      </c>
      <c r="E17" s="725" t="s">
        <v>3006</v>
      </c>
      <c r="F17" s="725" t="s">
        <v>3007</v>
      </c>
      <c r="G17" s="728">
        <v>56</v>
      </c>
      <c r="H17" s="728">
        <v>91672</v>
      </c>
      <c r="I17" s="725">
        <v>0.84098894546121739</v>
      </c>
      <c r="J17" s="725">
        <v>1637</v>
      </c>
      <c r="K17" s="728">
        <v>65</v>
      </c>
      <c r="L17" s="728">
        <v>109005</v>
      </c>
      <c r="M17" s="725">
        <v>1</v>
      </c>
      <c r="N17" s="725">
        <v>1677</v>
      </c>
      <c r="O17" s="728">
        <v>65</v>
      </c>
      <c r="P17" s="728">
        <v>109070</v>
      </c>
      <c r="Q17" s="741">
        <v>1.0005963029218843</v>
      </c>
      <c r="R17" s="729">
        <v>1678</v>
      </c>
    </row>
    <row r="18" spans="1:18" ht="14.4" customHeight="1" x14ac:dyDescent="0.3">
      <c r="A18" s="724" t="s">
        <v>552</v>
      </c>
      <c r="B18" s="725" t="s">
        <v>2982</v>
      </c>
      <c r="C18" s="725" t="s">
        <v>566</v>
      </c>
      <c r="D18" s="725" t="s">
        <v>2989</v>
      </c>
      <c r="E18" s="725" t="s">
        <v>3008</v>
      </c>
      <c r="F18" s="725" t="s">
        <v>3009</v>
      </c>
      <c r="G18" s="728">
        <v>9</v>
      </c>
      <c r="H18" s="728">
        <v>0</v>
      </c>
      <c r="I18" s="725"/>
      <c r="J18" s="725">
        <v>0</v>
      </c>
      <c r="K18" s="728">
        <v>4</v>
      </c>
      <c r="L18" s="728">
        <v>0</v>
      </c>
      <c r="M18" s="725"/>
      <c r="N18" s="725">
        <v>0</v>
      </c>
      <c r="O18" s="728">
        <v>15</v>
      </c>
      <c r="P18" s="728">
        <v>0</v>
      </c>
      <c r="Q18" s="741"/>
      <c r="R18" s="729">
        <v>0</v>
      </c>
    </row>
    <row r="19" spans="1:18" ht="14.4" customHeight="1" x14ac:dyDescent="0.3">
      <c r="A19" s="724" t="s">
        <v>552</v>
      </c>
      <c r="B19" s="725" t="s">
        <v>2982</v>
      </c>
      <c r="C19" s="725" t="s">
        <v>566</v>
      </c>
      <c r="D19" s="725" t="s">
        <v>2989</v>
      </c>
      <c r="E19" s="725" t="s">
        <v>3010</v>
      </c>
      <c r="F19" s="725" t="s">
        <v>3011</v>
      </c>
      <c r="G19" s="728">
        <v>1846</v>
      </c>
      <c r="H19" s="728">
        <v>0</v>
      </c>
      <c r="I19" s="725">
        <v>0</v>
      </c>
      <c r="J19" s="725">
        <v>0</v>
      </c>
      <c r="K19" s="728">
        <v>1184</v>
      </c>
      <c r="L19" s="728">
        <v>39466.60000000002</v>
      </c>
      <c r="M19" s="725">
        <v>1</v>
      </c>
      <c r="N19" s="725">
        <v>33.333277027027044</v>
      </c>
      <c r="O19" s="728">
        <v>1862</v>
      </c>
      <c r="P19" s="728">
        <v>62066.590000000033</v>
      </c>
      <c r="Q19" s="741">
        <v>1.5726358490470422</v>
      </c>
      <c r="R19" s="729">
        <v>33.333292158968867</v>
      </c>
    </row>
    <row r="20" spans="1:18" ht="14.4" customHeight="1" x14ac:dyDescent="0.3">
      <c r="A20" s="724" t="s">
        <v>552</v>
      </c>
      <c r="B20" s="725" t="s">
        <v>2982</v>
      </c>
      <c r="C20" s="725" t="s">
        <v>566</v>
      </c>
      <c r="D20" s="725" t="s">
        <v>2989</v>
      </c>
      <c r="E20" s="725" t="s">
        <v>3012</v>
      </c>
      <c r="F20" s="725" t="s">
        <v>3013</v>
      </c>
      <c r="G20" s="728">
        <v>1060</v>
      </c>
      <c r="H20" s="728">
        <v>249100</v>
      </c>
      <c r="I20" s="725">
        <v>0.98847637339089856</v>
      </c>
      <c r="J20" s="725">
        <v>235</v>
      </c>
      <c r="K20" s="728">
        <v>1004</v>
      </c>
      <c r="L20" s="728">
        <v>252004</v>
      </c>
      <c r="M20" s="725">
        <v>1</v>
      </c>
      <c r="N20" s="725">
        <v>251</v>
      </c>
      <c r="O20" s="728">
        <v>1063</v>
      </c>
      <c r="P20" s="728">
        <v>266813</v>
      </c>
      <c r="Q20" s="741">
        <v>1.0587649402390438</v>
      </c>
      <c r="R20" s="729">
        <v>251</v>
      </c>
    </row>
    <row r="21" spans="1:18" ht="14.4" customHeight="1" x14ac:dyDescent="0.3">
      <c r="A21" s="724" t="s">
        <v>552</v>
      </c>
      <c r="B21" s="725" t="s">
        <v>2982</v>
      </c>
      <c r="C21" s="725" t="s">
        <v>566</v>
      </c>
      <c r="D21" s="725" t="s">
        <v>2989</v>
      </c>
      <c r="E21" s="725" t="s">
        <v>3014</v>
      </c>
      <c r="F21" s="725" t="s">
        <v>3015</v>
      </c>
      <c r="G21" s="728">
        <v>47</v>
      </c>
      <c r="H21" s="728">
        <v>5076</v>
      </c>
      <c r="I21" s="725">
        <v>1.0672834314550042</v>
      </c>
      <c r="J21" s="725">
        <v>108</v>
      </c>
      <c r="K21" s="728">
        <v>41</v>
      </c>
      <c r="L21" s="728">
        <v>4756</v>
      </c>
      <c r="M21" s="725">
        <v>1</v>
      </c>
      <c r="N21" s="725">
        <v>116</v>
      </c>
      <c r="O21" s="728">
        <v>58</v>
      </c>
      <c r="P21" s="728">
        <v>6728</v>
      </c>
      <c r="Q21" s="741">
        <v>1.4146341463414633</v>
      </c>
      <c r="R21" s="729">
        <v>116</v>
      </c>
    </row>
    <row r="22" spans="1:18" ht="14.4" customHeight="1" x14ac:dyDescent="0.3">
      <c r="A22" s="724" t="s">
        <v>552</v>
      </c>
      <c r="B22" s="725" t="s">
        <v>2982</v>
      </c>
      <c r="C22" s="725" t="s">
        <v>566</v>
      </c>
      <c r="D22" s="725" t="s">
        <v>2989</v>
      </c>
      <c r="E22" s="725" t="s">
        <v>3016</v>
      </c>
      <c r="F22" s="725" t="s">
        <v>3017</v>
      </c>
      <c r="G22" s="728"/>
      <c r="H22" s="728"/>
      <c r="I22" s="725"/>
      <c r="J22" s="725"/>
      <c r="K22" s="728"/>
      <c r="L22" s="728"/>
      <c r="M22" s="725"/>
      <c r="N22" s="725"/>
      <c r="O22" s="728">
        <v>4</v>
      </c>
      <c r="P22" s="728">
        <v>148</v>
      </c>
      <c r="Q22" s="741"/>
      <c r="R22" s="729">
        <v>37</v>
      </c>
    </row>
    <row r="23" spans="1:18" ht="14.4" customHeight="1" x14ac:dyDescent="0.3">
      <c r="A23" s="724" t="s">
        <v>552</v>
      </c>
      <c r="B23" s="725" t="s">
        <v>2982</v>
      </c>
      <c r="C23" s="725" t="s">
        <v>566</v>
      </c>
      <c r="D23" s="725" t="s">
        <v>2989</v>
      </c>
      <c r="E23" s="725" t="s">
        <v>3018</v>
      </c>
      <c r="F23" s="725" t="s">
        <v>3019</v>
      </c>
      <c r="G23" s="728">
        <v>57</v>
      </c>
      <c r="H23" s="728">
        <v>4674</v>
      </c>
      <c r="I23" s="725">
        <v>0.84920058139534882</v>
      </c>
      <c r="J23" s="725">
        <v>82</v>
      </c>
      <c r="K23" s="728">
        <v>64</v>
      </c>
      <c r="L23" s="728">
        <v>5504</v>
      </c>
      <c r="M23" s="725">
        <v>1</v>
      </c>
      <c r="N23" s="725">
        <v>86</v>
      </c>
      <c r="O23" s="728">
        <v>66</v>
      </c>
      <c r="P23" s="728">
        <v>5676</v>
      </c>
      <c r="Q23" s="741">
        <v>1.03125</v>
      </c>
      <c r="R23" s="729">
        <v>86</v>
      </c>
    </row>
    <row r="24" spans="1:18" ht="14.4" customHeight="1" x14ac:dyDescent="0.3">
      <c r="A24" s="724" t="s">
        <v>552</v>
      </c>
      <c r="B24" s="725" t="s">
        <v>2982</v>
      </c>
      <c r="C24" s="725" t="s">
        <v>566</v>
      </c>
      <c r="D24" s="725" t="s">
        <v>2989</v>
      </c>
      <c r="E24" s="725" t="s">
        <v>3020</v>
      </c>
      <c r="F24" s="725" t="s">
        <v>3021</v>
      </c>
      <c r="G24" s="728"/>
      <c r="H24" s="728"/>
      <c r="I24" s="725"/>
      <c r="J24" s="725"/>
      <c r="K24" s="728"/>
      <c r="L24" s="728"/>
      <c r="M24" s="725"/>
      <c r="N24" s="725"/>
      <c r="O24" s="728">
        <v>2</v>
      </c>
      <c r="P24" s="728">
        <v>118</v>
      </c>
      <c r="Q24" s="741"/>
      <c r="R24" s="729">
        <v>59</v>
      </c>
    </row>
    <row r="25" spans="1:18" ht="14.4" customHeight="1" x14ac:dyDescent="0.3">
      <c r="A25" s="724" t="s">
        <v>552</v>
      </c>
      <c r="B25" s="725" t="s">
        <v>2982</v>
      </c>
      <c r="C25" s="725" t="s">
        <v>566</v>
      </c>
      <c r="D25" s="725" t="s">
        <v>2989</v>
      </c>
      <c r="E25" s="725" t="s">
        <v>3022</v>
      </c>
      <c r="F25" s="725" t="s">
        <v>3023</v>
      </c>
      <c r="G25" s="728">
        <v>2</v>
      </c>
      <c r="H25" s="728">
        <v>228</v>
      </c>
      <c r="I25" s="725">
        <v>0.93442622950819676</v>
      </c>
      <c r="J25" s="725">
        <v>114</v>
      </c>
      <c r="K25" s="728">
        <v>2</v>
      </c>
      <c r="L25" s="728">
        <v>244</v>
      </c>
      <c r="M25" s="725">
        <v>1</v>
      </c>
      <c r="N25" s="725">
        <v>122</v>
      </c>
      <c r="O25" s="728"/>
      <c r="P25" s="728"/>
      <c r="Q25" s="741"/>
      <c r="R25" s="729"/>
    </row>
    <row r="26" spans="1:18" ht="14.4" customHeight="1" x14ac:dyDescent="0.3">
      <c r="A26" s="724" t="s">
        <v>552</v>
      </c>
      <c r="B26" s="725" t="s">
        <v>2982</v>
      </c>
      <c r="C26" s="725" t="s">
        <v>566</v>
      </c>
      <c r="D26" s="725" t="s">
        <v>2989</v>
      </c>
      <c r="E26" s="725" t="s">
        <v>3024</v>
      </c>
      <c r="F26" s="725" t="s">
        <v>3025</v>
      </c>
      <c r="G26" s="728">
        <v>14</v>
      </c>
      <c r="H26" s="728">
        <v>2506</v>
      </c>
      <c r="I26" s="725">
        <v>0.91293260473588345</v>
      </c>
      <c r="J26" s="725">
        <v>179</v>
      </c>
      <c r="K26" s="728">
        <v>15</v>
      </c>
      <c r="L26" s="728">
        <v>2745</v>
      </c>
      <c r="M26" s="725">
        <v>1</v>
      </c>
      <c r="N26" s="725">
        <v>183</v>
      </c>
      <c r="O26" s="728">
        <v>17</v>
      </c>
      <c r="P26" s="728">
        <v>3111</v>
      </c>
      <c r="Q26" s="741">
        <v>1.1333333333333333</v>
      </c>
      <c r="R26" s="729">
        <v>183</v>
      </c>
    </row>
    <row r="27" spans="1:18" ht="14.4" customHeight="1" x14ac:dyDescent="0.3">
      <c r="A27" s="724" t="s">
        <v>552</v>
      </c>
      <c r="B27" s="725" t="s">
        <v>2982</v>
      </c>
      <c r="C27" s="725" t="s">
        <v>566</v>
      </c>
      <c r="D27" s="725" t="s">
        <v>2989</v>
      </c>
      <c r="E27" s="725" t="s">
        <v>3026</v>
      </c>
      <c r="F27" s="725" t="s">
        <v>3027</v>
      </c>
      <c r="G27" s="728">
        <v>1</v>
      </c>
      <c r="H27" s="728">
        <v>635</v>
      </c>
      <c r="I27" s="725"/>
      <c r="J27" s="725">
        <v>635</v>
      </c>
      <c r="K27" s="728"/>
      <c r="L27" s="728"/>
      <c r="M27" s="725"/>
      <c r="N27" s="725"/>
      <c r="O27" s="728"/>
      <c r="P27" s="728"/>
      <c r="Q27" s="741"/>
      <c r="R27" s="729"/>
    </row>
    <row r="28" spans="1:18" ht="14.4" customHeight="1" x14ac:dyDescent="0.3">
      <c r="A28" s="724" t="s">
        <v>552</v>
      </c>
      <c r="B28" s="725" t="s">
        <v>2982</v>
      </c>
      <c r="C28" s="725" t="s">
        <v>566</v>
      </c>
      <c r="D28" s="725" t="s">
        <v>2989</v>
      </c>
      <c r="E28" s="725" t="s">
        <v>3028</v>
      </c>
      <c r="F28" s="725" t="s">
        <v>3029</v>
      </c>
      <c r="G28" s="728">
        <v>112</v>
      </c>
      <c r="H28" s="728">
        <v>39088</v>
      </c>
      <c r="I28" s="725">
        <v>0.6867664628575445</v>
      </c>
      <c r="J28" s="725">
        <v>349</v>
      </c>
      <c r="K28" s="728">
        <v>153</v>
      </c>
      <c r="L28" s="728">
        <v>56916</v>
      </c>
      <c r="M28" s="725">
        <v>1</v>
      </c>
      <c r="N28" s="725">
        <v>372</v>
      </c>
      <c r="O28" s="728">
        <v>137</v>
      </c>
      <c r="P28" s="728">
        <v>51101</v>
      </c>
      <c r="Q28" s="741">
        <v>0.89783189261367624</v>
      </c>
      <c r="R28" s="729">
        <v>373</v>
      </c>
    </row>
    <row r="29" spans="1:18" ht="14.4" customHeight="1" x14ac:dyDescent="0.3">
      <c r="A29" s="724" t="s">
        <v>552</v>
      </c>
      <c r="B29" s="725" t="s">
        <v>2982</v>
      </c>
      <c r="C29" s="725" t="s">
        <v>566</v>
      </c>
      <c r="D29" s="725" t="s">
        <v>2989</v>
      </c>
      <c r="E29" s="725" t="s">
        <v>3030</v>
      </c>
      <c r="F29" s="725" t="s">
        <v>3031</v>
      </c>
      <c r="G29" s="728">
        <v>13</v>
      </c>
      <c r="H29" s="728">
        <v>0</v>
      </c>
      <c r="I29" s="725"/>
      <c r="J29" s="725">
        <v>0</v>
      </c>
      <c r="K29" s="728">
        <v>20</v>
      </c>
      <c r="L29" s="728">
        <v>0</v>
      </c>
      <c r="M29" s="725"/>
      <c r="N29" s="725">
        <v>0</v>
      </c>
      <c r="O29" s="728">
        <v>17</v>
      </c>
      <c r="P29" s="728">
        <v>0</v>
      </c>
      <c r="Q29" s="741"/>
      <c r="R29" s="729">
        <v>0</v>
      </c>
    </row>
    <row r="30" spans="1:18" ht="14.4" customHeight="1" x14ac:dyDescent="0.3">
      <c r="A30" s="724" t="s">
        <v>552</v>
      </c>
      <c r="B30" s="725" t="s">
        <v>3032</v>
      </c>
      <c r="C30" s="725" t="s">
        <v>566</v>
      </c>
      <c r="D30" s="725" t="s">
        <v>2983</v>
      </c>
      <c r="E30" s="725" t="s">
        <v>3033</v>
      </c>
      <c r="F30" s="725" t="s">
        <v>3034</v>
      </c>
      <c r="G30" s="728"/>
      <c r="H30" s="728"/>
      <c r="I30" s="725"/>
      <c r="J30" s="725"/>
      <c r="K30" s="728">
        <v>27</v>
      </c>
      <c r="L30" s="728">
        <v>79832.14</v>
      </c>
      <c r="M30" s="725">
        <v>1</v>
      </c>
      <c r="N30" s="725">
        <v>2956.7459259259258</v>
      </c>
      <c r="O30" s="728">
        <v>16</v>
      </c>
      <c r="P30" s="728">
        <v>46348.959999999999</v>
      </c>
      <c r="Q30" s="741">
        <v>0.5805802024097062</v>
      </c>
      <c r="R30" s="729">
        <v>2896.81</v>
      </c>
    </row>
    <row r="31" spans="1:18" ht="14.4" customHeight="1" x14ac:dyDescent="0.3">
      <c r="A31" s="724" t="s">
        <v>552</v>
      </c>
      <c r="B31" s="725" t="s">
        <v>3032</v>
      </c>
      <c r="C31" s="725" t="s">
        <v>566</v>
      </c>
      <c r="D31" s="725" t="s">
        <v>2989</v>
      </c>
      <c r="E31" s="725" t="s">
        <v>3035</v>
      </c>
      <c r="F31" s="725" t="s">
        <v>3036</v>
      </c>
      <c r="G31" s="728"/>
      <c r="H31" s="728"/>
      <c r="I31" s="725"/>
      <c r="J31" s="725"/>
      <c r="K31" s="728"/>
      <c r="L31" s="728"/>
      <c r="M31" s="725"/>
      <c r="N31" s="725"/>
      <c r="O31" s="728">
        <v>3</v>
      </c>
      <c r="P31" s="728">
        <v>753</v>
      </c>
      <c r="Q31" s="741"/>
      <c r="R31" s="729">
        <v>251</v>
      </c>
    </row>
    <row r="32" spans="1:18" ht="14.4" customHeight="1" x14ac:dyDescent="0.3">
      <c r="A32" s="724" t="s">
        <v>552</v>
      </c>
      <c r="B32" s="725" t="s">
        <v>3032</v>
      </c>
      <c r="C32" s="725" t="s">
        <v>566</v>
      </c>
      <c r="D32" s="725" t="s">
        <v>2989</v>
      </c>
      <c r="E32" s="725" t="s">
        <v>3037</v>
      </c>
      <c r="F32" s="725" t="s">
        <v>3038</v>
      </c>
      <c r="G32" s="728">
        <v>12</v>
      </c>
      <c r="H32" s="728">
        <v>1416</v>
      </c>
      <c r="I32" s="725">
        <v>0.80272108843537415</v>
      </c>
      <c r="J32" s="725">
        <v>118</v>
      </c>
      <c r="K32" s="728">
        <v>14</v>
      </c>
      <c r="L32" s="728">
        <v>1764</v>
      </c>
      <c r="M32" s="725">
        <v>1</v>
      </c>
      <c r="N32" s="725">
        <v>126</v>
      </c>
      <c r="O32" s="728">
        <v>31</v>
      </c>
      <c r="P32" s="728">
        <v>3906</v>
      </c>
      <c r="Q32" s="741">
        <v>2.2142857142857144</v>
      </c>
      <c r="R32" s="729">
        <v>126</v>
      </c>
    </row>
    <row r="33" spans="1:18" ht="14.4" customHeight="1" x14ac:dyDescent="0.3">
      <c r="A33" s="724" t="s">
        <v>552</v>
      </c>
      <c r="B33" s="725" t="s">
        <v>3032</v>
      </c>
      <c r="C33" s="725" t="s">
        <v>566</v>
      </c>
      <c r="D33" s="725" t="s">
        <v>2989</v>
      </c>
      <c r="E33" s="725" t="s">
        <v>3039</v>
      </c>
      <c r="F33" s="725" t="s">
        <v>3040</v>
      </c>
      <c r="G33" s="728">
        <v>12</v>
      </c>
      <c r="H33" s="728">
        <v>3036</v>
      </c>
      <c r="I33" s="725">
        <v>0.89478337754199821</v>
      </c>
      <c r="J33" s="725">
        <v>253</v>
      </c>
      <c r="K33" s="728">
        <v>13</v>
      </c>
      <c r="L33" s="728">
        <v>3393</v>
      </c>
      <c r="M33" s="725">
        <v>1</v>
      </c>
      <c r="N33" s="725">
        <v>261</v>
      </c>
      <c r="O33" s="728">
        <v>11</v>
      </c>
      <c r="P33" s="728">
        <v>2871</v>
      </c>
      <c r="Q33" s="741">
        <v>0.84615384615384615</v>
      </c>
      <c r="R33" s="729">
        <v>261</v>
      </c>
    </row>
    <row r="34" spans="1:18" ht="14.4" customHeight="1" thickBot="1" x14ac:dyDescent="0.35">
      <c r="A34" s="730" t="s">
        <v>552</v>
      </c>
      <c r="B34" s="731" t="s">
        <v>3032</v>
      </c>
      <c r="C34" s="731" t="s">
        <v>566</v>
      </c>
      <c r="D34" s="731" t="s">
        <v>2989</v>
      </c>
      <c r="E34" s="731" t="s">
        <v>3010</v>
      </c>
      <c r="F34" s="731" t="s">
        <v>3011</v>
      </c>
      <c r="G34" s="734">
        <v>1</v>
      </c>
      <c r="H34" s="734">
        <v>0</v>
      </c>
      <c r="I34" s="731"/>
      <c r="J34" s="731">
        <v>0</v>
      </c>
      <c r="K34" s="734"/>
      <c r="L34" s="734"/>
      <c r="M34" s="731"/>
      <c r="N34" s="731"/>
      <c r="O34" s="734"/>
      <c r="P34" s="734"/>
      <c r="Q34" s="742"/>
      <c r="R34" s="735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4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26" t="s">
        <v>3042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8"/>
      <c r="R1" s="558"/>
      <c r="S1" s="558"/>
    </row>
    <row r="2" spans="1:19" ht="14.4" customHeight="1" thickBot="1" x14ac:dyDescent="0.35">
      <c r="A2" s="374" t="s">
        <v>323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159</v>
      </c>
      <c r="H3" s="207">
        <f t="shared" ref="H3:Q3" si="0">SUBTOTAL(9,H6:H1048576)</f>
        <v>4254.8</v>
      </c>
      <c r="I3" s="208">
        <f t="shared" si="0"/>
        <v>504778.64</v>
      </c>
      <c r="J3" s="78"/>
      <c r="K3" s="78"/>
      <c r="L3" s="208">
        <f t="shared" si="0"/>
        <v>3502.5</v>
      </c>
      <c r="M3" s="208">
        <f t="shared" si="0"/>
        <v>658940.24</v>
      </c>
      <c r="N3" s="78"/>
      <c r="O3" s="78"/>
      <c r="P3" s="208">
        <f t="shared" si="0"/>
        <v>4313.7000000000007</v>
      </c>
      <c r="Q3" s="208">
        <f t="shared" si="0"/>
        <v>669432.0199999999</v>
      </c>
      <c r="R3" s="79">
        <f>IF(M3=0,0,Q3/M3)</f>
        <v>1.0159222025960957</v>
      </c>
      <c r="S3" s="209">
        <f>IF(P3=0,0,Q3/P3)</f>
        <v>155.18743074390889</v>
      </c>
    </row>
    <row r="4" spans="1:19" ht="14.4" customHeight="1" x14ac:dyDescent="0.3">
      <c r="A4" s="609" t="s">
        <v>305</v>
      </c>
      <c r="B4" s="609" t="s">
        <v>119</v>
      </c>
      <c r="C4" s="617" t="s">
        <v>0</v>
      </c>
      <c r="D4" s="473" t="s">
        <v>167</v>
      </c>
      <c r="E4" s="611" t="s">
        <v>120</v>
      </c>
      <c r="F4" s="616" t="s">
        <v>90</v>
      </c>
      <c r="G4" s="612" t="s">
        <v>81</v>
      </c>
      <c r="H4" s="613">
        <v>2015</v>
      </c>
      <c r="I4" s="614"/>
      <c r="J4" s="206"/>
      <c r="K4" s="206"/>
      <c r="L4" s="613">
        <v>2016</v>
      </c>
      <c r="M4" s="614"/>
      <c r="N4" s="206"/>
      <c r="O4" s="206"/>
      <c r="P4" s="613">
        <v>2017</v>
      </c>
      <c r="Q4" s="614"/>
      <c r="R4" s="615" t="s">
        <v>2</v>
      </c>
      <c r="S4" s="610" t="s">
        <v>122</v>
      </c>
    </row>
    <row r="5" spans="1:19" ht="14.4" customHeight="1" thickBot="1" x14ac:dyDescent="0.35">
      <c r="A5" s="844"/>
      <c r="B5" s="844"/>
      <c r="C5" s="845"/>
      <c r="D5" s="854"/>
      <c r="E5" s="846"/>
      <c r="F5" s="847"/>
      <c r="G5" s="848"/>
      <c r="H5" s="849" t="s">
        <v>91</v>
      </c>
      <c r="I5" s="850" t="s">
        <v>14</v>
      </c>
      <c r="J5" s="851"/>
      <c r="K5" s="851"/>
      <c r="L5" s="849" t="s">
        <v>91</v>
      </c>
      <c r="M5" s="850" t="s">
        <v>14</v>
      </c>
      <c r="N5" s="851"/>
      <c r="O5" s="851"/>
      <c r="P5" s="849" t="s">
        <v>91</v>
      </c>
      <c r="Q5" s="850" t="s">
        <v>14</v>
      </c>
      <c r="R5" s="852"/>
      <c r="S5" s="853"/>
    </row>
    <row r="6" spans="1:19" ht="14.4" customHeight="1" x14ac:dyDescent="0.3">
      <c r="A6" s="799" t="s">
        <v>552</v>
      </c>
      <c r="B6" s="800" t="s">
        <v>2982</v>
      </c>
      <c r="C6" s="800" t="s">
        <v>566</v>
      </c>
      <c r="D6" s="800" t="s">
        <v>1902</v>
      </c>
      <c r="E6" s="800" t="s">
        <v>2989</v>
      </c>
      <c r="F6" s="800" t="s">
        <v>2990</v>
      </c>
      <c r="G6" s="800" t="s">
        <v>2991</v>
      </c>
      <c r="H6" s="225">
        <v>4</v>
      </c>
      <c r="I6" s="225">
        <v>324</v>
      </c>
      <c r="J6" s="800">
        <v>3.9036144578313254</v>
      </c>
      <c r="K6" s="800">
        <v>81</v>
      </c>
      <c r="L6" s="225">
        <v>1</v>
      </c>
      <c r="M6" s="225">
        <v>83</v>
      </c>
      <c r="N6" s="800">
        <v>1</v>
      </c>
      <c r="O6" s="800">
        <v>83</v>
      </c>
      <c r="P6" s="225">
        <v>4</v>
      </c>
      <c r="Q6" s="225">
        <v>332</v>
      </c>
      <c r="R6" s="805">
        <v>4</v>
      </c>
      <c r="S6" s="813">
        <v>83</v>
      </c>
    </row>
    <row r="7" spans="1:19" ht="14.4" customHeight="1" x14ac:dyDescent="0.3">
      <c r="A7" s="724" t="s">
        <v>552</v>
      </c>
      <c r="B7" s="725" t="s">
        <v>2982</v>
      </c>
      <c r="C7" s="725" t="s">
        <v>566</v>
      </c>
      <c r="D7" s="725" t="s">
        <v>1902</v>
      </c>
      <c r="E7" s="725" t="s">
        <v>2989</v>
      </c>
      <c r="F7" s="725" t="s">
        <v>2992</v>
      </c>
      <c r="G7" s="725" t="s">
        <v>2993</v>
      </c>
      <c r="H7" s="728">
        <v>28</v>
      </c>
      <c r="I7" s="728">
        <v>980</v>
      </c>
      <c r="J7" s="725">
        <v>2.407862407862408</v>
      </c>
      <c r="K7" s="725">
        <v>35</v>
      </c>
      <c r="L7" s="728">
        <v>11</v>
      </c>
      <c r="M7" s="728">
        <v>407</v>
      </c>
      <c r="N7" s="725">
        <v>1</v>
      </c>
      <c r="O7" s="725">
        <v>37</v>
      </c>
      <c r="P7" s="728">
        <v>14</v>
      </c>
      <c r="Q7" s="728">
        <v>518</v>
      </c>
      <c r="R7" s="741">
        <v>1.2727272727272727</v>
      </c>
      <c r="S7" s="729">
        <v>37</v>
      </c>
    </row>
    <row r="8" spans="1:19" ht="14.4" customHeight="1" x14ac:dyDescent="0.3">
      <c r="A8" s="724" t="s">
        <v>552</v>
      </c>
      <c r="B8" s="725" t="s">
        <v>2982</v>
      </c>
      <c r="C8" s="725" t="s">
        <v>566</v>
      </c>
      <c r="D8" s="725" t="s">
        <v>1902</v>
      </c>
      <c r="E8" s="725" t="s">
        <v>2989</v>
      </c>
      <c r="F8" s="725" t="s">
        <v>3002</v>
      </c>
      <c r="G8" s="725" t="s">
        <v>3003</v>
      </c>
      <c r="H8" s="728">
        <v>95</v>
      </c>
      <c r="I8" s="728">
        <v>11210</v>
      </c>
      <c r="J8" s="725">
        <v>0.5113118044152527</v>
      </c>
      <c r="K8" s="725">
        <v>118</v>
      </c>
      <c r="L8" s="728">
        <v>174</v>
      </c>
      <c r="M8" s="728">
        <v>21924</v>
      </c>
      <c r="N8" s="725">
        <v>1</v>
      </c>
      <c r="O8" s="725">
        <v>126</v>
      </c>
      <c r="P8" s="728"/>
      <c r="Q8" s="728"/>
      <c r="R8" s="741"/>
      <c r="S8" s="729"/>
    </row>
    <row r="9" spans="1:19" ht="14.4" customHeight="1" x14ac:dyDescent="0.3">
      <c r="A9" s="724" t="s">
        <v>552</v>
      </c>
      <c r="B9" s="725" t="s">
        <v>2982</v>
      </c>
      <c r="C9" s="725" t="s">
        <v>566</v>
      </c>
      <c r="D9" s="725" t="s">
        <v>1902</v>
      </c>
      <c r="E9" s="725" t="s">
        <v>2989</v>
      </c>
      <c r="F9" s="725" t="s">
        <v>3010</v>
      </c>
      <c r="G9" s="725" t="s">
        <v>3011</v>
      </c>
      <c r="H9" s="728"/>
      <c r="I9" s="728"/>
      <c r="J9" s="725"/>
      <c r="K9" s="725"/>
      <c r="L9" s="728">
        <v>96</v>
      </c>
      <c r="M9" s="728">
        <v>3200</v>
      </c>
      <c r="N9" s="725">
        <v>1</v>
      </c>
      <c r="O9" s="725">
        <v>33.333333333333336</v>
      </c>
      <c r="P9" s="728">
        <v>167</v>
      </c>
      <c r="Q9" s="728">
        <v>5566.65</v>
      </c>
      <c r="R9" s="741">
        <v>1.739578125</v>
      </c>
      <c r="S9" s="729">
        <v>33.33323353293413</v>
      </c>
    </row>
    <row r="10" spans="1:19" ht="14.4" customHeight="1" x14ac:dyDescent="0.3">
      <c r="A10" s="724" t="s">
        <v>552</v>
      </c>
      <c r="B10" s="725" t="s">
        <v>2982</v>
      </c>
      <c r="C10" s="725" t="s">
        <v>566</v>
      </c>
      <c r="D10" s="725" t="s">
        <v>1902</v>
      </c>
      <c r="E10" s="725" t="s">
        <v>2989</v>
      </c>
      <c r="F10" s="725" t="s">
        <v>3012</v>
      </c>
      <c r="G10" s="725" t="s">
        <v>3013</v>
      </c>
      <c r="H10" s="728">
        <v>32</v>
      </c>
      <c r="I10" s="728">
        <v>7520</v>
      </c>
      <c r="J10" s="725">
        <v>14.9800796812749</v>
      </c>
      <c r="K10" s="725">
        <v>235</v>
      </c>
      <c r="L10" s="728">
        <v>2</v>
      </c>
      <c r="M10" s="728">
        <v>502</v>
      </c>
      <c r="N10" s="725">
        <v>1</v>
      </c>
      <c r="O10" s="725">
        <v>251</v>
      </c>
      <c r="P10" s="728">
        <v>182</v>
      </c>
      <c r="Q10" s="728">
        <v>45682</v>
      </c>
      <c r="R10" s="741">
        <v>91</v>
      </c>
      <c r="S10" s="729">
        <v>251</v>
      </c>
    </row>
    <row r="11" spans="1:19" ht="14.4" customHeight="1" x14ac:dyDescent="0.3">
      <c r="A11" s="724" t="s">
        <v>552</v>
      </c>
      <c r="B11" s="725" t="s">
        <v>2982</v>
      </c>
      <c r="C11" s="725" t="s">
        <v>566</v>
      </c>
      <c r="D11" s="725" t="s">
        <v>1902</v>
      </c>
      <c r="E11" s="725" t="s">
        <v>2989</v>
      </c>
      <c r="F11" s="725" t="s">
        <v>3024</v>
      </c>
      <c r="G11" s="725" t="s">
        <v>3025</v>
      </c>
      <c r="H11" s="728">
        <v>1</v>
      </c>
      <c r="I11" s="728">
        <v>179</v>
      </c>
      <c r="J11" s="725"/>
      <c r="K11" s="725">
        <v>179</v>
      </c>
      <c r="L11" s="728"/>
      <c r="M11" s="728"/>
      <c r="N11" s="725"/>
      <c r="O11" s="725"/>
      <c r="P11" s="728"/>
      <c r="Q11" s="728"/>
      <c r="R11" s="741"/>
      <c r="S11" s="729"/>
    </row>
    <row r="12" spans="1:19" ht="14.4" customHeight="1" x14ac:dyDescent="0.3">
      <c r="A12" s="724" t="s">
        <v>552</v>
      </c>
      <c r="B12" s="725" t="s">
        <v>2982</v>
      </c>
      <c r="C12" s="725" t="s">
        <v>566</v>
      </c>
      <c r="D12" s="725" t="s">
        <v>1902</v>
      </c>
      <c r="E12" s="725" t="s">
        <v>2989</v>
      </c>
      <c r="F12" s="725" t="s">
        <v>3028</v>
      </c>
      <c r="G12" s="725" t="s">
        <v>3029</v>
      </c>
      <c r="H12" s="728">
        <v>41</v>
      </c>
      <c r="I12" s="728">
        <v>14309</v>
      </c>
      <c r="J12" s="725"/>
      <c r="K12" s="725">
        <v>349</v>
      </c>
      <c r="L12" s="728"/>
      <c r="M12" s="728"/>
      <c r="N12" s="725"/>
      <c r="O12" s="725"/>
      <c r="P12" s="728"/>
      <c r="Q12" s="728"/>
      <c r="R12" s="741"/>
      <c r="S12" s="729"/>
    </row>
    <row r="13" spans="1:19" ht="14.4" customHeight="1" x14ac:dyDescent="0.3">
      <c r="A13" s="724" t="s">
        <v>552</v>
      </c>
      <c r="B13" s="725" t="s">
        <v>2982</v>
      </c>
      <c r="C13" s="725" t="s">
        <v>566</v>
      </c>
      <c r="D13" s="725" t="s">
        <v>2974</v>
      </c>
      <c r="E13" s="725" t="s">
        <v>2983</v>
      </c>
      <c r="F13" s="725" t="s">
        <v>2984</v>
      </c>
      <c r="G13" s="725" t="s">
        <v>2985</v>
      </c>
      <c r="H13" s="728">
        <v>46.8</v>
      </c>
      <c r="I13" s="728">
        <v>7070.48</v>
      </c>
      <c r="J13" s="725">
        <v>8.6711797890605826</v>
      </c>
      <c r="K13" s="725">
        <v>151.07863247863247</v>
      </c>
      <c r="L13" s="728">
        <v>5.4</v>
      </c>
      <c r="M13" s="728">
        <v>815.4</v>
      </c>
      <c r="N13" s="725">
        <v>1</v>
      </c>
      <c r="O13" s="725">
        <v>151</v>
      </c>
      <c r="P13" s="728">
        <v>6.3000000000000007</v>
      </c>
      <c r="Q13" s="728">
        <v>951.3</v>
      </c>
      <c r="R13" s="741">
        <v>1.1666666666666667</v>
      </c>
      <c r="S13" s="729">
        <v>150.99999999999997</v>
      </c>
    </row>
    <row r="14" spans="1:19" ht="14.4" customHeight="1" x14ac:dyDescent="0.3">
      <c r="A14" s="724" t="s">
        <v>552</v>
      </c>
      <c r="B14" s="725" t="s">
        <v>2982</v>
      </c>
      <c r="C14" s="725" t="s">
        <v>566</v>
      </c>
      <c r="D14" s="725" t="s">
        <v>2974</v>
      </c>
      <c r="E14" s="725" t="s">
        <v>2983</v>
      </c>
      <c r="F14" s="725" t="s">
        <v>2986</v>
      </c>
      <c r="G14" s="725" t="s">
        <v>2987</v>
      </c>
      <c r="H14" s="728"/>
      <c r="I14" s="728"/>
      <c r="J14" s="725"/>
      <c r="K14" s="725"/>
      <c r="L14" s="728"/>
      <c r="M14" s="728"/>
      <c r="N14" s="725"/>
      <c r="O14" s="725"/>
      <c r="P14" s="728">
        <v>0.9</v>
      </c>
      <c r="Q14" s="728">
        <v>228.23</v>
      </c>
      <c r="R14" s="741"/>
      <c r="S14" s="729">
        <v>253.58888888888887</v>
      </c>
    </row>
    <row r="15" spans="1:19" ht="14.4" customHeight="1" x14ac:dyDescent="0.3">
      <c r="A15" s="724" t="s">
        <v>552</v>
      </c>
      <c r="B15" s="725" t="s">
        <v>2982</v>
      </c>
      <c r="C15" s="725" t="s">
        <v>566</v>
      </c>
      <c r="D15" s="725" t="s">
        <v>2974</v>
      </c>
      <c r="E15" s="725" t="s">
        <v>2983</v>
      </c>
      <c r="F15" s="725" t="s">
        <v>2988</v>
      </c>
      <c r="G15" s="725" t="s">
        <v>1091</v>
      </c>
      <c r="H15" s="728"/>
      <c r="I15" s="728"/>
      <c r="J15" s="725"/>
      <c r="K15" s="725"/>
      <c r="L15" s="728"/>
      <c r="M15" s="728"/>
      <c r="N15" s="725"/>
      <c r="O15" s="725"/>
      <c r="P15" s="728">
        <v>0.1</v>
      </c>
      <c r="Q15" s="728">
        <v>21</v>
      </c>
      <c r="R15" s="741"/>
      <c r="S15" s="729">
        <v>210</v>
      </c>
    </row>
    <row r="16" spans="1:19" ht="14.4" customHeight="1" x14ac:dyDescent="0.3">
      <c r="A16" s="724" t="s">
        <v>552</v>
      </c>
      <c r="B16" s="725" t="s">
        <v>2982</v>
      </c>
      <c r="C16" s="725" t="s">
        <v>566</v>
      </c>
      <c r="D16" s="725" t="s">
        <v>2974</v>
      </c>
      <c r="E16" s="725" t="s">
        <v>2989</v>
      </c>
      <c r="F16" s="725" t="s">
        <v>2990</v>
      </c>
      <c r="G16" s="725" t="s">
        <v>2991</v>
      </c>
      <c r="H16" s="728">
        <v>19</v>
      </c>
      <c r="I16" s="728">
        <v>1539</v>
      </c>
      <c r="J16" s="725">
        <v>4.6355421686746991</v>
      </c>
      <c r="K16" s="725">
        <v>81</v>
      </c>
      <c r="L16" s="728">
        <v>4</v>
      </c>
      <c r="M16" s="728">
        <v>332</v>
      </c>
      <c r="N16" s="725">
        <v>1</v>
      </c>
      <c r="O16" s="725">
        <v>83</v>
      </c>
      <c r="P16" s="728">
        <v>13</v>
      </c>
      <c r="Q16" s="728">
        <v>1079</v>
      </c>
      <c r="R16" s="741">
        <v>3.25</v>
      </c>
      <c r="S16" s="729">
        <v>83</v>
      </c>
    </row>
    <row r="17" spans="1:19" ht="14.4" customHeight="1" x14ac:dyDescent="0.3">
      <c r="A17" s="724" t="s">
        <v>552</v>
      </c>
      <c r="B17" s="725" t="s">
        <v>2982</v>
      </c>
      <c r="C17" s="725" t="s">
        <v>566</v>
      </c>
      <c r="D17" s="725" t="s">
        <v>2974</v>
      </c>
      <c r="E17" s="725" t="s">
        <v>2989</v>
      </c>
      <c r="F17" s="725" t="s">
        <v>2992</v>
      </c>
      <c r="G17" s="725" t="s">
        <v>2993</v>
      </c>
      <c r="H17" s="728">
        <v>2</v>
      </c>
      <c r="I17" s="728">
        <v>70</v>
      </c>
      <c r="J17" s="725">
        <v>1.8918918918918919</v>
      </c>
      <c r="K17" s="725">
        <v>35</v>
      </c>
      <c r="L17" s="728">
        <v>1</v>
      </c>
      <c r="M17" s="728">
        <v>37</v>
      </c>
      <c r="N17" s="725">
        <v>1</v>
      </c>
      <c r="O17" s="725">
        <v>37</v>
      </c>
      <c r="P17" s="728">
        <v>9</v>
      </c>
      <c r="Q17" s="728">
        <v>333</v>
      </c>
      <c r="R17" s="741">
        <v>9</v>
      </c>
      <c r="S17" s="729">
        <v>37</v>
      </c>
    </row>
    <row r="18" spans="1:19" ht="14.4" customHeight="1" x14ac:dyDescent="0.3">
      <c r="A18" s="724" t="s">
        <v>552</v>
      </c>
      <c r="B18" s="725" t="s">
        <v>2982</v>
      </c>
      <c r="C18" s="725" t="s">
        <v>566</v>
      </c>
      <c r="D18" s="725" t="s">
        <v>2974</v>
      </c>
      <c r="E18" s="725" t="s">
        <v>2989</v>
      </c>
      <c r="F18" s="725" t="s">
        <v>2994</v>
      </c>
      <c r="G18" s="725" t="s">
        <v>2995</v>
      </c>
      <c r="H18" s="728">
        <v>1</v>
      </c>
      <c r="I18" s="728">
        <v>5</v>
      </c>
      <c r="J18" s="725">
        <v>0.5</v>
      </c>
      <c r="K18" s="725">
        <v>5</v>
      </c>
      <c r="L18" s="728">
        <v>2</v>
      </c>
      <c r="M18" s="728">
        <v>10</v>
      </c>
      <c r="N18" s="725">
        <v>1</v>
      </c>
      <c r="O18" s="725">
        <v>5</v>
      </c>
      <c r="P18" s="728">
        <v>1</v>
      </c>
      <c r="Q18" s="728">
        <v>5</v>
      </c>
      <c r="R18" s="741">
        <v>0.5</v>
      </c>
      <c r="S18" s="729">
        <v>5</v>
      </c>
    </row>
    <row r="19" spans="1:19" ht="14.4" customHeight="1" x14ac:dyDescent="0.3">
      <c r="A19" s="724" t="s">
        <v>552</v>
      </c>
      <c r="B19" s="725" t="s">
        <v>2982</v>
      </c>
      <c r="C19" s="725" t="s">
        <v>566</v>
      </c>
      <c r="D19" s="725" t="s">
        <v>2974</v>
      </c>
      <c r="E19" s="725" t="s">
        <v>2989</v>
      </c>
      <c r="F19" s="725" t="s">
        <v>2996</v>
      </c>
      <c r="G19" s="725" t="s">
        <v>2997</v>
      </c>
      <c r="H19" s="728"/>
      <c r="I19" s="728"/>
      <c r="J19" s="725"/>
      <c r="K19" s="725"/>
      <c r="L19" s="728">
        <v>1</v>
      </c>
      <c r="M19" s="728">
        <v>5</v>
      </c>
      <c r="N19" s="725">
        <v>1</v>
      </c>
      <c r="O19" s="725">
        <v>5</v>
      </c>
      <c r="P19" s="728">
        <v>1</v>
      </c>
      <c r="Q19" s="728">
        <v>5</v>
      </c>
      <c r="R19" s="741">
        <v>1</v>
      </c>
      <c r="S19" s="729">
        <v>5</v>
      </c>
    </row>
    <row r="20" spans="1:19" ht="14.4" customHeight="1" x14ac:dyDescent="0.3">
      <c r="A20" s="724" t="s">
        <v>552</v>
      </c>
      <c r="B20" s="725" t="s">
        <v>2982</v>
      </c>
      <c r="C20" s="725" t="s">
        <v>566</v>
      </c>
      <c r="D20" s="725" t="s">
        <v>2974</v>
      </c>
      <c r="E20" s="725" t="s">
        <v>2989</v>
      </c>
      <c r="F20" s="725" t="s">
        <v>2998</v>
      </c>
      <c r="G20" s="725" t="s">
        <v>2999</v>
      </c>
      <c r="H20" s="728"/>
      <c r="I20" s="728"/>
      <c r="J20" s="725"/>
      <c r="K20" s="725"/>
      <c r="L20" s="728"/>
      <c r="M20" s="728"/>
      <c r="N20" s="725"/>
      <c r="O20" s="725"/>
      <c r="P20" s="728">
        <v>1</v>
      </c>
      <c r="Q20" s="728">
        <v>116</v>
      </c>
      <c r="R20" s="741"/>
      <c r="S20" s="729">
        <v>116</v>
      </c>
    </row>
    <row r="21" spans="1:19" ht="14.4" customHeight="1" x14ac:dyDescent="0.3">
      <c r="A21" s="724" t="s">
        <v>552</v>
      </c>
      <c r="B21" s="725" t="s">
        <v>2982</v>
      </c>
      <c r="C21" s="725" t="s">
        <v>566</v>
      </c>
      <c r="D21" s="725" t="s">
        <v>2974</v>
      </c>
      <c r="E21" s="725" t="s">
        <v>2989</v>
      </c>
      <c r="F21" s="725" t="s">
        <v>3000</v>
      </c>
      <c r="G21" s="725" t="s">
        <v>3001</v>
      </c>
      <c r="H21" s="728"/>
      <c r="I21" s="728"/>
      <c r="J21" s="725"/>
      <c r="K21" s="725"/>
      <c r="L21" s="728"/>
      <c r="M21" s="728"/>
      <c r="N21" s="725"/>
      <c r="O21" s="725"/>
      <c r="P21" s="728">
        <v>1</v>
      </c>
      <c r="Q21" s="728">
        <v>129</v>
      </c>
      <c r="R21" s="741"/>
      <c r="S21" s="729">
        <v>129</v>
      </c>
    </row>
    <row r="22" spans="1:19" ht="14.4" customHeight="1" x14ac:dyDescent="0.3">
      <c r="A22" s="724" t="s">
        <v>552</v>
      </c>
      <c r="B22" s="725" t="s">
        <v>2982</v>
      </c>
      <c r="C22" s="725" t="s">
        <v>566</v>
      </c>
      <c r="D22" s="725" t="s">
        <v>2974</v>
      </c>
      <c r="E22" s="725" t="s">
        <v>2989</v>
      </c>
      <c r="F22" s="725" t="s">
        <v>3002</v>
      </c>
      <c r="G22" s="725" t="s">
        <v>3003</v>
      </c>
      <c r="H22" s="728">
        <v>67</v>
      </c>
      <c r="I22" s="728">
        <v>7906</v>
      </c>
      <c r="J22" s="725">
        <v>1.1008075744917851</v>
      </c>
      <c r="K22" s="725">
        <v>118</v>
      </c>
      <c r="L22" s="728">
        <v>57</v>
      </c>
      <c r="M22" s="728">
        <v>7182</v>
      </c>
      <c r="N22" s="725">
        <v>1</v>
      </c>
      <c r="O22" s="725">
        <v>126</v>
      </c>
      <c r="P22" s="728">
        <v>56</v>
      </c>
      <c r="Q22" s="728">
        <v>7056</v>
      </c>
      <c r="R22" s="741">
        <v>0.98245614035087714</v>
      </c>
      <c r="S22" s="729">
        <v>126</v>
      </c>
    </row>
    <row r="23" spans="1:19" ht="14.4" customHeight="1" x14ac:dyDescent="0.3">
      <c r="A23" s="724" t="s">
        <v>552</v>
      </c>
      <c r="B23" s="725" t="s">
        <v>2982</v>
      </c>
      <c r="C23" s="725" t="s">
        <v>566</v>
      </c>
      <c r="D23" s="725" t="s">
        <v>2974</v>
      </c>
      <c r="E23" s="725" t="s">
        <v>2989</v>
      </c>
      <c r="F23" s="725" t="s">
        <v>3006</v>
      </c>
      <c r="G23" s="725" t="s">
        <v>3007</v>
      </c>
      <c r="H23" s="728">
        <v>54</v>
      </c>
      <c r="I23" s="728">
        <v>88398</v>
      </c>
      <c r="J23" s="725">
        <v>0.83669818553539488</v>
      </c>
      <c r="K23" s="725">
        <v>1637</v>
      </c>
      <c r="L23" s="728">
        <v>63</v>
      </c>
      <c r="M23" s="728">
        <v>105651</v>
      </c>
      <c r="N23" s="725">
        <v>1</v>
      </c>
      <c r="O23" s="725">
        <v>1677</v>
      </c>
      <c r="P23" s="728">
        <v>63</v>
      </c>
      <c r="Q23" s="728">
        <v>105714</v>
      </c>
      <c r="R23" s="741">
        <v>1.0005963029218843</v>
      </c>
      <c r="S23" s="729">
        <v>1678</v>
      </c>
    </row>
    <row r="24" spans="1:19" ht="14.4" customHeight="1" x14ac:dyDescent="0.3">
      <c r="A24" s="724" t="s">
        <v>552</v>
      </c>
      <c r="B24" s="725" t="s">
        <v>2982</v>
      </c>
      <c r="C24" s="725" t="s">
        <v>566</v>
      </c>
      <c r="D24" s="725" t="s">
        <v>2974</v>
      </c>
      <c r="E24" s="725" t="s">
        <v>2989</v>
      </c>
      <c r="F24" s="725" t="s">
        <v>3008</v>
      </c>
      <c r="G24" s="725" t="s">
        <v>3009</v>
      </c>
      <c r="H24" s="728">
        <v>7</v>
      </c>
      <c r="I24" s="728">
        <v>0</v>
      </c>
      <c r="J24" s="725"/>
      <c r="K24" s="725">
        <v>0</v>
      </c>
      <c r="L24" s="728">
        <v>4</v>
      </c>
      <c r="M24" s="728">
        <v>0</v>
      </c>
      <c r="N24" s="725"/>
      <c r="O24" s="725">
        <v>0</v>
      </c>
      <c r="P24" s="728">
        <v>14</v>
      </c>
      <c r="Q24" s="728">
        <v>0</v>
      </c>
      <c r="R24" s="741"/>
      <c r="S24" s="729">
        <v>0</v>
      </c>
    </row>
    <row r="25" spans="1:19" ht="14.4" customHeight="1" x14ac:dyDescent="0.3">
      <c r="A25" s="724" t="s">
        <v>552</v>
      </c>
      <c r="B25" s="725" t="s">
        <v>2982</v>
      </c>
      <c r="C25" s="725" t="s">
        <v>566</v>
      </c>
      <c r="D25" s="725" t="s">
        <v>2974</v>
      </c>
      <c r="E25" s="725" t="s">
        <v>2989</v>
      </c>
      <c r="F25" s="725" t="s">
        <v>3010</v>
      </c>
      <c r="G25" s="725" t="s">
        <v>3011</v>
      </c>
      <c r="H25" s="728">
        <v>1846</v>
      </c>
      <c r="I25" s="728">
        <v>0</v>
      </c>
      <c r="J25" s="725">
        <v>0</v>
      </c>
      <c r="K25" s="725">
        <v>0</v>
      </c>
      <c r="L25" s="728">
        <v>37</v>
      </c>
      <c r="M25" s="728">
        <v>1233.3399999999999</v>
      </c>
      <c r="N25" s="725">
        <v>1</v>
      </c>
      <c r="O25" s="725">
        <v>33.333513513513509</v>
      </c>
      <c r="P25" s="728">
        <v>68</v>
      </c>
      <c r="Q25" s="728">
        <v>2266.66</v>
      </c>
      <c r="R25" s="741">
        <v>1.8378224982567661</v>
      </c>
      <c r="S25" s="729">
        <v>33.333235294117642</v>
      </c>
    </row>
    <row r="26" spans="1:19" ht="14.4" customHeight="1" x14ac:dyDescent="0.3">
      <c r="A26" s="724" t="s">
        <v>552</v>
      </c>
      <c r="B26" s="725" t="s">
        <v>2982</v>
      </c>
      <c r="C26" s="725" t="s">
        <v>566</v>
      </c>
      <c r="D26" s="725" t="s">
        <v>2974</v>
      </c>
      <c r="E26" s="725" t="s">
        <v>2989</v>
      </c>
      <c r="F26" s="725" t="s">
        <v>3012</v>
      </c>
      <c r="G26" s="725" t="s">
        <v>3013</v>
      </c>
      <c r="H26" s="728">
        <v>3</v>
      </c>
      <c r="I26" s="728">
        <v>705</v>
      </c>
      <c r="J26" s="725">
        <v>0.18725099601593626</v>
      </c>
      <c r="K26" s="725">
        <v>235</v>
      </c>
      <c r="L26" s="728">
        <v>15</v>
      </c>
      <c r="M26" s="728">
        <v>3765</v>
      </c>
      <c r="N26" s="725">
        <v>1</v>
      </c>
      <c r="O26" s="725">
        <v>251</v>
      </c>
      <c r="P26" s="728">
        <v>12</v>
      </c>
      <c r="Q26" s="728">
        <v>3012</v>
      </c>
      <c r="R26" s="741">
        <v>0.8</v>
      </c>
      <c r="S26" s="729">
        <v>251</v>
      </c>
    </row>
    <row r="27" spans="1:19" ht="14.4" customHeight="1" x14ac:dyDescent="0.3">
      <c r="A27" s="724" t="s">
        <v>552</v>
      </c>
      <c r="B27" s="725" t="s">
        <v>2982</v>
      </c>
      <c r="C27" s="725" t="s">
        <v>566</v>
      </c>
      <c r="D27" s="725" t="s">
        <v>2974</v>
      </c>
      <c r="E27" s="725" t="s">
        <v>2989</v>
      </c>
      <c r="F27" s="725" t="s">
        <v>3014</v>
      </c>
      <c r="G27" s="725" t="s">
        <v>3015</v>
      </c>
      <c r="H27" s="728">
        <v>19</v>
      </c>
      <c r="I27" s="728">
        <v>2052</v>
      </c>
      <c r="J27" s="725">
        <v>3.5379310344827588</v>
      </c>
      <c r="K27" s="725">
        <v>108</v>
      </c>
      <c r="L27" s="728">
        <v>5</v>
      </c>
      <c r="M27" s="728">
        <v>580</v>
      </c>
      <c r="N27" s="725">
        <v>1</v>
      </c>
      <c r="O27" s="725">
        <v>116</v>
      </c>
      <c r="P27" s="728">
        <v>6</v>
      </c>
      <c r="Q27" s="728">
        <v>696</v>
      </c>
      <c r="R27" s="741">
        <v>1.2</v>
      </c>
      <c r="S27" s="729">
        <v>116</v>
      </c>
    </row>
    <row r="28" spans="1:19" ht="14.4" customHeight="1" x14ac:dyDescent="0.3">
      <c r="A28" s="724" t="s">
        <v>552</v>
      </c>
      <c r="B28" s="725" t="s">
        <v>2982</v>
      </c>
      <c r="C28" s="725" t="s">
        <v>566</v>
      </c>
      <c r="D28" s="725" t="s">
        <v>2974</v>
      </c>
      <c r="E28" s="725" t="s">
        <v>2989</v>
      </c>
      <c r="F28" s="725" t="s">
        <v>3016</v>
      </c>
      <c r="G28" s="725" t="s">
        <v>3017</v>
      </c>
      <c r="H28" s="728"/>
      <c r="I28" s="728"/>
      <c r="J28" s="725"/>
      <c r="K28" s="725"/>
      <c r="L28" s="728"/>
      <c r="M28" s="728"/>
      <c r="N28" s="725"/>
      <c r="O28" s="725"/>
      <c r="P28" s="728">
        <v>4</v>
      </c>
      <c r="Q28" s="728">
        <v>148</v>
      </c>
      <c r="R28" s="741"/>
      <c r="S28" s="729">
        <v>37</v>
      </c>
    </row>
    <row r="29" spans="1:19" ht="14.4" customHeight="1" x14ac:dyDescent="0.3">
      <c r="A29" s="724" t="s">
        <v>552</v>
      </c>
      <c r="B29" s="725" t="s">
        <v>2982</v>
      </c>
      <c r="C29" s="725" t="s">
        <v>566</v>
      </c>
      <c r="D29" s="725" t="s">
        <v>2974</v>
      </c>
      <c r="E29" s="725" t="s">
        <v>2989</v>
      </c>
      <c r="F29" s="725" t="s">
        <v>3018</v>
      </c>
      <c r="G29" s="725" t="s">
        <v>3019</v>
      </c>
      <c r="H29" s="728">
        <v>55</v>
      </c>
      <c r="I29" s="728">
        <v>4510</v>
      </c>
      <c r="J29" s="725">
        <v>0.84583645911477867</v>
      </c>
      <c r="K29" s="725">
        <v>82</v>
      </c>
      <c r="L29" s="728">
        <v>62</v>
      </c>
      <c r="M29" s="728">
        <v>5332</v>
      </c>
      <c r="N29" s="725">
        <v>1</v>
      </c>
      <c r="O29" s="725">
        <v>86</v>
      </c>
      <c r="P29" s="728">
        <v>64</v>
      </c>
      <c r="Q29" s="728">
        <v>5504</v>
      </c>
      <c r="R29" s="741">
        <v>1.032258064516129</v>
      </c>
      <c r="S29" s="729">
        <v>86</v>
      </c>
    </row>
    <row r="30" spans="1:19" ht="14.4" customHeight="1" x14ac:dyDescent="0.3">
      <c r="A30" s="724" t="s">
        <v>552</v>
      </c>
      <c r="B30" s="725" t="s">
        <v>2982</v>
      </c>
      <c r="C30" s="725" t="s">
        <v>566</v>
      </c>
      <c r="D30" s="725" t="s">
        <v>2974</v>
      </c>
      <c r="E30" s="725" t="s">
        <v>2989</v>
      </c>
      <c r="F30" s="725" t="s">
        <v>3020</v>
      </c>
      <c r="G30" s="725" t="s">
        <v>3021</v>
      </c>
      <c r="H30" s="728"/>
      <c r="I30" s="728"/>
      <c r="J30" s="725"/>
      <c r="K30" s="725"/>
      <c r="L30" s="728"/>
      <c r="M30" s="728"/>
      <c r="N30" s="725"/>
      <c r="O30" s="725"/>
      <c r="P30" s="728">
        <v>2</v>
      </c>
      <c r="Q30" s="728">
        <v>118</v>
      </c>
      <c r="R30" s="741"/>
      <c r="S30" s="729">
        <v>59</v>
      </c>
    </row>
    <row r="31" spans="1:19" ht="14.4" customHeight="1" x14ac:dyDescent="0.3">
      <c r="A31" s="724" t="s">
        <v>552</v>
      </c>
      <c r="B31" s="725" t="s">
        <v>2982</v>
      </c>
      <c r="C31" s="725" t="s">
        <v>566</v>
      </c>
      <c r="D31" s="725" t="s">
        <v>2974</v>
      </c>
      <c r="E31" s="725" t="s">
        <v>2989</v>
      </c>
      <c r="F31" s="725" t="s">
        <v>3024</v>
      </c>
      <c r="G31" s="725" t="s">
        <v>3025</v>
      </c>
      <c r="H31" s="728">
        <v>3</v>
      </c>
      <c r="I31" s="728">
        <v>537</v>
      </c>
      <c r="J31" s="725">
        <v>2.9344262295081966</v>
      </c>
      <c r="K31" s="725">
        <v>179</v>
      </c>
      <c r="L31" s="728">
        <v>1</v>
      </c>
      <c r="M31" s="728">
        <v>183</v>
      </c>
      <c r="N31" s="725">
        <v>1</v>
      </c>
      <c r="O31" s="725">
        <v>183</v>
      </c>
      <c r="P31" s="728">
        <v>1</v>
      </c>
      <c r="Q31" s="728">
        <v>183</v>
      </c>
      <c r="R31" s="741">
        <v>1</v>
      </c>
      <c r="S31" s="729">
        <v>183</v>
      </c>
    </row>
    <row r="32" spans="1:19" ht="14.4" customHeight="1" x14ac:dyDescent="0.3">
      <c r="A32" s="724" t="s">
        <v>552</v>
      </c>
      <c r="B32" s="725" t="s">
        <v>2982</v>
      </c>
      <c r="C32" s="725" t="s">
        <v>566</v>
      </c>
      <c r="D32" s="725" t="s">
        <v>2974</v>
      </c>
      <c r="E32" s="725" t="s">
        <v>2989</v>
      </c>
      <c r="F32" s="725" t="s">
        <v>3026</v>
      </c>
      <c r="G32" s="725" t="s">
        <v>3027</v>
      </c>
      <c r="H32" s="728">
        <v>1</v>
      </c>
      <c r="I32" s="728">
        <v>635</v>
      </c>
      <c r="J32" s="725"/>
      <c r="K32" s="725">
        <v>635</v>
      </c>
      <c r="L32" s="728"/>
      <c r="M32" s="728"/>
      <c r="N32" s="725"/>
      <c r="O32" s="725"/>
      <c r="P32" s="728"/>
      <c r="Q32" s="728"/>
      <c r="R32" s="741"/>
      <c r="S32" s="729"/>
    </row>
    <row r="33" spans="1:19" ht="14.4" customHeight="1" x14ac:dyDescent="0.3">
      <c r="A33" s="724" t="s">
        <v>552</v>
      </c>
      <c r="B33" s="725" t="s">
        <v>2982</v>
      </c>
      <c r="C33" s="725" t="s">
        <v>566</v>
      </c>
      <c r="D33" s="725" t="s">
        <v>2974</v>
      </c>
      <c r="E33" s="725" t="s">
        <v>2989</v>
      </c>
      <c r="F33" s="725" t="s">
        <v>3030</v>
      </c>
      <c r="G33" s="725" t="s">
        <v>3031</v>
      </c>
      <c r="H33" s="728">
        <v>13</v>
      </c>
      <c r="I33" s="728">
        <v>0</v>
      </c>
      <c r="J33" s="725"/>
      <c r="K33" s="725">
        <v>0</v>
      </c>
      <c r="L33" s="728">
        <v>20</v>
      </c>
      <c r="M33" s="728">
        <v>0</v>
      </c>
      <c r="N33" s="725"/>
      <c r="O33" s="725">
        <v>0</v>
      </c>
      <c r="P33" s="728">
        <v>16</v>
      </c>
      <c r="Q33" s="728">
        <v>0</v>
      </c>
      <c r="R33" s="741"/>
      <c r="S33" s="729">
        <v>0</v>
      </c>
    </row>
    <row r="34" spans="1:19" ht="14.4" customHeight="1" x14ac:dyDescent="0.3">
      <c r="A34" s="724" t="s">
        <v>552</v>
      </c>
      <c r="B34" s="725" t="s">
        <v>2982</v>
      </c>
      <c r="C34" s="725" t="s">
        <v>566</v>
      </c>
      <c r="D34" s="725" t="s">
        <v>1903</v>
      </c>
      <c r="E34" s="725" t="s">
        <v>2983</v>
      </c>
      <c r="F34" s="725" t="s">
        <v>2984</v>
      </c>
      <c r="G34" s="725" t="s">
        <v>2985</v>
      </c>
      <c r="H34" s="728"/>
      <c r="I34" s="728"/>
      <c r="J34" s="725"/>
      <c r="K34" s="725"/>
      <c r="L34" s="728">
        <v>0.6</v>
      </c>
      <c r="M34" s="728">
        <v>90.6</v>
      </c>
      <c r="N34" s="725">
        <v>1</v>
      </c>
      <c r="O34" s="725">
        <v>151</v>
      </c>
      <c r="P34" s="728"/>
      <c r="Q34" s="728"/>
      <c r="R34" s="741"/>
      <c r="S34" s="729"/>
    </row>
    <row r="35" spans="1:19" ht="14.4" customHeight="1" x14ac:dyDescent="0.3">
      <c r="A35" s="724" t="s">
        <v>552</v>
      </c>
      <c r="B35" s="725" t="s">
        <v>2982</v>
      </c>
      <c r="C35" s="725" t="s">
        <v>566</v>
      </c>
      <c r="D35" s="725" t="s">
        <v>1903</v>
      </c>
      <c r="E35" s="725" t="s">
        <v>2989</v>
      </c>
      <c r="F35" s="725" t="s">
        <v>2990</v>
      </c>
      <c r="G35" s="725" t="s">
        <v>2991</v>
      </c>
      <c r="H35" s="728"/>
      <c r="I35" s="728"/>
      <c r="J35" s="725"/>
      <c r="K35" s="725"/>
      <c r="L35" s="728"/>
      <c r="M35" s="728"/>
      <c r="N35" s="725"/>
      <c r="O35" s="725"/>
      <c r="P35" s="728">
        <v>1</v>
      </c>
      <c r="Q35" s="728">
        <v>83</v>
      </c>
      <c r="R35" s="741"/>
      <c r="S35" s="729">
        <v>83</v>
      </c>
    </row>
    <row r="36" spans="1:19" ht="14.4" customHeight="1" x14ac:dyDescent="0.3">
      <c r="A36" s="724" t="s">
        <v>552</v>
      </c>
      <c r="B36" s="725" t="s">
        <v>2982</v>
      </c>
      <c r="C36" s="725" t="s">
        <v>566</v>
      </c>
      <c r="D36" s="725" t="s">
        <v>1903</v>
      </c>
      <c r="E36" s="725" t="s">
        <v>2989</v>
      </c>
      <c r="F36" s="725" t="s">
        <v>2992</v>
      </c>
      <c r="G36" s="725" t="s">
        <v>2993</v>
      </c>
      <c r="H36" s="728">
        <v>1</v>
      </c>
      <c r="I36" s="728">
        <v>35</v>
      </c>
      <c r="J36" s="725"/>
      <c r="K36" s="725">
        <v>35</v>
      </c>
      <c r="L36" s="728"/>
      <c r="M36" s="728"/>
      <c r="N36" s="725"/>
      <c r="O36" s="725"/>
      <c r="P36" s="728"/>
      <c r="Q36" s="728"/>
      <c r="R36" s="741"/>
      <c r="S36" s="729"/>
    </row>
    <row r="37" spans="1:19" ht="14.4" customHeight="1" x14ac:dyDescent="0.3">
      <c r="A37" s="724" t="s">
        <v>552</v>
      </c>
      <c r="B37" s="725" t="s">
        <v>2982</v>
      </c>
      <c r="C37" s="725" t="s">
        <v>566</v>
      </c>
      <c r="D37" s="725" t="s">
        <v>1903</v>
      </c>
      <c r="E37" s="725" t="s">
        <v>2989</v>
      </c>
      <c r="F37" s="725" t="s">
        <v>3002</v>
      </c>
      <c r="G37" s="725" t="s">
        <v>3003</v>
      </c>
      <c r="H37" s="728">
        <v>14</v>
      </c>
      <c r="I37" s="728">
        <v>1652</v>
      </c>
      <c r="J37" s="725">
        <v>0.6243386243386243</v>
      </c>
      <c r="K37" s="725">
        <v>118</v>
      </c>
      <c r="L37" s="728">
        <v>21</v>
      </c>
      <c r="M37" s="728">
        <v>2646</v>
      </c>
      <c r="N37" s="725">
        <v>1</v>
      </c>
      <c r="O37" s="725">
        <v>126</v>
      </c>
      <c r="P37" s="728">
        <v>5</v>
      </c>
      <c r="Q37" s="728">
        <v>630</v>
      </c>
      <c r="R37" s="741">
        <v>0.23809523809523808</v>
      </c>
      <c r="S37" s="729">
        <v>126</v>
      </c>
    </row>
    <row r="38" spans="1:19" ht="14.4" customHeight="1" x14ac:dyDescent="0.3">
      <c r="A38" s="724" t="s">
        <v>552</v>
      </c>
      <c r="B38" s="725" t="s">
        <v>2982</v>
      </c>
      <c r="C38" s="725" t="s">
        <v>566</v>
      </c>
      <c r="D38" s="725" t="s">
        <v>1903</v>
      </c>
      <c r="E38" s="725" t="s">
        <v>2989</v>
      </c>
      <c r="F38" s="725" t="s">
        <v>3010</v>
      </c>
      <c r="G38" s="725" t="s">
        <v>3011</v>
      </c>
      <c r="H38" s="728"/>
      <c r="I38" s="728"/>
      <c r="J38" s="725"/>
      <c r="K38" s="725"/>
      <c r="L38" s="728">
        <v>19</v>
      </c>
      <c r="M38" s="728">
        <v>633.32999999999993</v>
      </c>
      <c r="N38" s="725">
        <v>1</v>
      </c>
      <c r="O38" s="725">
        <v>33.333157894736836</v>
      </c>
      <c r="P38" s="728">
        <v>8</v>
      </c>
      <c r="Q38" s="728">
        <v>266.65999999999997</v>
      </c>
      <c r="R38" s="741">
        <v>0.42104432128590152</v>
      </c>
      <c r="S38" s="729">
        <v>33.332499999999996</v>
      </c>
    </row>
    <row r="39" spans="1:19" ht="14.4" customHeight="1" x14ac:dyDescent="0.3">
      <c r="A39" s="724" t="s">
        <v>552</v>
      </c>
      <c r="B39" s="725" t="s">
        <v>2982</v>
      </c>
      <c r="C39" s="725" t="s">
        <v>566</v>
      </c>
      <c r="D39" s="725" t="s">
        <v>1903</v>
      </c>
      <c r="E39" s="725" t="s">
        <v>2989</v>
      </c>
      <c r="F39" s="725" t="s">
        <v>3012</v>
      </c>
      <c r="G39" s="725" t="s">
        <v>3013</v>
      </c>
      <c r="H39" s="728">
        <v>3</v>
      </c>
      <c r="I39" s="728">
        <v>705</v>
      </c>
      <c r="J39" s="725"/>
      <c r="K39" s="725">
        <v>235</v>
      </c>
      <c r="L39" s="728"/>
      <c r="M39" s="728"/>
      <c r="N39" s="725"/>
      <c r="O39" s="725"/>
      <c r="P39" s="728"/>
      <c r="Q39" s="728"/>
      <c r="R39" s="741"/>
      <c r="S39" s="729"/>
    </row>
    <row r="40" spans="1:19" ht="14.4" customHeight="1" x14ac:dyDescent="0.3">
      <c r="A40" s="724" t="s">
        <v>552</v>
      </c>
      <c r="B40" s="725" t="s">
        <v>2982</v>
      </c>
      <c r="C40" s="725" t="s">
        <v>566</v>
      </c>
      <c r="D40" s="725" t="s">
        <v>1903</v>
      </c>
      <c r="E40" s="725" t="s">
        <v>2989</v>
      </c>
      <c r="F40" s="725" t="s">
        <v>3028</v>
      </c>
      <c r="G40" s="725" t="s">
        <v>3029</v>
      </c>
      <c r="H40" s="728"/>
      <c r="I40" s="728"/>
      <c r="J40" s="725"/>
      <c r="K40" s="725"/>
      <c r="L40" s="728">
        <v>5</v>
      </c>
      <c r="M40" s="728">
        <v>1860</v>
      </c>
      <c r="N40" s="725">
        <v>1</v>
      </c>
      <c r="O40" s="725">
        <v>372</v>
      </c>
      <c r="P40" s="728">
        <v>3</v>
      </c>
      <c r="Q40" s="728">
        <v>1119</v>
      </c>
      <c r="R40" s="741">
        <v>0.60161290322580641</v>
      </c>
      <c r="S40" s="729">
        <v>373</v>
      </c>
    </row>
    <row r="41" spans="1:19" ht="14.4" customHeight="1" x14ac:dyDescent="0.3">
      <c r="A41" s="724" t="s">
        <v>552</v>
      </c>
      <c r="B41" s="725" t="s">
        <v>2982</v>
      </c>
      <c r="C41" s="725" t="s">
        <v>566</v>
      </c>
      <c r="D41" s="725" t="s">
        <v>1904</v>
      </c>
      <c r="E41" s="725" t="s">
        <v>2983</v>
      </c>
      <c r="F41" s="725" t="s">
        <v>2984</v>
      </c>
      <c r="G41" s="725" t="s">
        <v>2985</v>
      </c>
      <c r="H41" s="728">
        <v>2</v>
      </c>
      <c r="I41" s="728">
        <v>302.16000000000003</v>
      </c>
      <c r="J41" s="725"/>
      <c r="K41" s="725">
        <v>151.08000000000001</v>
      </c>
      <c r="L41" s="728"/>
      <c r="M41" s="728"/>
      <c r="N41" s="725"/>
      <c r="O41" s="725"/>
      <c r="P41" s="728">
        <v>0.2</v>
      </c>
      <c r="Q41" s="728">
        <v>30.2</v>
      </c>
      <c r="R41" s="741"/>
      <c r="S41" s="729">
        <v>151</v>
      </c>
    </row>
    <row r="42" spans="1:19" ht="14.4" customHeight="1" x14ac:dyDescent="0.3">
      <c r="A42" s="724" t="s">
        <v>552</v>
      </c>
      <c r="B42" s="725" t="s">
        <v>2982</v>
      </c>
      <c r="C42" s="725" t="s">
        <v>566</v>
      </c>
      <c r="D42" s="725" t="s">
        <v>1904</v>
      </c>
      <c r="E42" s="725" t="s">
        <v>2983</v>
      </c>
      <c r="F42" s="725" t="s">
        <v>2986</v>
      </c>
      <c r="G42" s="725" t="s">
        <v>2987</v>
      </c>
      <c r="H42" s="728"/>
      <c r="I42" s="728"/>
      <c r="J42" s="725"/>
      <c r="K42" s="725"/>
      <c r="L42" s="728"/>
      <c r="M42" s="728"/>
      <c r="N42" s="725"/>
      <c r="O42" s="725"/>
      <c r="P42" s="728">
        <v>0.2</v>
      </c>
      <c r="Q42" s="728">
        <v>50.71</v>
      </c>
      <c r="R42" s="741"/>
      <c r="S42" s="729">
        <v>253.54999999999998</v>
      </c>
    </row>
    <row r="43" spans="1:19" ht="14.4" customHeight="1" x14ac:dyDescent="0.3">
      <c r="A43" s="724" t="s">
        <v>552</v>
      </c>
      <c r="B43" s="725" t="s">
        <v>2982</v>
      </c>
      <c r="C43" s="725" t="s">
        <v>566</v>
      </c>
      <c r="D43" s="725" t="s">
        <v>1904</v>
      </c>
      <c r="E43" s="725" t="s">
        <v>2983</v>
      </c>
      <c r="F43" s="725" t="s">
        <v>2988</v>
      </c>
      <c r="G43" s="725" t="s">
        <v>1091</v>
      </c>
      <c r="H43" s="728"/>
      <c r="I43" s="728"/>
      <c r="J43" s="725"/>
      <c r="K43" s="725"/>
      <c r="L43" s="728"/>
      <c r="M43" s="728"/>
      <c r="N43" s="725"/>
      <c r="O43" s="725"/>
      <c r="P43" s="728">
        <v>0.2</v>
      </c>
      <c r="Q43" s="728">
        <v>42.01</v>
      </c>
      <c r="R43" s="741"/>
      <c r="S43" s="729">
        <v>210.04999999999998</v>
      </c>
    </row>
    <row r="44" spans="1:19" ht="14.4" customHeight="1" x14ac:dyDescent="0.3">
      <c r="A44" s="724" t="s">
        <v>552</v>
      </c>
      <c r="B44" s="725" t="s">
        <v>2982</v>
      </c>
      <c r="C44" s="725" t="s">
        <v>566</v>
      </c>
      <c r="D44" s="725" t="s">
        <v>1904</v>
      </c>
      <c r="E44" s="725" t="s">
        <v>2989</v>
      </c>
      <c r="F44" s="725" t="s">
        <v>2990</v>
      </c>
      <c r="G44" s="725" t="s">
        <v>2991</v>
      </c>
      <c r="H44" s="728">
        <v>5</v>
      </c>
      <c r="I44" s="728">
        <v>405</v>
      </c>
      <c r="J44" s="725">
        <v>4.8795180722891569</v>
      </c>
      <c r="K44" s="725">
        <v>81</v>
      </c>
      <c r="L44" s="728">
        <v>1</v>
      </c>
      <c r="M44" s="728">
        <v>83</v>
      </c>
      <c r="N44" s="725">
        <v>1</v>
      </c>
      <c r="O44" s="725">
        <v>83</v>
      </c>
      <c r="P44" s="728">
        <v>6</v>
      </c>
      <c r="Q44" s="728">
        <v>498</v>
      </c>
      <c r="R44" s="741">
        <v>6</v>
      </c>
      <c r="S44" s="729">
        <v>83</v>
      </c>
    </row>
    <row r="45" spans="1:19" ht="14.4" customHeight="1" x14ac:dyDescent="0.3">
      <c r="A45" s="724" t="s">
        <v>552</v>
      </c>
      <c r="B45" s="725" t="s">
        <v>2982</v>
      </c>
      <c r="C45" s="725" t="s">
        <v>566</v>
      </c>
      <c r="D45" s="725" t="s">
        <v>1904</v>
      </c>
      <c r="E45" s="725" t="s">
        <v>2989</v>
      </c>
      <c r="F45" s="725" t="s">
        <v>2992</v>
      </c>
      <c r="G45" s="725" t="s">
        <v>2993</v>
      </c>
      <c r="H45" s="728">
        <v>18</v>
      </c>
      <c r="I45" s="728">
        <v>630</v>
      </c>
      <c r="J45" s="725"/>
      <c r="K45" s="725">
        <v>35</v>
      </c>
      <c r="L45" s="728"/>
      <c r="M45" s="728"/>
      <c r="N45" s="725"/>
      <c r="O45" s="725"/>
      <c r="P45" s="728"/>
      <c r="Q45" s="728"/>
      <c r="R45" s="741"/>
      <c r="S45" s="729"/>
    </row>
    <row r="46" spans="1:19" ht="14.4" customHeight="1" x14ac:dyDescent="0.3">
      <c r="A46" s="724" t="s">
        <v>552</v>
      </c>
      <c r="B46" s="725" t="s">
        <v>2982</v>
      </c>
      <c r="C46" s="725" t="s">
        <v>566</v>
      </c>
      <c r="D46" s="725" t="s">
        <v>1904</v>
      </c>
      <c r="E46" s="725" t="s">
        <v>2989</v>
      </c>
      <c r="F46" s="725" t="s">
        <v>2998</v>
      </c>
      <c r="G46" s="725" t="s">
        <v>2999</v>
      </c>
      <c r="H46" s="728"/>
      <c r="I46" s="728"/>
      <c r="J46" s="725"/>
      <c r="K46" s="725"/>
      <c r="L46" s="728"/>
      <c r="M46" s="728"/>
      <c r="N46" s="725"/>
      <c r="O46" s="725"/>
      <c r="P46" s="728">
        <v>1</v>
      </c>
      <c r="Q46" s="728">
        <v>116</v>
      </c>
      <c r="R46" s="741"/>
      <c r="S46" s="729">
        <v>116</v>
      </c>
    </row>
    <row r="47" spans="1:19" ht="14.4" customHeight="1" x14ac:dyDescent="0.3">
      <c r="A47" s="724" t="s">
        <v>552</v>
      </c>
      <c r="B47" s="725" t="s">
        <v>2982</v>
      </c>
      <c r="C47" s="725" t="s">
        <v>566</v>
      </c>
      <c r="D47" s="725" t="s">
        <v>1904</v>
      </c>
      <c r="E47" s="725" t="s">
        <v>2989</v>
      </c>
      <c r="F47" s="725" t="s">
        <v>3002</v>
      </c>
      <c r="G47" s="725" t="s">
        <v>3003</v>
      </c>
      <c r="H47" s="728">
        <v>63</v>
      </c>
      <c r="I47" s="728">
        <v>7434</v>
      </c>
      <c r="J47" s="725">
        <v>2.36</v>
      </c>
      <c r="K47" s="725">
        <v>118</v>
      </c>
      <c r="L47" s="728">
        <v>25</v>
      </c>
      <c r="M47" s="728">
        <v>3150</v>
      </c>
      <c r="N47" s="725">
        <v>1</v>
      </c>
      <c r="O47" s="725">
        <v>126</v>
      </c>
      <c r="P47" s="728">
        <v>111</v>
      </c>
      <c r="Q47" s="728">
        <v>13986</v>
      </c>
      <c r="R47" s="741">
        <v>4.4400000000000004</v>
      </c>
      <c r="S47" s="729">
        <v>126</v>
      </c>
    </row>
    <row r="48" spans="1:19" ht="14.4" customHeight="1" x14ac:dyDescent="0.3">
      <c r="A48" s="724" t="s">
        <v>552</v>
      </c>
      <c r="B48" s="725" t="s">
        <v>2982</v>
      </c>
      <c r="C48" s="725" t="s">
        <v>566</v>
      </c>
      <c r="D48" s="725" t="s">
        <v>1904</v>
      </c>
      <c r="E48" s="725" t="s">
        <v>2989</v>
      </c>
      <c r="F48" s="725" t="s">
        <v>3006</v>
      </c>
      <c r="G48" s="725" t="s">
        <v>3007</v>
      </c>
      <c r="H48" s="728">
        <v>2</v>
      </c>
      <c r="I48" s="728">
        <v>3274</v>
      </c>
      <c r="J48" s="725"/>
      <c r="K48" s="725">
        <v>1637</v>
      </c>
      <c r="L48" s="728"/>
      <c r="M48" s="728"/>
      <c r="N48" s="725"/>
      <c r="O48" s="725"/>
      <c r="P48" s="728">
        <v>2</v>
      </c>
      <c r="Q48" s="728">
        <v>3356</v>
      </c>
      <c r="R48" s="741"/>
      <c r="S48" s="729">
        <v>1678</v>
      </c>
    </row>
    <row r="49" spans="1:19" ht="14.4" customHeight="1" x14ac:dyDescent="0.3">
      <c r="A49" s="724" t="s">
        <v>552</v>
      </c>
      <c r="B49" s="725" t="s">
        <v>2982</v>
      </c>
      <c r="C49" s="725" t="s">
        <v>566</v>
      </c>
      <c r="D49" s="725" t="s">
        <v>1904</v>
      </c>
      <c r="E49" s="725" t="s">
        <v>2989</v>
      </c>
      <c r="F49" s="725" t="s">
        <v>3008</v>
      </c>
      <c r="G49" s="725" t="s">
        <v>3009</v>
      </c>
      <c r="H49" s="728">
        <v>2</v>
      </c>
      <c r="I49" s="728">
        <v>0</v>
      </c>
      <c r="J49" s="725"/>
      <c r="K49" s="725">
        <v>0</v>
      </c>
      <c r="L49" s="728"/>
      <c r="M49" s="728"/>
      <c r="N49" s="725"/>
      <c r="O49" s="725"/>
      <c r="P49" s="728">
        <v>1</v>
      </c>
      <c r="Q49" s="728">
        <v>0</v>
      </c>
      <c r="R49" s="741"/>
      <c r="S49" s="729">
        <v>0</v>
      </c>
    </row>
    <row r="50" spans="1:19" ht="14.4" customHeight="1" x14ac:dyDescent="0.3">
      <c r="A50" s="724" t="s">
        <v>552</v>
      </c>
      <c r="B50" s="725" t="s">
        <v>2982</v>
      </c>
      <c r="C50" s="725" t="s">
        <v>566</v>
      </c>
      <c r="D50" s="725" t="s">
        <v>1904</v>
      </c>
      <c r="E50" s="725" t="s">
        <v>2989</v>
      </c>
      <c r="F50" s="725" t="s">
        <v>3010</v>
      </c>
      <c r="G50" s="725" t="s">
        <v>3011</v>
      </c>
      <c r="H50" s="728"/>
      <c r="I50" s="728"/>
      <c r="J50" s="725"/>
      <c r="K50" s="725"/>
      <c r="L50" s="728">
        <v>60</v>
      </c>
      <c r="M50" s="728">
        <v>1999.9899999999998</v>
      </c>
      <c r="N50" s="725">
        <v>1</v>
      </c>
      <c r="O50" s="725">
        <v>33.333166666666664</v>
      </c>
      <c r="P50" s="728">
        <v>188</v>
      </c>
      <c r="Q50" s="728">
        <v>6266.66</v>
      </c>
      <c r="R50" s="741">
        <v>3.1333456667283337</v>
      </c>
      <c r="S50" s="729">
        <v>33.333297872340424</v>
      </c>
    </row>
    <row r="51" spans="1:19" ht="14.4" customHeight="1" x14ac:dyDescent="0.3">
      <c r="A51" s="724" t="s">
        <v>552</v>
      </c>
      <c r="B51" s="725" t="s">
        <v>2982</v>
      </c>
      <c r="C51" s="725" t="s">
        <v>566</v>
      </c>
      <c r="D51" s="725" t="s">
        <v>1904</v>
      </c>
      <c r="E51" s="725" t="s">
        <v>2989</v>
      </c>
      <c r="F51" s="725" t="s">
        <v>3012</v>
      </c>
      <c r="G51" s="725" t="s">
        <v>3013</v>
      </c>
      <c r="H51" s="728">
        <v>62</v>
      </c>
      <c r="I51" s="728">
        <v>14570</v>
      </c>
      <c r="J51" s="725">
        <v>1.0749594215729674</v>
      </c>
      <c r="K51" s="725">
        <v>235</v>
      </c>
      <c r="L51" s="728">
        <v>54</v>
      </c>
      <c r="M51" s="728">
        <v>13554</v>
      </c>
      <c r="N51" s="725">
        <v>1</v>
      </c>
      <c r="O51" s="725">
        <v>251</v>
      </c>
      <c r="P51" s="728">
        <v>85</v>
      </c>
      <c r="Q51" s="728">
        <v>21335</v>
      </c>
      <c r="R51" s="741">
        <v>1.5740740740740742</v>
      </c>
      <c r="S51" s="729">
        <v>251</v>
      </c>
    </row>
    <row r="52" spans="1:19" ht="14.4" customHeight="1" x14ac:dyDescent="0.3">
      <c r="A52" s="724" t="s">
        <v>552</v>
      </c>
      <c r="B52" s="725" t="s">
        <v>2982</v>
      </c>
      <c r="C52" s="725" t="s">
        <v>566</v>
      </c>
      <c r="D52" s="725" t="s">
        <v>1904</v>
      </c>
      <c r="E52" s="725" t="s">
        <v>2989</v>
      </c>
      <c r="F52" s="725" t="s">
        <v>3014</v>
      </c>
      <c r="G52" s="725" t="s">
        <v>3015</v>
      </c>
      <c r="H52" s="728">
        <v>1</v>
      </c>
      <c r="I52" s="728">
        <v>108</v>
      </c>
      <c r="J52" s="725"/>
      <c r="K52" s="725">
        <v>108</v>
      </c>
      <c r="L52" s="728"/>
      <c r="M52" s="728"/>
      <c r="N52" s="725"/>
      <c r="O52" s="725"/>
      <c r="P52" s="728">
        <v>2</v>
      </c>
      <c r="Q52" s="728">
        <v>232</v>
      </c>
      <c r="R52" s="741"/>
      <c r="S52" s="729">
        <v>116</v>
      </c>
    </row>
    <row r="53" spans="1:19" ht="14.4" customHeight="1" x14ac:dyDescent="0.3">
      <c r="A53" s="724" t="s">
        <v>552</v>
      </c>
      <c r="B53" s="725" t="s">
        <v>2982</v>
      </c>
      <c r="C53" s="725" t="s">
        <v>566</v>
      </c>
      <c r="D53" s="725" t="s">
        <v>1904</v>
      </c>
      <c r="E53" s="725" t="s">
        <v>2989</v>
      </c>
      <c r="F53" s="725" t="s">
        <v>3018</v>
      </c>
      <c r="G53" s="725" t="s">
        <v>3019</v>
      </c>
      <c r="H53" s="728">
        <v>2</v>
      </c>
      <c r="I53" s="728">
        <v>164</v>
      </c>
      <c r="J53" s="725"/>
      <c r="K53" s="725">
        <v>82</v>
      </c>
      <c r="L53" s="728"/>
      <c r="M53" s="728"/>
      <c r="N53" s="725"/>
      <c r="O53" s="725"/>
      <c r="P53" s="728">
        <v>2</v>
      </c>
      <c r="Q53" s="728">
        <v>172</v>
      </c>
      <c r="R53" s="741"/>
      <c r="S53" s="729">
        <v>86</v>
      </c>
    </row>
    <row r="54" spans="1:19" ht="14.4" customHeight="1" x14ac:dyDescent="0.3">
      <c r="A54" s="724" t="s">
        <v>552</v>
      </c>
      <c r="B54" s="725" t="s">
        <v>2982</v>
      </c>
      <c r="C54" s="725" t="s">
        <v>566</v>
      </c>
      <c r="D54" s="725" t="s">
        <v>1904</v>
      </c>
      <c r="E54" s="725" t="s">
        <v>2989</v>
      </c>
      <c r="F54" s="725" t="s">
        <v>3024</v>
      </c>
      <c r="G54" s="725" t="s">
        <v>3025</v>
      </c>
      <c r="H54" s="728"/>
      <c r="I54" s="728"/>
      <c r="J54" s="725"/>
      <c r="K54" s="725"/>
      <c r="L54" s="728"/>
      <c r="M54" s="728"/>
      <c r="N54" s="725"/>
      <c r="O54" s="725"/>
      <c r="P54" s="728">
        <v>2</v>
      </c>
      <c r="Q54" s="728">
        <v>366</v>
      </c>
      <c r="R54" s="741"/>
      <c r="S54" s="729">
        <v>183</v>
      </c>
    </row>
    <row r="55" spans="1:19" ht="14.4" customHeight="1" x14ac:dyDescent="0.3">
      <c r="A55" s="724" t="s">
        <v>552</v>
      </c>
      <c r="B55" s="725" t="s">
        <v>2982</v>
      </c>
      <c r="C55" s="725" t="s">
        <v>566</v>
      </c>
      <c r="D55" s="725" t="s">
        <v>1904</v>
      </c>
      <c r="E55" s="725" t="s">
        <v>2989</v>
      </c>
      <c r="F55" s="725" t="s">
        <v>3028</v>
      </c>
      <c r="G55" s="725" t="s">
        <v>3029</v>
      </c>
      <c r="H55" s="728">
        <v>2</v>
      </c>
      <c r="I55" s="728">
        <v>698</v>
      </c>
      <c r="J55" s="725"/>
      <c r="K55" s="725">
        <v>349</v>
      </c>
      <c r="L55" s="728"/>
      <c r="M55" s="728"/>
      <c r="N55" s="725"/>
      <c r="O55" s="725"/>
      <c r="P55" s="728"/>
      <c r="Q55" s="728"/>
      <c r="R55" s="741"/>
      <c r="S55" s="729"/>
    </row>
    <row r="56" spans="1:19" ht="14.4" customHeight="1" x14ac:dyDescent="0.3">
      <c r="A56" s="724" t="s">
        <v>552</v>
      </c>
      <c r="B56" s="725" t="s">
        <v>2982</v>
      </c>
      <c r="C56" s="725" t="s">
        <v>566</v>
      </c>
      <c r="D56" s="725" t="s">
        <v>1904</v>
      </c>
      <c r="E56" s="725" t="s">
        <v>2989</v>
      </c>
      <c r="F56" s="725" t="s">
        <v>3030</v>
      </c>
      <c r="G56" s="725" t="s">
        <v>3031</v>
      </c>
      <c r="H56" s="728"/>
      <c r="I56" s="728"/>
      <c r="J56" s="725"/>
      <c r="K56" s="725"/>
      <c r="L56" s="728"/>
      <c r="M56" s="728"/>
      <c r="N56" s="725"/>
      <c r="O56" s="725"/>
      <c r="P56" s="728">
        <v>1</v>
      </c>
      <c r="Q56" s="728">
        <v>0</v>
      </c>
      <c r="R56" s="741"/>
      <c r="S56" s="729">
        <v>0</v>
      </c>
    </row>
    <row r="57" spans="1:19" ht="14.4" customHeight="1" x14ac:dyDescent="0.3">
      <c r="A57" s="724" t="s">
        <v>552</v>
      </c>
      <c r="B57" s="725" t="s">
        <v>2982</v>
      </c>
      <c r="C57" s="725" t="s">
        <v>566</v>
      </c>
      <c r="D57" s="725" t="s">
        <v>1905</v>
      </c>
      <c r="E57" s="725" t="s">
        <v>2983</v>
      </c>
      <c r="F57" s="725" t="s">
        <v>2986</v>
      </c>
      <c r="G57" s="725" t="s">
        <v>2987</v>
      </c>
      <c r="H57" s="728"/>
      <c r="I57" s="728"/>
      <c r="J57" s="725"/>
      <c r="K57" s="725"/>
      <c r="L57" s="728"/>
      <c r="M57" s="728"/>
      <c r="N57" s="725"/>
      <c r="O57" s="725"/>
      <c r="P57" s="728">
        <v>1.2</v>
      </c>
      <c r="Q57" s="728">
        <v>304.3</v>
      </c>
      <c r="R57" s="741"/>
      <c r="S57" s="729">
        <v>253.58333333333334</v>
      </c>
    </row>
    <row r="58" spans="1:19" ht="14.4" customHeight="1" x14ac:dyDescent="0.3">
      <c r="A58" s="724" t="s">
        <v>552</v>
      </c>
      <c r="B58" s="725" t="s">
        <v>2982</v>
      </c>
      <c r="C58" s="725" t="s">
        <v>566</v>
      </c>
      <c r="D58" s="725" t="s">
        <v>1905</v>
      </c>
      <c r="E58" s="725" t="s">
        <v>2983</v>
      </c>
      <c r="F58" s="725" t="s">
        <v>2988</v>
      </c>
      <c r="G58" s="725" t="s">
        <v>1091</v>
      </c>
      <c r="H58" s="728"/>
      <c r="I58" s="728"/>
      <c r="J58" s="725"/>
      <c r="K58" s="725"/>
      <c r="L58" s="728"/>
      <c r="M58" s="728"/>
      <c r="N58" s="725"/>
      <c r="O58" s="725"/>
      <c r="P58" s="728">
        <v>0.2</v>
      </c>
      <c r="Q58" s="728">
        <v>42</v>
      </c>
      <c r="R58" s="741"/>
      <c r="S58" s="729">
        <v>210</v>
      </c>
    </row>
    <row r="59" spans="1:19" ht="14.4" customHeight="1" x14ac:dyDescent="0.3">
      <c r="A59" s="724" t="s">
        <v>552</v>
      </c>
      <c r="B59" s="725" t="s">
        <v>2982</v>
      </c>
      <c r="C59" s="725" t="s">
        <v>566</v>
      </c>
      <c r="D59" s="725" t="s">
        <v>1905</v>
      </c>
      <c r="E59" s="725" t="s">
        <v>2989</v>
      </c>
      <c r="F59" s="725" t="s">
        <v>2990</v>
      </c>
      <c r="G59" s="725" t="s">
        <v>2991</v>
      </c>
      <c r="H59" s="728">
        <v>6</v>
      </c>
      <c r="I59" s="728">
        <v>486</v>
      </c>
      <c r="J59" s="725"/>
      <c r="K59" s="725">
        <v>81</v>
      </c>
      <c r="L59" s="728"/>
      <c r="M59" s="728"/>
      <c r="N59" s="725"/>
      <c r="O59" s="725"/>
      <c r="P59" s="728">
        <v>4</v>
      </c>
      <c r="Q59" s="728">
        <v>332</v>
      </c>
      <c r="R59" s="741"/>
      <c r="S59" s="729">
        <v>83</v>
      </c>
    </row>
    <row r="60" spans="1:19" ht="14.4" customHeight="1" x14ac:dyDescent="0.3">
      <c r="A60" s="724" t="s">
        <v>552</v>
      </c>
      <c r="B60" s="725" t="s">
        <v>2982</v>
      </c>
      <c r="C60" s="725" t="s">
        <v>566</v>
      </c>
      <c r="D60" s="725" t="s">
        <v>1905</v>
      </c>
      <c r="E60" s="725" t="s">
        <v>2989</v>
      </c>
      <c r="F60" s="725" t="s">
        <v>2992</v>
      </c>
      <c r="G60" s="725" t="s">
        <v>2993</v>
      </c>
      <c r="H60" s="728">
        <v>13</v>
      </c>
      <c r="I60" s="728">
        <v>455</v>
      </c>
      <c r="J60" s="725">
        <v>0.4391891891891892</v>
      </c>
      <c r="K60" s="725">
        <v>35</v>
      </c>
      <c r="L60" s="728">
        <v>28</v>
      </c>
      <c r="M60" s="728">
        <v>1036</v>
      </c>
      <c r="N60" s="725">
        <v>1</v>
      </c>
      <c r="O60" s="725">
        <v>37</v>
      </c>
      <c r="P60" s="728"/>
      <c r="Q60" s="728"/>
      <c r="R60" s="741"/>
      <c r="S60" s="729"/>
    </row>
    <row r="61" spans="1:19" ht="14.4" customHeight="1" x14ac:dyDescent="0.3">
      <c r="A61" s="724" t="s">
        <v>552</v>
      </c>
      <c r="B61" s="725" t="s">
        <v>2982</v>
      </c>
      <c r="C61" s="725" t="s">
        <v>566</v>
      </c>
      <c r="D61" s="725" t="s">
        <v>1905</v>
      </c>
      <c r="E61" s="725" t="s">
        <v>2989</v>
      </c>
      <c r="F61" s="725" t="s">
        <v>3000</v>
      </c>
      <c r="G61" s="725" t="s">
        <v>3001</v>
      </c>
      <c r="H61" s="728"/>
      <c r="I61" s="728"/>
      <c r="J61" s="725"/>
      <c r="K61" s="725"/>
      <c r="L61" s="728"/>
      <c r="M61" s="728"/>
      <c r="N61" s="725"/>
      <c r="O61" s="725"/>
      <c r="P61" s="728">
        <v>1</v>
      </c>
      <c r="Q61" s="728">
        <v>129</v>
      </c>
      <c r="R61" s="741"/>
      <c r="S61" s="729">
        <v>129</v>
      </c>
    </row>
    <row r="62" spans="1:19" ht="14.4" customHeight="1" x14ac:dyDescent="0.3">
      <c r="A62" s="724" t="s">
        <v>552</v>
      </c>
      <c r="B62" s="725" t="s">
        <v>2982</v>
      </c>
      <c r="C62" s="725" t="s">
        <v>566</v>
      </c>
      <c r="D62" s="725" t="s">
        <v>1905</v>
      </c>
      <c r="E62" s="725" t="s">
        <v>2989</v>
      </c>
      <c r="F62" s="725" t="s">
        <v>3002</v>
      </c>
      <c r="G62" s="725" t="s">
        <v>3003</v>
      </c>
      <c r="H62" s="728">
        <v>128</v>
      </c>
      <c r="I62" s="728">
        <v>15104</v>
      </c>
      <c r="J62" s="725">
        <v>1.4984126984126984</v>
      </c>
      <c r="K62" s="725">
        <v>118</v>
      </c>
      <c r="L62" s="728">
        <v>80</v>
      </c>
      <c r="M62" s="728">
        <v>10080</v>
      </c>
      <c r="N62" s="725">
        <v>1</v>
      </c>
      <c r="O62" s="725">
        <v>126</v>
      </c>
      <c r="P62" s="728">
        <v>113</v>
      </c>
      <c r="Q62" s="728">
        <v>14238</v>
      </c>
      <c r="R62" s="741">
        <v>1.4125000000000001</v>
      </c>
      <c r="S62" s="729">
        <v>126</v>
      </c>
    </row>
    <row r="63" spans="1:19" ht="14.4" customHeight="1" x14ac:dyDescent="0.3">
      <c r="A63" s="724" t="s">
        <v>552</v>
      </c>
      <c r="B63" s="725" t="s">
        <v>2982</v>
      </c>
      <c r="C63" s="725" t="s">
        <v>566</v>
      </c>
      <c r="D63" s="725" t="s">
        <v>1905</v>
      </c>
      <c r="E63" s="725" t="s">
        <v>2989</v>
      </c>
      <c r="F63" s="725" t="s">
        <v>3004</v>
      </c>
      <c r="G63" s="725" t="s">
        <v>3005</v>
      </c>
      <c r="H63" s="728"/>
      <c r="I63" s="728"/>
      <c r="J63" s="725"/>
      <c r="K63" s="725"/>
      <c r="L63" s="728">
        <v>1</v>
      </c>
      <c r="M63" s="728">
        <v>540</v>
      </c>
      <c r="N63" s="725">
        <v>1</v>
      </c>
      <c r="O63" s="725">
        <v>540</v>
      </c>
      <c r="P63" s="728"/>
      <c r="Q63" s="728"/>
      <c r="R63" s="741"/>
      <c r="S63" s="729"/>
    </row>
    <row r="64" spans="1:19" ht="14.4" customHeight="1" x14ac:dyDescent="0.3">
      <c r="A64" s="724" t="s">
        <v>552</v>
      </c>
      <c r="B64" s="725" t="s">
        <v>2982</v>
      </c>
      <c r="C64" s="725" t="s">
        <v>566</v>
      </c>
      <c r="D64" s="725" t="s">
        <v>1905</v>
      </c>
      <c r="E64" s="725" t="s">
        <v>2989</v>
      </c>
      <c r="F64" s="725" t="s">
        <v>3010</v>
      </c>
      <c r="G64" s="725" t="s">
        <v>3011</v>
      </c>
      <c r="H64" s="728"/>
      <c r="I64" s="728"/>
      <c r="J64" s="725"/>
      <c r="K64" s="725"/>
      <c r="L64" s="728">
        <v>124</v>
      </c>
      <c r="M64" s="728">
        <v>4133.33</v>
      </c>
      <c r="N64" s="725">
        <v>1</v>
      </c>
      <c r="O64" s="725">
        <v>33.333306451612906</v>
      </c>
      <c r="P64" s="728">
        <v>189</v>
      </c>
      <c r="Q64" s="728">
        <v>6299.99</v>
      </c>
      <c r="R64" s="741">
        <v>1.5241923582196437</v>
      </c>
      <c r="S64" s="729">
        <v>33.333280423280421</v>
      </c>
    </row>
    <row r="65" spans="1:19" ht="14.4" customHeight="1" x14ac:dyDescent="0.3">
      <c r="A65" s="724" t="s">
        <v>552</v>
      </c>
      <c r="B65" s="725" t="s">
        <v>2982</v>
      </c>
      <c r="C65" s="725" t="s">
        <v>566</v>
      </c>
      <c r="D65" s="725" t="s">
        <v>1905</v>
      </c>
      <c r="E65" s="725" t="s">
        <v>2989</v>
      </c>
      <c r="F65" s="725" t="s">
        <v>3012</v>
      </c>
      <c r="G65" s="725" t="s">
        <v>3013</v>
      </c>
      <c r="H65" s="728">
        <v>157</v>
      </c>
      <c r="I65" s="728">
        <v>36895</v>
      </c>
      <c r="J65" s="725">
        <v>1.4410983516912741</v>
      </c>
      <c r="K65" s="725">
        <v>235</v>
      </c>
      <c r="L65" s="728">
        <v>102</v>
      </c>
      <c r="M65" s="728">
        <v>25602</v>
      </c>
      <c r="N65" s="725">
        <v>1</v>
      </c>
      <c r="O65" s="725">
        <v>251</v>
      </c>
      <c r="P65" s="728">
        <v>82</v>
      </c>
      <c r="Q65" s="728">
        <v>20582</v>
      </c>
      <c r="R65" s="741">
        <v>0.80392156862745101</v>
      </c>
      <c r="S65" s="729">
        <v>251</v>
      </c>
    </row>
    <row r="66" spans="1:19" ht="14.4" customHeight="1" x14ac:dyDescent="0.3">
      <c r="A66" s="724" t="s">
        <v>552</v>
      </c>
      <c r="B66" s="725" t="s">
        <v>2982</v>
      </c>
      <c r="C66" s="725" t="s">
        <v>566</v>
      </c>
      <c r="D66" s="725" t="s">
        <v>1905</v>
      </c>
      <c r="E66" s="725" t="s">
        <v>2989</v>
      </c>
      <c r="F66" s="725" t="s">
        <v>3014</v>
      </c>
      <c r="G66" s="725" t="s">
        <v>3015</v>
      </c>
      <c r="H66" s="728"/>
      <c r="I66" s="728"/>
      <c r="J66" s="725"/>
      <c r="K66" s="725"/>
      <c r="L66" s="728">
        <v>4</v>
      </c>
      <c r="M66" s="728">
        <v>464</v>
      </c>
      <c r="N66" s="725">
        <v>1</v>
      </c>
      <c r="O66" s="725">
        <v>116</v>
      </c>
      <c r="P66" s="728">
        <v>1</v>
      </c>
      <c r="Q66" s="728">
        <v>116</v>
      </c>
      <c r="R66" s="741">
        <v>0.25</v>
      </c>
      <c r="S66" s="729">
        <v>116</v>
      </c>
    </row>
    <row r="67" spans="1:19" ht="14.4" customHeight="1" x14ac:dyDescent="0.3">
      <c r="A67" s="724" t="s">
        <v>552</v>
      </c>
      <c r="B67" s="725" t="s">
        <v>2982</v>
      </c>
      <c r="C67" s="725" t="s">
        <v>566</v>
      </c>
      <c r="D67" s="725" t="s">
        <v>1905</v>
      </c>
      <c r="E67" s="725" t="s">
        <v>2989</v>
      </c>
      <c r="F67" s="725" t="s">
        <v>3024</v>
      </c>
      <c r="G67" s="725" t="s">
        <v>3025</v>
      </c>
      <c r="H67" s="728"/>
      <c r="I67" s="728"/>
      <c r="J67" s="725"/>
      <c r="K67" s="725"/>
      <c r="L67" s="728">
        <v>1</v>
      </c>
      <c r="M67" s="728">
        <v>183</v>
      </c>
      <c r="N67" s="725">
        <v>1</v>
      </c>
      <c r="O67" s="725">
        <v>183</v>
      </c>
      <c r="P67" s="728">
        <v>1</v>
      </c>
      <c r="Q67" s="728">
        <v>183</v>
      </c>
      <c r="R67" s="741">
        <v>1</v>
      </c>
      <c r="S67" s="729">
        <v>183</v>
      </c>
    </row>
    <row r="68" spans="1:19" ht="14.4" customHeight="1" x14ac:dyDescent="0.3">
      <c r="A68" s="724" t="s">
        <v>552</v>
      </c>
      <c r="B68" s="725" t="s">
        <v>2982</v>
      </c>
      <c r="C68" s="725" t="s">
        <v>566</v>
      </c>
      <c r="D68" s="725" t="s">
        <v>1905</v>
      </c>
      <c r="E68" s="725" t="s">
        <v>2989</v>
      </c>
      <c r="F68" s="725" t="s">
        <v>3028</v>
      </c>
      <c r="G68" s="725" t="s">
        <v>3029</v>
      </c>
      <c r="H68" s="728"/>
      <c r="I68" s="728"/>
      <c r="J68" s="725"/>
      <c r="K68" s="725"/>
      <c r="L68" s="728">
        <v>1</v>
      </c>
      <c r="M68" s="728">
        <v>372</v>
      </c>
      <c r="N68" s="725">
        <v>1</v>
      </c>
      <c r="O68" s="725">
        <v>372</v>
      </c>
      <c r="P68" s="728"/>
      <c r="Q68" s="728"/>
      <c r="R68" s="741"/>
      <c r="S68" s="729"/>
    </row>
    <row r="69" spans="1:19" ht="14.4" customHeight="1" x14ac:dyDescent="0.3">
      <c r="A69" s="724" t="s">
        <v>552</v>
      </c>
      <c r="B69" s="725" t="s">
        <v>2982</v>
      </c>
      <c r="C69" s="725" t="s">
        <v>566</v>
      </c>
      <c r="D69" s="725" t="s">
        <v>1906</v>
      </c>
      <c r="E69" s="725" t="s">
        <v>2983</v>
      </c>
      <c r="F69" s="725" t="s">
        <v>2986</v>
      </c>
      <c r="G69" s="725" t="s">
        <v>2987</v>
      </c>
      <c r="H69" s="728"/>
      <c r="I69" s="728"/>
      <c r="J69" s="725"/>
      <c r="K69" s="725"/>
      <c r="L69" s="728"/>
      <c r="M69" s="728"/>
      <c r="N69" s="725"/>
      <c r="O69" s="725"/>
      <c r="P69" s="728">
        <v>0.2</v>
      </c>
      <c r="Q69" s="728">
        <v>50.71</v>
      </c>
      <c r="R69" s="741"/>
      <c r="S69" s="729">
        <v>253.54999999999998</v>
      </c>
    </row>
    <row r="70" spans="1:19" ht="14.4" customHeight="1" x14ac:dyDescent="0.3">
      <c r="A70" s="724" t="s">
        <v>552</v>
      </c>
      <c r="B70" s="725" t="s">
        <v>2982</v>
      </c>
      <c r="C70" s="725" t="s">
        <v>566</v>
      </c>
      <c r="D70" s="725" t="s">
        <v>1906</v>
      </c>
      <c r="E70" s="725" t="s">
        <v>2983</v>
      </c>
      <c r="F70" s="725" t="s">
        <v>2988</v>
      </c>
      <c r="G70" s="725" t="s">
        <v>1091</v>
      </c>
      <c r="H70" s="728"/>
      <c r="I70" s="728"/>
      <c r="J70" s="725"/>
      <c r="K70" s="725"/>
      <c r="L70" s="728"/>
      <c r="M70" s="728"/>
      <c r="N70" s="725"/>
      <c r="O70" s="725"/>
      <c r="P70" s="728">
        <v>0.2</v>
      </c>
      <c r="Q70" s="728">
        <v>42.01</v>
      </c>
      <c r="R70" s="741"/>
      <c r="S70" s="729">
        <v>210.04999999999998</v>
      </c>
    </row>
    <row r="71" spans="1:19" ht="14.4" customHeight="1" x14ac:dyDescent="0.3">
      <c r="A71" s="724" t="s">
        <v>552</v>
      </c>
      <c r="B71" s="725" t="s">
        <v>2982</v>
      </c>
      <c r="C71" s="725" t="s">
        <v>566</v>
      </c>
      <c r="D71" s="725" t="s">
        <v>1906</v>
      </c>
      <c r="E71" s="725" t="s">
        <v>2989</v>
      </c>
      <c r="F71" s="725" t="s">
        <v>2990</v>
      </c>
      <c r="G71" s="725" t="s">
        <v>2991</v>
      </c>
      <c r="H71" s="728"/>
      <c r="I71" s="728"/>
      <c r="J71" s="725"/>
      <c r="K71" s="725"/>
      <c r="L71" s="728"/>
      <c r="M71" s="728"/>
      <c r="N71" s="725"/>
      <c r="O71" s="725"/>
      <c r="P71" s="728">
        <v>1</v>
      </c>
      <c r="Q71" s="728">
        <v>83</v>
      </c>
      <c r="R71" s="741"/>
      <c r="S71" s="729">
        <v>83</v>
      </c>
    </row>
    <row r="72" spans="1:19" ht="14.4" customHeight="1" x14ac:dyDescent="0.3">
      <c r="A72" s="724" t="s">
        <v>552</v>
      </c>
      <c r="B72" s="725" t="s">
        <v>2982</v>
      </c>
      <c r="C72" s="725" t="s">
        <v>566</v>
      </c>
      <c r="D72" s="725" t="s">
        <v>1906</v>
      </c>
      <c r="E72" s="725" t="s">
        <v>2989</v>
      </c>
      <c r="F72" s="725" t="s">
        <v>2998</v>
      </c>
      <c r="G72" s="725" t="s">
        <v>2999</v>
      </c>
      <c r="H72" s="728"/>
      <c r="I72" s="728"/>
      <c r="J72" s="725"/>
      <c r="K72" s="725"/>
      <c r="L72" s="728"/>
      <c r="M72" s="728"/>
      <c r="N72" s="725"/>
      <c r="O72" s="725"/>
      <c r="P72" s="728">
        <v>1</v>
      </c>
      <c r="Q72" s="728">
        <v>116</v>
      </c>
      <c r="R72" s="741"/>
      <c r="S72" s="729">
        <v>116</v>
      </c>
    </row>
    <row r="73" spans="1:19" ht="14.4" customHeight="1" x14ac:dyDescent="0.3">
      <c r="A73" s="724" t="s">
        <v>552</v>
      </c>
      <c r="B73" s="725" t="s">
        <v>2982</v>
      </c>
      <c r="C73" s="725" t="s">
        <v>566</v>
      </c>
      <c r="D73" s="725" t="s">
        <v>1906</v>
      </c>
      <c r="E73" s="725" t="s">
        <v>2989</v>
      </c>
      <c r="F73" s="725" t="s">
        <v>3002</v>
      </c>
      <c r="G73" s="725" t="s">
        <v>3003</v>
      </c>
      <c r="H73" s="728"/>
      <c r="I73" s="728"/>
      <c r="J73" s="725"/>
      <c r="K73" s="725"/>
      <c r="L73" s="728">
        <v>3</v>
      </c>
      <c r="M73" s="728">
        <v>378</v>
      </c>
      <c r="N73" s="725">
        <v>1</v>
      </c>
      <c r="O73" s="725">
        <v>126</v>
      </c>
      <c r="P73" s="728"/>
      <c r="Q73" s="728"/>
      <c r="R73" s="741"/>
      <c r="S73" s="729"/>
    </row>
    <row r="74" spans="1:19" ht="14.4" customHeight="1" x14ac:dyDescent="0.3">
      <c r="A74" s="724" t="s">
        <v>552</v>
      </c>
      <c r="B74" s="725" t="s">
        <v>2982</v>
      </c>
      <c r="C74" s="725" t="s">
        <v>566</v>
      </c>
      <c r="D74" s="725" t="s">
        <v>1906</v>
      </c>
      <c r="E74" s="725" t="s">
        <v>2989</v>
      </c>
      <c r="F74" s="725" t="s">
        <v>3010</v>
      </c>
      <c r="G74" s="725" t="s">
        <v>3011</v>
      </c>
      <c r="H74" s="728"/>
      <c r="I74" s="728"/>
      <c r="J74" s="725"/>
      <c r="K74" s="725"/>
      <c r="L74" s="728">
        <v>68</v>
      </c>
      <c r="M74" s="728">
        <v>2266.66</v>
      </c>
      <c r="N74" s="725">
        <v>1</v>
      </c>
      <c r="O74" s="725">
        <v>33.333235294117642</v>
      </c>
      <c r="P74" s="728">
        <v>56</v>
      </c>
      <c r="Q74" s="728">
        <v>1866.6599999999999</v>
      </c>
      <c r="R74" s="741">
        <v>0.82352889273203744</v>
      </c>
      <c r="S74" s="729">
        <v>33.333214285714284</v>
      </c>
    </row>
    <row r="75" spans="1:19" ht="14.4" customHeight="1" x14ac:dyDescent="0.3">
      <c r="A75" s="724" t="s">
        <v>552</v>
      </c>
      <c r="B75" s="725" t="s">
        <v>2982</v>
      </c>
      <c r="C75" s="725" t="s">
        <v>566</v>
      </c>
      <c r="D75" s="725" t="s">
        <v>1906</v>
      </c>
      <c r="E75" s="725" t="s">
        <v>2989</v>
      </c>
      <c r="F75" s="725" t="s">
        <v>3012</v>
      </c>
      <c r="G75" s="725" t="s">
        <v>3013</v>
      </c>
      <c r="H75" s="728">
        <v>104</v>
      </c>
      <c r="I75" s="728">
        <v>24440</v>
      </c>
      <c r="J75" s="725">
        <v>24.342629482071715</v>
      </c>
      <c r="K75" s="725">
        <v>235</v>
      </c>
      <c r="L75" s="728">
        <v>4</v>
      </c>
      <c r="M75" s="728">
        <v>1004</v>
      </c>
      <c r="N75" s="725">
        <v>1</v>
      </c>
      <c r="O75" s="725">
        <v>251</v>
      </c>
      <c r="P75" s="728">
        <v>7</v>
      </c>
      <c r="Q75" s="728">
        <v>1757</v>
      </c>
      <c r="R75" s="741">
        <v>1.75</v>
      </c>
      <c r="S75" s="729">
        <v>251</v>
      </c>
    </row>
    <row r="76" spans="1:19" ht="14.4" customHeight="1" x14ac:dyDescent="0.3">
      <c r="A76" s="724" t="s">
        <v>552</v>
      </c>
      <c r="B76" s="725" t="s">
        <v>2982</v>
      </c>
      <c r="C76" s="725" t="s">
        <v>566</v>
      </c>
      <c r="D76" s="725" t="s">
        <v>1906</v>
      </c>
      <c r="E76" s="725" t="s">
        <v>2989</v>
      </c>
      <c r="F76" s="725" t="s">
        <v>3028</v>
      </c>
      <c r="G76" s="725" t="s">
        <v>3029</v>
      </c>
      <c r="H76" s="728">
        <v>23</v>
      </c>
      <c r="I76" s="728">
        <v>8027</v>
      </c>
      <c r="J76" s="725">
        <v>0.20356563197403124</v>
      </c>
      <c r="K76" s="725">
        <v>349</v>
      </c>
      <c r="L76" s="728">
        <v>106</v>
      </c>
      <c r="M76" s="728">
        <v>39432</v>
      </c>
      <c r="N76" s="725">
        <v>1</v>
      </c>
      <c r="O76" s="725">
        <v>372</v>
      </c>
      <c r="P76" s="728">
        <v>59</v>
      </c>
      <c r="Q76" s="728">
        <v>22007</v>
      </c>
      <c r="R76" s="741">
        <v>0.55810002028809091</v>
      </c>
      <c r="S76" s="729">
        <v>373</v>
      </c>
    </row>
    <row r="77" spans="1:19" ht="14.4" customHeight="1" x14ac:dyDescent="0.3">
      <c r="A77" s="724" t="s">
        <v>552</v>
      </c>
      <c r="B77" s="725" t="s">
        <v>2982</v>
      </c>
      <c r="C77" s="725" t="s">
        <v>566</v>
      </c>
      <c r="D77" s="725" t="s">
        <v>1907</v>
      </c>
      <c r="E77" s="725" t="s">
        <v>2989</v>
      </c>
      <c r="F77" s="725" t="s">
        <v>2992</v>
      </c>
      <c r="G77" s="725" t="s">
        <v>2993</v>
      </c>
      <c r="H77" s="728"/>
      <c r="I77" s="728"/>
      <c r="J77" s="725"/>
      <c r="K77" s="725"/>
      <c r="L77" s="728"/>
      <c r="M77" s="728"/>
      <c r="N77" s="725"/>
      <c r="O77" s="725"/>
      <c r="P77" s="728">
        <v>1</v>
      </c>
      <c r="Q77" s="728">
        <v>37</v>
      </c>
      <c r="R77" s="741"/>
      <c r="S77" s="729">
        <v>37</v>
      </c>
    </row>
    <row r="78" spans="1:19" ht="14.4" customHeight="1" x14ac:dyDescent="0.3">
      <c r="A78" s="724" t="s">
        <v>552</v>
      </c>
      <c r="B78" s="725" t="s">
        <v>2982</v>
      </c>
      <c r="C78" s="725" t="s">
        <v>566</v>
      </c>
      <c r="D78" s="725" t="s">
        <v>1907</v>
      </c>
      <c r="E78" s="725" t="s">
        <v>2989</v>
      </c>
      <c r="F78" s="725" t="s">
        <v>3002</v>
      </c>
      <c r="G78" s="725" t="s">
        <v>3003</v>
      </c>
      <c r="H78" s="728"/>
      <c r="I78" s="728"/>
      <c r="J78" s="725"/>
      <c r="K78" s="725"/>
      <c r="L78" s="728"/>
      <c r="M78" s="728"/>
      <c r="N78" s="725"/>
      <c r="O78" s="725"/>
      <c r="P78" s="728">
        <v>1</v>
      </c>
      <c r="Q78" s="728">
        <v>126</v>
      </c>
      <c r="R78" s="741"/>
      <c r="S78" s="729">
        <v>126</v>
      </c>
    </row>
    <row r="79" spans="1:19" ht="14.4" customHeight="1" x14ac:dyDescent="0.3">
      <c r="A79" s="724" t="s">
        <v>552</v>
      </c>
      <c r="B79" s="725" t="s">
        <v>2982</v>
      </c>
      <c r="C79" s="725" t="s">
        <v>566</v>
      </c>
      <c r="D79" s="725" t="s">
        <v>1907</v>
      </c>
      <c r="E79" s="725" t="s">
        <v>2989</v>
      </c>
      <c r="F79" s="725" t="s">
        <v>3010</v>
      </c>
      <c r="G79" s="725" t="s">
        <v>3011</v>
      </c>
      <c r="H79" s="728"/>
      <c r="I79" s="728"/>
      <c r="J79" s="725"/>
      <c r="K79" s="725"/>
      <c r="L79" s="728"/>
      <c r="M79" s="728"/>
      <c r="N79" s="725"/>
      <c r="O79" s="725"/>
      <c r="P79" s="728">
        <v>1</v>
      </c>
      <c r="Q79" s="728">
        <v>33.33</v>
      </c>
      <c r="R79" s="741"/>
      <c r="S79" s="729">
        <v>33.33</v>
      </c>
    </row>
    <row r="80" spans="1:19" ht="14.4" customHeight="1" x14ac:dyDescent="0.3">
      <c r="A80" s="724" t="s">
        <v>552</v>
      </c>
      <c r="B80" s="725" t="s">
        <v>2982</v>
      </c>
      <c r="C80" s="725" t="s">
        <v>566</v>
      </c>
      <c r="D80" s="725" t="s">
        <v>1907</v>
      </c>
      <c r="E80" s="725" t="s">
        <v>2989</v>
      </c>
      <c r="F80" s="725" t="s">
        <v>3012</v>
      </c>
      <c r="G80" s="725" t="s">
        <v>3013</v>
      </c>
      <c r="H80" s="728"/>
      <c r="I80" s="728"/>
      <c r="J80" s="725"/>
      <c r="K80" s="725"/>
      <c r="L80" s="728"/>
      <c r="M80" s="728"/>
      <c r="N80" s="725"/>
      <c r="O80" s="725"/>
      <c r="P80" s="728">
        <v>1</v>
      </c>
      <c r="Q80" s="728">
        <v>251</v>
      </c>
      <c r="R80" s="741"/>
      <c r="S80" s="729">
        <v>251</v>
      </c>
    </row>
    <row r="81" spans="1:19" ht="14.4" customHeight="1" x14ac:dyDescent="0.3">
      <c r="A81" s="724" t="s">
        <v>552</v>
      </c>
      <c r="B81" s="725" t="s">
        <v>2982</v>
      </c>
      <c r="C81" s="725" t="s">
        <v>566</v>
      </c>
      <c r="D81" s="725" t="s">
        <v>1908</v>
      </c>
      <c r="E81" s="725" t="s">
        <v>2983</v>
      </c>
      <c r="F81" s="725" t="s">
        <v>2984</v>
      </c>
      <c r="G81" s="725" t="s">
        <v>2985</v>
      </c>
      <c r="H81" s="728"/>
      <c r="I81" s="728"/>
      <c r="J81" s="725"/>
      <c r="K81" s="725"/>
      <c r="L81" s="728">
        <v>0.1</v>
      </c>
      <c r="M81" s="728">
        <v>15.1</v>
      </c>
      <c r="N81" s="725">
        <v>1</v>
      </c>
      <c r="O81" s="725">
        <v>151</v>
      </c>
      <c r="P81" s="728"/>
      <c r="Q81" s="728"/>
      <c r="R81" s="741"/>
      <c r="S81" s="729"/>
    </row>
    <row r="82" spans="1:19" ht="14.4" customHeight="1" x14ac:dyDescent="0.3">
      <c r="A82" s="724" t="s">
        <v>552</v>
      </c>
      <c r="B82" s="725" t="s">
        <v>2982</v>
      </c>
      <c r="C82" s="725" t="s">
        <v>566</v>
      </c>
      <c r="D82" s="725" t="s">
        <v>1908</v>
      </c>
      <c r="E82" s="725" t="s">
        <v>2989</v>
      </c>
      <c r="F82" s="725" t="s">
        <v>2990</v>
      </c>
      <c r="G82" s="725" t="s">
        <v>2991</v>
      </c>
      <c r="H82" s="728">
        <v>1</v>
      </c>
      <c r="I82" s="728">
        <v>81</v>
      </c>
      <c r="J82" s="725">
        <v>0.13941480206540446</v>
      </c>
      <c r="K82" s="725">
        <v>81</v>
      </c>
      <c r="L82" s="728">
        <v>7</v>
      </c>
      <c r="M82" s="728">
        <v>581</v>
      </c>
      <c r="N82" s="725">
        <v>1</v>
      </c>
      <c r="O82" s="725">
        <v>83</v>
      </c>
      <c r="P82" s="728">
        <v>7</v>
      </c>
      <c r="Q82" s="728">
        <v>581</v>
      </c>
      <c r="R82" s="741">
        <v>1</v>
      </c>
      <c r="S82" s="729">
        <v>83</v>
      </c>
    </row>
    <row r="83" spans="1:19" ht="14.4" customHeight="1" x14ac:dyDescent="0.3">
      <c r="A83" s="724" t="s">
        <v>552</v>
      </c>
      <c r="B83" s="725" t="s">
        <v>2982</v>
      </c>
      <c r="C83" s="725" t="s">
        <v>566</v>
      </c>
      <c r="D83" s="725" t="s">
        <v>1908</v>
      </c>
      <c r="E83" s="725" t="s">
        <v>2989</v>
      </c>
      <c r="F83" s="725" t="s">
        <v>2992</v>
      </c>
      <c r="G83" s="725" t="s">
        <v>2993</v>
      </c>
      <c r="H83" s="728">
        <v>3</v>
      </c>
      <c r="I83" s="728">
        <v>105</v>
      </c>
      <c r="J83" s="725">
        <v>1.4189189189189189</v>
      </c>
      <c r="K83" s="725">
        <v>35</v>
      </c>
      <c r="L83" s="728">
        <v>2</v>
      </c>
      <c r="M83" s="728">
        <v>74</v>
      </c>
      <c r="N83" s="725">
        <v>1</v>
      </c>
      <c r="O83" s="725">
        <v>37</v>
      </c>
      <c r="P83" s="728">
        <v>12</v>
      </c>
      <c r="Q83" s="728">
        <v>444</v>
      </c>
      <c r="R83" s="741">
        <v>6</v>
      </c>
      <c r="S83" s="729">
        <v>37</v>
      </c>
    </row>
    <row r="84" spans="1:19" ht="14.4" customHeight="1" x14ac:dyDescent="0.3">
      <c r="A84" s="724" t="s">
        <v>552</v>
      </c>
      <c r="B84" s="725" t="s">
        <v>2982</v>
      </c>
      <c r="C84" s="725" t="s">
        <v>566</v>
      </c>
      <c r="D84" s="725" t="s">
        <v>1908</v>
      </c>
      <c r="E84" s="725" t="s">
        <v>2989</v>
      </c>
      <c r="F84" s="725" t="s">
        <v>3002</v>
      </c>
      <c r="G84" s="725" t="s">
        <v>3003</v>
      </c>
      <c r="H84" s="728">
        <v>139</v>
      </c>
      <c r="I84" s="728">
        <v>16402</v>
      </c>
      <c r="J84" s="725">
        <v>1.2762215997510116</v>
      </c>
      <c r="K84" s="725">
        <v>118</v>
      </c>
      <c r="L84" s="728">
        <v>102</v>
      </c>
      <c r="M84" s="728">
        <v>12852</v>
      </c>
      <c r="N84" s="725">
        <v>1</v>
      </c>
      <c r="O84" s="725">
        <v>126</v>
      </c>
      <c r="P84" s="728">
        <v>133</v>
      </c>
      <c r="Q84" s="728">
        <v>16758</v>
      </c>
      <c r="R84" s="741">
        <v>1.303921568627451</v>
      </c>
      <c r="S84" s="729">
        <v>126</v>
      </c>
    </row>
    <row r="85" spans="1:19" ht="14.4" customHeight="1" x14ac:dyDescent="0.3">
      <c r="A85" s="724" t="s">
        <v>552</v>
      </c>
      <c r="B85" s="725" t="s">
        <v>2982</v>
      </c>
      <c r="C85" s="725" t="s">
        <v>566</v>
      </c>
      <c r="D85" s="725" t="s">
        <v>1908</v>
      </c>
      <c r="E85" s="725" t="s">
        <v>2989</v>
      </c>
      <c r="F85" s="725" t="s">
        <v>3006</v>
      </c>
      <c r="G85" s="725" t="s">
        <v>3007</v>
      </c>
      <c r="H85" s="728"/>
      <c r="I85" s="728"/>
      <c r="J85" s="725"/>
      <c r="K85" s="725"/>
      <c r="L85" s="728">
        <v>1</v>
      </c>
      <c r="M85" s="728">
        <v>1677</v>
      </c>
      <c r="N85" s="725">
        <v>1</v>
      </c>
      <c r="O85" s="725">
        <v>1677</v>
      </c>
      <c r="P85" s="728"/>
      <c r="Q85" s="728"/>
      <c r="R85" s="741"/>
      <c r="S85" s="729"/>
    </row>
    <row r="86" spans="1:19" ht="14.4" customHeight="1" x14ac:dyDescent="0.3">
      <c r="A86" s="724" t="s">
        <v>552</v>
      </c>
      <c r="B86" s="725" t="s">
        <v>2982</v>
      </c>
      <c r="C86" s="725" t="s">
        <v>566</v>
      </c>
      <c r="D86" s="725" t="s">
        <v>1908</v>
      </c>
      <c r="E86" s="725" t="s">
        <v>2989</v>
      </c>
      <c r="F86" s="725" t="s">
        <v>3010</v>
      </c>
      <c r="G86" s="725" t="s">
        <v>3011</v>
      </c>
      <c r="H86" s="728"/>
      <c r="I86" s="728"/>
      <c r="J86" s="725"/>
      <c r="K86" s="725"/>
      <c r="L86" s="728">
        <v>163</v>
      </c>
      <c r="M86" s="728">
        <v>5433.32</v>
      </c>
      <c r="N86" s="725">
        <v>1</v>
      </c>
      <c r="O86" s="725">
        <v>33.333251533742327</v>
      </c>
      <c r="P86" s="728">
        <v>278</v>
      </c>
      <c r="Q86" s="728">
        <v>9266.66</v>
      </c>
      <c r="R86" s="741">
        <v>1.7055244307347994</v>
      </c>
      <c r="S86" s="729">
        <v>33.333309352517986</v>
      </c>
    </row>
    <row r="87" spans="1:19" ht="14.4" customHeight="1" x14ac:dyDescent="0.3">
      <c r="A87" s="724" t="s">
        <v>552</v>
      </c>
      <c r="B87" s="725" t="s">
        <v>2982</v>
      </c>
      <c r="C87" s="725" t="s">
        <v>566</v>
      </c>
      <c r="D87" s="725" t="s">
        <v>1908</v>
      </c>
      <c r="E87" s="725" t="s">
        <v>2989</v>
      </c>
      <c r="F87" s="725" t="s">
        <v>3012</v>
      </c>
      <c r="G87" s="725" t="s">
        <v>3013</v>
      </c>
      <c r="H87" s="728">
        <v>125</v>
      </c>
      <c r="I87" s="728">
        <v>29375</v>
      </c>
      <c r="J87" s="725">
        <v>0.69249628704118438</v>
      </c>
      <c r="K87" s="725">
        <v>235</v>
      </c>
      <c r="L87" s="728">
        <v>169</v>
      </c>
      <c r="M87" s="728">
        <v>42419</v>
      </c>
      <c r="N87" s="725">
        <v>1</v>
      </c>
      <c r="O87" s="725">
        <v>251</v>
      </c>
      <c r="P87" s="728">
        <v>127</v>
      </c>
      <c r="Q87" s="728">
        <v>31877</v>
      </c>
      <c r="R87" s="741">
        <v>0.75147928994082835</v>
      </c>
      <c r="S87" s="729">
        <v>251</v>
      </c>
    </row>
    <row r="88" spans="1:19" ht="14.4" customHeight="1" x14ac:dyDescent="0.3">
      <c r="A88" s="724" t="s">
        <v>552</v>
      </c>
      <c r="B88" s="725" t="s">
        <v>2982</v>
      </c>
      <c r="C88" s="725" t="s">
        <v>566</v>
      </c>
      <c r="D88" s="725" t="s">
        <v>1908</v>
      </c>
      <c r="E88" s="725" t="s">
        <v>2989</v>
      </c>
      <c r="F88" s="725" t="s">
        <v>3018</v>
      </c>
      <c r="G88" s="725" t="s">
        <v>3019</v>
      </c>
      <c r="H88" s="728"/>
      <c r="I88" s="728"/>
      <c r="J88" s="725"/>
      <c r="K88" s="725"/>
      <c r="L88" s="728">
        <v>1</v>
      </c>
      <c r="M88" s="728">
        <v>86</v>
      </c>
      <c r="N88" s="725">
        <v>1</v>
      </c>
      <c r="O88" s="725">
        <v>86</v>
      </c>
      <c r="P88" s="728"/>
      <c r="Q88" s="728"/>
      <c r="R88" s="741"/>
      <c r="S88" s="729"/>
    </row>
    <row r="89" spans="1:19" ht="14.4" customHeight="1" x14ac:dyDescent="0.3">
      <c r="A89" s="724" t="s">
        <v>552</v>
      </c>
      <c r="B89" s="725" t="s">
        <v>2982</v>
      </c>
      <c r="C89" s="725" t="s">
        <v>566</v>
      </c>
      <c r="D89" s="725" t="s">
        <v>1908</v>
      </c>
      <c r="E89" s="725" t="s">
        <v>2989</v>
      </c>
      <c r="F89" s="725" t="s">
        <v>3022</v>
      </c>
      <c r="G89" s="725" t="s">
        <v>3023</v>
      </c>
      <c r="H89" s="728">
        <v>2</v>
      </c>
      <c r="I89" s="728">
        <v>228</v>
      </c>
      <c r="J89" s="725">
        <v>0.93442622950819676</v>
      </c>
      <c r="K89" s="725">
        <v>114</v>
      </c>
      <c r="L89" s="728">
        <v>2</v>
      </c>
      <c r="M89" s="728">
        <v>244</v>
      </c>
      <c r="N89" s="725">
        <v>1</v>
      </c>
      <c r="O89" s="725">
        <v>122</v>
      </c>
      <c r="P89" s="728"/>
      <c r="Q89" s="728"/>
      <c r="R89" s="741"/>
      <c r="S89" s="729"/>
    </row>
    <row r="90" spans="1:19" ht="14.4" customHeight="1" x14ac:dyDescent="0.3">
      <c r="A90" s="724" t="s">
        <v>552</v>
      </c>
      <c r="B90" s="725" t="s">
        <v>2982</v>
      </c>
      <c r="C90" s="725" t="s">
        <v>566</v>
      </c>
      <c r="D90" s="725" t="s">
        <v>1908</v>
      </c>
      <c r="E90" s="725" t="s">
        <v>2989</v>
      </c>
      <c r="F90" s="725" t="s">
        <v>3024</v>
      </c>
      <c r="G90" s="725" t="s">
        <v>3025</v>
      </c>
      <c r="H90" s="728"/>
      <c r="I90" s="728"/>
      <c r="J90" s="725"/>
      <c r="K90" s="725"/>
      <c r="L90" s="728"/>
      <c r="M90" s="728"/>
      <c r="N90" s="725"/>
      <c r="O90" s="725"/>
      <c r="P90" s="728">
        <v>1</v>
      </c>
      <c r="Q90" s="728">
        <v>183</v>
      </c>
      <c r="R90" s="741"/>
      <c r="S90" s="729">
        <v>183</v>
      </c>
    </row>
    <row r="91" spans="1:19" ht="14.4" customHeight="1" x14ac:dyDescent="0.3">
      <c r="A91" s="724" t="s">
        <v>552</v>
      </c>
      <c r="B91" s="725" t="s">
        <v>2982</v>
      </c>
      <c r="C91" s="725" t="s">
        <v>566</v>
      </c>
      <c r="D91" s="725" t="s">
        <v>1908</v>
      </c>
      <c r="E91" s="725" t="s">
        <v>2989</v>
      </c>
      <c r="F91" s="725" t="s">
        <v>3028</v>
      </c>
      <c r="G91" s="725" t="s">
        <v>3029</v>
      </c>
      <c r="H91" s="728">
        <v>1</v>
      </c>
      <c r="I91" s="728">
        <v>349</v>
      </c>
      <c r="J91" s="725">
        <v>9.3817204301075263E-2</v>
      </c>
      <c r="K91" s="725">
        <v>349</v>
      </c>
      <c r="L91" s="728">
        <v>10</v>
      </c>
      <c r="M91" s="728">
        <v>3720</v>
      </c>
      <c r="N91" s="725">
        <v>1</v>
      </c>
      <c r="O91" s="725">
        <v>372</v>
      </c>
      <c r="P91" s="728">
        <v>22</v>
      </c>
      <c r="Q91" s="728">
        <v>8206</v>
      </c>
      <c r="R91" s="741">
        <v>2.2059139784946238</v>
      </c>
      <c r="S91" s="729">
        <v>373</v>
      </c>
    </row>
    <row r="92" spans="1:19" ht="14.4" customHeight="1" x14ac:dyDescent="0.3">
      <c r="A92" s="724" t="s">
        <v>552</v>
      </c>
      <c r="B92" s="725" t="s">
        <v>2982</v>
      </c>
      <c r="C92" s="725" t="s">
        <v>566</v>
      </c>
      <c r="D92" s="725" t="s">
        <v>1909</v>
      </c>
      <c r="E92" s="725" t="s">
        <v>2983</v>
      </c>
      <c r="F92" s="725" t="s">
        <v>2984</v>
      </c>
      <c r="G92" s="725" t="s">
        <v>2985</v>
      </c>
      <c r="H92" s="728"/>
      <c r="I92" s="728"/>
      <c r="J92" s="725"/>
      <c r="K92" s="725"/>
      <c r="L92" s="728">
        <v>0.1</v>
      </c>
      <c r="M92" s="728">
        <v>15.1</v>
      </c>
      <c r="N92" s="725">
        <v>1</v>
      </c>
      <c r="O92" s="725">
        <v>151</v>
      </c>
      <c r="P92" s="728"/>
      <c r="Q92" s="728"/>
      <c r="R92" s="741"/>
      <c r="S92" s="729"/>
    </row>
    <row r="93" spans="1:19" ht="14.4" customHeight="1" x14ac:dyDescent="0.3">
      <c r="A93" s="724" t="s">
        <v>552</v>
      </c>
      <c r="B93" s="725" t="s">
        <v>2982</v>
      </c>
      <c r="C93" s="725" t="s">
        <v>566</v>
      </c>
      <c r="D93" s="725" t="s">
        <v>1909</v>
      </c>
      <c r="E93" s="725" t="s">
        <v>2989</v>
      </c>
      <c r="F93" s="725" t="s">
        <v>2990</v>
      </c>
      <c r="G93" s="725" t="s">
        <v>2991</v>
      </c>
      <c r="H93" s="728">
        <v>6</v>
      </c>
      <c r="I93" s="728">
        <v>486</v>
      </c>
      <c r="J93" s="725">
        <v>2.927710843373494</v>
      </c>
      <c r="K93" s="725">
        <v>81</v>
      </c>
      <c r="L93" s="728">
        <v>2</v>
      </c>
      <c r="M93" s="728">
        <v>166</v>
      </c>
      <c r="N93" s="725">
        <v>1</v>
      </c>
      <c r="O93" s="725">
        <v>83</v>
      </c>
      <c r="P93" s="728"/>
      <c r="Q93" s="728"/>
      <c r="R93" s="741"/>
      <c r="S93" s="729"/>
    </row>
    <row r="94" spans="1:19" ht="14.4" customHeight="1" x14ac:dyDescent="0.3">
      <c r="A94" s="724" t="s">
        <v>552</v>
      </c>
      <c r="B94" s="725" t="s">
        <v>2982</v>
      </c>
      <c r="C94" s="725" t="s">
        <v>566</v>
      </c>
      <c r="D94" s="725" t="s">
        <v>1909</v>
      </c>
      <c r="E94" s="725" t="s">
        <v>2989</v>
      </c>
      <c r="F94" s="725" t="s">
        <v>2998</v>
      </c>
      <c r="G94" s="725" t="s">
        <v>2999</v>
      </c>
      <c r="H94" s="728"/>
      <c r="I94" s="728"/>
      <c r="J94" s="725"/>
      <c r="K94" s="725"/>
      <c r="L94" s="728">
        <v>1</v>
      </c>
      <c r="M94" s="728">
        <v>116</v>
      </c>
      <c r="N94" s="725">
        <v>1</v>
      </c>
      <c r="O94" s="725">
        <v>116</v>
      </c>
      <c r="P94" s="728"/>
      <c r="Q94" s="728"/>
      <c r="R94" s="741"/>
      <c r="S94" s="729"/>
    </row>
    <row r="95" spans="1:19" ht="14.4" customHeight="1" x14ac:dyDescent="0.3">
      <c r="A95" s="724" t="s">
        <v>552</v>
      </c>
      <c r="B95" s="725" t="s">
        <v>2982</v>
      </c>
      <c r="C95" s="725" t="s">
        <v>566</v>
      </c>
      <c r="D95" s="725" t="s">
        <v>1909</v>
      </c>
      <c r="E95" s="725" t="s">
        <v>2989</v>
      </c>
      <c r="F95" s="725" t="s">
        <v>3002</v>
      </c>
      <c r="G95" s="725" t="s">
        <v>3003</v>
      </c>
      <c r="H95" s="728">
        <v>1</v>
      </c>
      <c r="I95" s="728">
        <v>118</v>
      </c>
      <c r="J95" s="725">
        <v>0.93650793650793651</v>
      </c>
      <c r="K95" s="725">
        <v>118</v>
      </c>
      <c r="L95" s="728">
        <v>1</v>
      </c>
      <c r="M95" s="728">
        <v>126</v>
      </c>
      <c r="N95" s="725">
        <v>1</v>
      </c>
      <c r="O95" s="725">
        <v>126</v>
      </c>
      <c r="P95" s="728">
        <v>23</v>
      </c>
      <c r="Q95" s="728">
        <v>2898</v>
      </c>
      <c r="R95" s="741">
        <v>23</v>
      </c>
      <c r="S95" s="729">
        <v>126</v>
      </c>
    </row>
    <row r="96" spans="1:19" ht="14.4" customHeight="1" x14ac:dyDescent="0.3">
      <c r="A96" s="724" t="s">
        <v>552</v>
      </c>
      <c r="B96" s="725" t="s">
        <v>2982</v>
      </c>
      <c r="C96" s="725" t="s">
        <v>566</v>
      </c>
      <c r="D96" s="725" t="s">
        <v>1909</v>
      </c>
      <c r="E96" s="725" t="s">
        <v>2989</v>
      </c>
      <c r="F96" s="725" t="s">
        <v>3006</v>
      </c>
      <c r="G96" s="725" t="s">
        <v>3007</v>
      </c>
      <c r="H96" s="728"/>
      <c r="I96" s="728"/>
      <c r="J96" s="725"/>
      <c r="K96" s="725"/>
      <c r="L96" s="728">
        <v>1</v>
      </c>
      <c r="M96" s="728">
        <v>1677</v>
      </c>
      <c r="N96" s="725">
        <v>1</v>
      </c>
      <c r="O96" s="725">
        <v>1677</v>
      </c>
      <c r="P96" s="728"/>
      <c r="Q96" s="728"/>
      <c r="R96" s="741"/>
      <c r="S96" s="729"/>
    </row>
    <row r="97" spans="1:19" ht="14.4" customHeight="1" x14ac:dyDescent="0.3">
      <c r="A97" s="724" t="s">
        <v>552</v>
      </c>
      <c r="B97" s="725" t="s">
        <v>2982</v>
      </c>
      <c r="C97" s="725" t="s">
        <v>566</v>
      </c>
      <c r="D97" s="725" t="s">
        <v>1909</v>
      </c>
      <c r="E97" s="725" t="s">
        <v>2989</v>
      </c>
      <c r="F97" s="725" t="s">
        <v>3010</v>
      </c>
      <c r="G97" s="725" t="s">
        <v>3011</v>
      </c>
      <c r="H97" s="728"/>
      <c r="I97" s="728"/>
      <c r="J97" s="725"/>
      <c r="K97" s="725"/>
      <c r="L97" s="728">
        <v>233</v>
      </c>
      <c r="M97" s="728">
        <v>7766.66</v>
      </c>
      <c r="N97" s="725">
        <v>1</v>
      </c>
      <c r="O97" s="725">
        <v>33.333304721030039</v>
      </c>
      <c r="P97" s="728">
        <v>309</v>
      </c>
      <c r="Q97" s="728">
        <v>10300</v>
      </c>
      <c r="R97" s="741">
        <v>1.3261813958638591</v>
      </c>
      <c r="S97" s="729">
        <v>33.333333333333336</v>
      </c>
    </row>
    <row r="98" spans="1:19" ht="14.4" customHeight="1" x14ac:dyDescent="0.3">
      <c r="A98" s="724" t="s">
        <v>552</v>
      </c>
      <c r="B98" s="725" t="s">
        <v>2982</v>
      </c>
      <c r="C98" s="725" t="s">
        <v>566</v>
      </c>
      <c r="D98" s="725" t="s">
        <v>1909</v>
      </c>
      <c r="E98" s="725" t="s">
        <v>2989</v>
      </c>
      <c r="F98" s="725" t="s">
        <v>3012</v>
      </c>
      <c r="G98" s="725" t="s">
        <v>3013</v>
      </c>
      <c r="H98" s="728">
        <v>386</v>
      </c>
      <c r="I98" s="728">
        <v>90710</v>
      </c>
      <c r="J98" s="725">
        <v>0.93868681119677133</v>
      </c>
      <c r="K98" s="725">
        <v>235</v>
      </c>
      <c r="L98" s="728">
        <v>385</v>
      </c>
      <c r="M98" s="728">
        <v>96635</v>
      </c>
      <c r="N98" s="725">
        <v>1</v>
      </c>
      <c r="O98" s="725">
        <v>251</v>
      </c>
      <c r="P98" s="728">
        <v>363</v>
      </c>
      <c r="Q98" s="728">
        <v>91113</v>
      </c>
      <c r="R98" s="741">
        <v>0.94285714285714284</v>
      </c>
      <c r="S98" s="729">
        <v>251</v>
      </c>
    </row>
    <row r="99" spans="1:19" ht="14.4" customHeight="1" x14ac:dyDescent="0.3">
      <c r="A99" s="724" t="s">
        <v>552</v>
      </c>
      <c r="B99" s="725" t="s">
        <v>2982</v>
      </c>
      <c r="C99" s="725" t="s">
        <v>566</v>
      </c>
      <c r="D99" s="725" t="s">
        <v>1909</v>
      </c>
      <c r="E99" s="725" t="s">
        <v>2989</v>
      </c>
      <c r="F99" s="725" t="s">
        <v>3014</v>
      </c>
      <c r="G99" s="725" t="s">
        <v>3015</v>
      </c>
      <c r="H99" s="728">
        <v>27</v>
      </c>
      <c r="I99" s="728">
        <v>2916</v>
      </c>
      <c r="J99" s="725">
        <v>0.78556034482758619</v>
      </c>
      <c r="K99" s="725">
        <v>108</v>
      </c>
      <c r="L99" s="728">
        <v>32</v>
      </c>
      <c r="M99" s="728">
        <v>3712</v>
      </c>
      <c r="N99" s="725">
        <v>1</v>
      </c>
      <c r="O99" s="725">
        <v>116</v>
      </c>
      <c r="P99" s="728">
        <v>49</v>
      </c>
      <c r="Q99" s="728">
        <v>5684</v>
      </c>
      <c r="R99" s="741">
        <v>1.53125</v>
      </c>
      <c r="S99" s="729">
        <v>116</v>
      </c>
    </row>
    <row r="100" spans="1:19" ht="14.4" customHeight="1" x14ac:dyDescent="0.3">
      <c r="A100" s="724" t="s">
        <v>552</v>
      </c>
      <c r="B100" s="725" t="s">
        <v>2982</v>
      </c>
      <c r="C100" s="725" t="s">
        <v>566</v>
      </c>
      <c r="D100" s="725" t="s">
        <v>1909</v>
      </c>
      <c r="E100" s="725" t="s">
        <v>2989</v>
      </c>
      <c r="F100" s="725" t="s">
        <v>3018</v>
      </c>
      <c r="G100" s="725" t="s">
        <v>3019</v>
      </c>
      <c r="H100" s="728"/>
      <c r="I100" s="728"/>
      <c r="J100" s="725"/>
      <c r="K100" s="725"/>
      <c r="L100" s="728">
        <v>1</v>
      </c>
      <c r="M100" s="728">
        <v>86</v>
      </c>
      <c r="N100" s="725">
        <v>1</v>
      </c>
      <c r="O100" s="725">
        <v>86</v>
      </c>
      <c r="P100" s="728"/>
      <c r="Q100" s="728"/>
      <c r="R100" s="741"/>
      <c r="S100" s="729"/>
    </row>
    <row r="101" spans="1:19" ht="14.4" customHeight="1" x14ac:dyDescent="0.3">
      <c r="A101" s="724" t="s">
        <v>552</v>
      </c>
      <c r="B101" s="725" t="s">
        <v>2982</v>
      </c>
      <c r="C101" s="725" t="s">
        <v>566</v>
      </c>
      <c r="D101" s="725" t="s">
        <v>1909</v>
      </c>
      <c r="E101" s="725" t="s">
        <v>2989</v>
      </c>
      <c r="F101" s="725" t="s">
        <v>3024</v>
      </c>
      <c r="G101" s="725" t="s">
        <v>3025</v>
      </c>
      <c r="H101" s="728">
        <v>9</v>
      </c>
      <c r="I101" s="728">
        <v>1611</v>
      </c>
      <c r="J101" s="725">
        <v>0.67717528373266078</v>
      </c>
      <c r="K101" s="725">
        <v>179</v>
      </c>
      <c r="L101" s="728">
        <v>13</v>
      </c>
      <c r="M101" s="728">
        <v>2379</v>
      </c>
      <c r="N101" s="725">
        <v>1</v>
      </c>
      <c r="O101" s="725">
        <v>183</v>
      </c>
      <c r="P101" s="728">
        <v>12</v>
      </c>
      <c r="Q101" s="728">
        <v>2196</v>
      </c>
      <c r="R101" s="741">
        <v>0.92307692307692313</v>
      </c>
      <c r="S101" s="729">
        <v>183</v>
      </c>
    </row>
    <row r="102" spans="1:19" ht="14.4" customHeight="1" x14ac:dyDescent="0.3">
      <c r="A102" s="724" t="s">
        <v>552</v>
      </c>
      <c r="B102" s="725" t="s">
        <v>2982</v>
      </c>
      <c r="C102" s="725" t="s">
        <v>566</v>
      </c>
      <c r="D102" s="725" t="s">
        <v>1910</v>
      </c>
      <c r="E102" s="725" t="s">
        <v>2989</v>
      </c>
      <c r="F102" s="725" t="s">
        <v>2990</v>
      </c>
      <c r="G102" s="725" t="s">
        <v>2991</v>
      </c>
      <c r="H102" s="728">
        <v>6</v>
      </c>
      <c r="I102" s="728">
        <v>486</v>
      </c>
      <c r="J102" s="725">
        <v>2.927710843373494</v>
      </c>
      <c r="K102" s="725">
        <v>81</v>
      </c>
      <c r="L102" s="728">
        <v>2</v>
      </c>
      <c r="M102" s="728">
        <v>166</v>
      </c>
      <c r="N102" s="725">
        <v>1</v>
      </c>
      <c r="O102" s="725">
        <v>83</v>
      </c>
      <c r="P102" s="728">
        <v>3</v>
      </c>
      <c r="Q102" s="728">
        <v>249</v>
      </c>
      <c r="R102" s="741">
        <v>1.5</v>
      </c>
      <c r="S102" s="729">
        <v>83</v>
      </c>
    </row>
    <row r="103" spans="1:19" ht="14.4" customHeight="1" x14ac:dyDescent="0.3">
      <c r="A103" s="724" t="s">
        <v>552</v>
      </c>
      <c r="B103" s="725" t="s">
        <v>2982</v>
      </c>
      <c r="C103" s="725" t="s">
        <v>566</v>
      </c>
      <c r="D103" s="725" t="s">
        <v>1910</v>
      </c>
      <c r="E103" s="725" t="s">
        <v>2989</v>
      </c>
      <c r="F103" s="725" t="s">
        <v>2992</v>
      </c>
      <c r="G103" s="725" t="s">
        <v>2993</v>
      </c>
      <c r="H103" s="728">
        <v>1</v>
      </c>
      <c r="I103" s="728">
        <v>35</v>
      </c>
      <c r="J103" s="725">
        <v>0.15765765765765766</v>
      </c>
      <c r="K103" s="725">
        <v>35</v>
      </c>
      <c r="L103" s="728">
        <v>6</v>
      </c>
      <c r="M103" s="728">
        <v>222</v>
      </c>
      <c r="N103" s="725">
        <v>1</v>
      </c>
      <c r="O103" s="725">
        <v>37</v>
      </c>
      <c r="P103" s="728"/>
      <c r="Q103" s="728"/>
      <c r="R103" s="741"/>
      <c r="S103" s="729"/>
    </row>
    <row r="104" spans="1:19" ht="14.4" customHeight="1" x14ac:dyDescent="0.3">
      <c r="A104" s="724" t="s">
        <v>552</v>
      </c>
      <c r="B104" s="725" t="s">
        <v>2982</v>
      </c>
      <c r="C104" s="725" t="s">
        <v>566</v>
      </c>
      <c r="D104" s="725" t="s">
        <v>1910</v>
      </c>
      <c r="E104" s="725" t="s">
        <v>2989</v>
      </c>
      <c r="F104" s="725" t="s">
        <v>3002</v>
      </c>
      <c r="G104" s="725" t="s">
        <v>3003</v>
      </c>
      <c r="H104" s="728">
        <v>62</v>
      </c>
      <c r="I104" s="728">
        <v>7316</v>
      </c>
      <c r="J104" s="725">
        <v>0.38968786619793333</v>
      </c>
      <c r="K104" s="725">
        <v>118</v>
      </c>
      <c r="L104" s="728">
        <v>149</v>
      </c>
      <c r="M104" s="728">
        <v>18774</v>
      </c>
      <c r="N104" s="725">
        <v>1</v>
      </c>
      <c r="O104" s="725">
        <v>126</v>
      </c>
      <c r="P104" s="728">
        <v>192</v>
      </c>
      <c r="Q104" s="728">
        <v>24192</v>
      </c>
      <c r="R104" s="741">
        <v>1.2885906040268456</v>
      </c>
      <c r="S104" s="729">
        <v>126</v>
      </c>
    </row>
    <row r="105" spans="1:19" ht="14.4" customHeight="1" x14ac:dyDescent="0.3">
      <c r="A105" s="724" t="s">
        <v>552</v>
      </c>
      <c r="B105" s="725" t="s">
        <v>2982</v>
      </c>
      <c r="C105" s="725" t="s">
        <v>566</v>
      </c>
      <c r="D105" s="725" t="s">
        <v>1910</v>
      </c>
      <c r="E105" s="725" t="s">
        <v>2989</v>
      </c>
      <c r="F105" s="725" t="s">
        <v>3010</v>
      </c>
      <c r="G105" s="725" t="s">
        <v>3011</v>
      </c>
      <c r="H105" s="728"/>
      <c r="I105" s="728"/>
      <c r="J105" s="725"/>
      <c r="K105" s="725"/>
      <c r="L105" s="728">
        <v>157</v>
      </c>
      <c r="M105" s="728">
        <v>5233.32</v>
      </c>
      <c r="N105" s="725">
        <v>1</v>
      </c>
      <c r="O105" s="725">
        <v>33.33324840764331</v>
      </c>
      <c r="P105" s="728">
        <v>232</v>
      </c>
      <c r="Q105" s="728">
        <v>7733.32</v>
      </c>
      <c r="R105" s="741">
        <v>1.4777082234604419</v>
      </c>
      <c r="S105" s="729">
        <v>33.333275862068966</v>
      </c>
    </row>
    <row r="106" spans="1:19" ht="14.4" customHeight="1" x14ac:dyDescent="0.3">
      <c r="A106" s="724" t="s">
        <v>552</v>
      </c>
      <c r="B106" s="725" t="s">
        <v>2982</v>
      </c>
      <c r="C106" s="725" t="s">
        <v>566</v>
      </c>
      <c r="D106" s="725" t="s">
        <v>1910</v>
      </c>
      <c r="E106" s="725" t="s">
        <v>2989</v>
      </c>
      <c r="F106" s="725" t="s">
        <v>3012</v>
      </c>
      <c r="G106" s="725" t="s">
        <v>3013</v>
      </c>
      <c r="H106" s="728">
        <v>54</v>
      </c>
      <c r="I106" s="728">
        <v>12690</v>
      </c>
      <c r="J106" s="725">
        <v>0.47696008419153574</v>
      </c>
      <c r="K106" s="725">
        <v>235</v>
      </c>
      <c r="L106" s="728">
        <v>106</v>
      </c>
      <c r="M106" s="728">
        <v>26606</v>
      </c>
      <c r="N106" s="725">
        <v>1</v>
      </c>
      <c r="O106" s="725">
        <v>251</v>
      </c>
      <c r="P106" s="728">
        <v>49</v>
      </c>
      <c r="Q106" s="728">
        <v>12299</v>
      </c>
      <c r="R106" s="741">
        <v>0.46226415094339623</v>
      </c>
      <c r="S106" s="729">
        <v>251</v>
      </c>
    </row>
    <row r="107" spans="1:19" ht="14.4" customHeight="1" x14ac:dyDescent="0.3">
      <c r="A107" s="724" t="s">
        <v>552</v>
      </c>
      <c r="B107" s="725" t="s">
        <v>2982</v>
      </c>
      <c r="C107" s="725" t="s">
        <v>566</v>
      </c>
      <c r="D107" s="725" t="s">
        <v>1910</v>
      </c>
      <c r="E107" s="725" t="s">
        <v>2989</v>
      </c>
      <c r="F107" s="725" t="s">
        <v>3024</v>
      </c>
      <c r="G107" s="725" t="s">
        <v>3025</v>
      </c>
      <c r="H107" s="728">
        <v>1</v>
      </c>
      <c r="I107" s="728">
        <v>179</v>
      </c>
      <c r="J107" s="725"/>
      <c r="K107" s="725">
        <v>179</v>
      </c>
      <c r="L107" s="728"/>
      <c r="M107" s="728"/>
      <c r="N107" s="725"/>
      <c r="O107" s="725"/>
      <c r="P107" s="728"/>
      <c r="Q107" s="728"/>
      <c r="R107" s="741"/>
      <c r="S107" s="729"/>
    </row>
    <row r="108" spans="1:19" ht="14.4" customHeight="1" x14ac:dyDescent="0.3">
      <c r="A108" s="724" t="s">
        <v>552</v>
      </c>
      <c r="B108" s="725" t="s">
        <v>2982</v>
      </c>
      <c r="C108" s="725" t="s">
        <v>566</v>
      </c>
      <c r="D108" s="725" t="s">
        <v>1911</v>
      </c>
      <c r="E108" s="725" t="s">
        <v>2983</v>
      </c>
      <c r="F108" s="725" t="s">
        <v>2984</v>
      </c>
      <c r="G108" s="725" t="s">
        <v>2985</v>
      </c>
      <c r="H108" s="728"/>
      <c r="I108" s="728"/>
      <c r="J108" s="725"/>
      <c r="K108" s="725"/>
      <c r="L108" s="728">
        <v>0.30000000000000004</v>
      </c>
      <c r="M108" s="728">
        <v>45.3</v>
      </c>
      <c r="N108" s="725">
        <v>1</v>
      </c>
      <c r="O108" s="725">
        <v>150.99999999999997</v>
      </c>
      <c r="P108" s="728"/>
      <c r="Q108" s="728"/>
      <c r="R108" s="741"/>
      <c r="S108" s="729"/>
    </row>
    <row r="109" spans="1:19" ht="14.4" customHeight="1" x14ac:dyDescent="0.3">
      <c r="A109" s="724" t="s">
        <v>552</v>
      </c>
      <c r="B109" s="725" t="s">
        <v>2982</v>
      </c>
      <c r="C109" s="725" t="s">
        <v>566</v>
      </c>
      <c r="D109" s="725" t="s">
        <v>1911</v>
      </c>
      <c r="E109" s="725" t="s">
        <v>2989</v>
      </c>
      <c r="F109" s="725" t="s">
        <v>2990</v>
      </c>
      <c r="G109" s="725" t="s">
        <v>2991</v>
      </c>
      <c r="H109" s="728">
        <v>6</v>
      </c>
      <c r="I109" s="728">
        <v>486</v>
      </c>
      <c r="J109" s="725">
        <v>5.8554216867469879</v>
      </c>
      <c r="K109" s="725">
        <v>81</v>
      </c>
      <c r="L109" s="728">
        <v>1</v>
      </c>
      <c r="M109" s="728">
        <v>83</v>
      </c>
      <c r="N109" s="725">
        <v>1</v>
      </c>
      <c r="O109" s="725">
        <v>83</v>
      </c>
      <c r="P109" s="728">
        <v>3</v>
      </c>
      <c r="Q109" s="728">
        <v>249</v>
      </c>
      <c r="R109" s="741">
        <v>3</v>
      </c>
      <c r="S109" s="729">
        <v>83</v>
      </c>
    </row>
    <row r="110" spans="1:19" ht="14.4" customHeight="1" x14ac:dyDescent="0.3">
      <c r="A110" s="724" t="s">
        <v>552</v>
      </c>
      <c r="B110" s="725" t="s">
        <v>2982</v>
      </c>
      <c r="C110" s="725" t="s">
        <v>566</v>
      </c>
      <c r="D110" s="725" t="s">
        <v>1911</v>
      </c>
      <c r="E110" s="725" t="s">
        <v>2989</v>
      </c>
      <c r="F110" s="725" t="s">
        <v>2992</v>
      </c>
      <c r="G110" s="725" t="s">
        <v>2993</v>
      </c>
      <c r="H110" s="728">
        <v>72</v>
      </c>
      <c r="I110" s="728">
        <v>2520</v>
      </c>
      <c r="J110" s="725">
        <v>1.5135135135135136</v>
      </c>
      <c r="K110" s="725">
        <v>35</v>
      </c>
      <c r="L110" s="728">
        <v>45</v>
      </c>
      <c r="M110" s="728">
        <v>1665</v>
      </c>
      <c r="N110" s="725">
        <v>1</v>
      </c>
      <c r="O110" s="725">
        <v>37</v>
      </c>
      <c r="P110" s="728">
        <v>40</v>
      </c>
      <c r="Q110" s="728">
        <v>1480</v>
      </c>
      <c r="R110" s="741">
        <v>0.88888888888888884</v>
      </c>
      <c r="S110" s="729">
        <v>37</v>
      </c>
    </row>
    <row r="111" spans="1:19" ht="14.4" customHeight="1" x14ac:dyDescent="0.3">
      <c r="A111" s="724" t="s">
        <v>552</v>
      </c>
      <c r="B111" s="725" t="s">
        <v>2982</v>
      </c>
      <c r="C111" s="725" t="s">
        <v>566</v>
      </c>
      <c r="D111" s="725" t="s">
        <v>1911</v>
      </c>
      <c r="E111" s="725" t="s">
        <v>2989</v>
      </c>
      <c r="F111" s="725" t="s">
        <v>3002</v>
      </c>
      <c r="G111" s="725" t="s">
        <v>3003</v>
      </c>
      <c r="H111" s="728">
        <v>106</v>
      </c>
      <c r="I111" s="728">
        <v>12508</v>
      </c>
      <c r="J111" s="725">
        <v>1.4816394219379294</v>
      </c>
      <c r="K111" s="725">
        <v>118</v>
      </c>
      <c r="L111" s="728">
        <v>67</v>
      </c>
      <c r="M111" s="728">
        <v>8442</v>
      </c>
      <c r="N111" s="725">
        <v>1</v>
      </c>
      <c r="O111" s="725">
        <v>126</v>
      </c>
      <c r="P111" s="728">
        <v>119</v>
      </c>
      <c r="Q111" s="728">
        <v>14994</v>
      </c>
      <c r="R111" s="741">
        <v>1.7761194029850746</v>
      </c>
      <c r="S111" s="729">
        <v>126</v>
      </c>
    </row>
    <row r="112" spans="1:19" ht="14.4" customHeight="1" x14ac:dyDescent="0.3">
      <c r="A112" s="724" t="s">
        <v>552</v>
      </c>
      <c r="B112" s="725" t="s">
        <v>2982</v>
      </c>
      <c r="C112" s="725" t="s">
        <v>566</v>
      </c>
      <c r="D112" s="725" t="s">
        <v>1911</v>
      </c>
      <c r="E112" s="725" t="s">
        <v>2989</v>
      </c>
      <c r="F112" s="725" t="s">
        <v>3010</v>
      </c>
      <c r="G112" s="725" t="s">
        <v>3011</v>
      </c>
      <c r="H112" s="728"/>
      <c r="I112" s="728"/>
      <c r="J112" s="725"/>
      <c r="K112" s="725"/>
      <c r="L112" s="728">
        <v>86</v>
      </c>
      <c r="M112" s="728">
        <v>2866.66</v>
      </c>
      <c r="N112" s="725">
        <v>1</v>
      </c>
      <c r="O112" s="725">
        <v>33.333255813953485</v>
      </c>
      <c r="P112" s="728">
        <v>175</v>
      </c>
      <c r="Q112" s="728">
        <v>5833.33</v>
      </c>
      <c r="R112" s="741">
        <v>2.034887290435559</v>
      </c>
      <c r="S112" s="729">
        <v>33.333314285714287</v>
      </c>
    </row>
    <row r="113" spans="1:19" ht="14.4" customHeight="1" x14ac:dyDescent="0.3">
      <c r="A113" s="724" t="s">
        <v>552</v>
      </c>
      <c r="B113" s="725" t="s">
        <v>2982</v>
      </c>
      <c r="C113" s="725" t="s">
        <v>566</v>
      </c>
      <c r="D113" s="725" t="s">
        <v>1911</v>
      </c>
      <c r="E113" s="725" t="s">
        <v>2989</v>
      </c>
      <c r="F113" s="725" t="s">
        <v>3012</v>
      </c>
      <c r="G113" s="725" t="s">
        <v>3013</v>
      </c>
      <c r="H113" s="728">
        <v>31</v>
      </c>
      <c r="I113" s="728">
        <v>7285</v>
      </c>
      <c r="J113" s="725">
        <v>0.6596341905106845</v>
      </c>
      <c r="K113" s="725">
        <v>235</v>
      </c>
      <c r="L113" s="728">
        <v>44</v>
      </c>
      <c r="M113" s="728">
        <v>11044</v>
      </c>
      <c r="N113" s="725">
        <v>1</v>
      </c>
      <c r="O113" s="725">
        <v>251</v>
      </c>
      <c r="P113" s="728">
        <v>20</v>
      </c>
      <c r="Q113" s="728">
        <v>5020</v>
      </c>
      <c r="R113" s="741">
        <v>0.45454545454545453</v>
      </c>
      <c r="S113" s="729">
        <v>251</v>
      </c>
    </row>
    <row r="114" spans="1:19" ht="14.4" customHeight="1" x14ac:dyDescent="0.3">
      <c r="A114" s="724" t="s">
        <v>552</v>
      </c>
      <c r="B114" s="725" t="s">
        <v>2982</v>
      </c>
      <c r="C114" s="725" t="s">
        <v>566</v>
      </c>
      <c r="D114" s="725" t="s">
        <v>1911</v>
      </c>
      <c r="E114" s="725" t="s">
        <v>2989</v>
      </c>
      <c r="F114" s="725" t="s">
        <v>3028</v>
      </c>
      <c r="G114" s="725" t="s">
        <v>3029</v>
      </c>
      <c r="H114" s="728">
        <v>33</v>
      </c>
      <c r="I114" s="728">
        <v>11517</v>
      </c>
      <c r="J114" s="725">
        <v>2.0639784946236559</v>
      </c>
      <c r="K114" s="725">
        <v>349</v>
      </c>
      <c r="L114" s="728">
        <v>15</v>
      </c>
      <c r="M114" s="728">
        <v>5580</v>
      </c>
      <c r="N114" s="725">
        <v>1</v>
      </c>
      <c r="O114" s="725">
        <v>372</v>
      </c>
      <c r="P114" s="728">
        <v>46</v>
      </c>
      <c r="Q114" s="728">
        <v>17158</v>
      </c>
      <c r="R114" s="741">
        <v>3.0749103942652329</v>
      </c>
      <c r="S114" s="729">
        <v>373</v>
      </c>
    </row>
    <row r="115" spans="1:19" ht="14.4" customHeight="1" x14ac:dyDescent="0.3">
      <c r="A115" s="724" t="s">
        <v>552</v>
      </c>
      <c r="B115" s="725" t="s">
        <v>2982</v>
      </c>
      <c r="C115" s="725" t="s">
        <v>566</v>
      </c>
      <c r="D115" s="725" t="s">
        <v>2978</v>
      </c>
      <c r="E115" s="725" t="s">
        <v>2989</v>
      </c>
      <c r="F115" s="725" t="s">
        <v>2992</v>
      </c>
      <c r="G115" s="725" t="s">
        <v>2993</v>
      </c>
      <c r="H115" s="728"/>
      <c r="I115" s="728"/>
      <c r="J115" s="725"/>
      <c r="K115" s="725"/>
      <c r="L115" s="728">
        <v>1</v>
      </c>
      <c r="M115" s="728">
        <v>37</v>
      </c>
      <c r="N115" s="725">
        <v>1</v>
      </c>
      <c r="O115" s="725">
        <v>37</v>
      </c>
      <c r="P115" s="728">
        <v>2</v>
      </c>
      <c r="Q115" s="728">
        <v>74</v>
      </c>
      <c r="R115" s="741">
        <v>2</v>
      </c>
      <c r="S115" s="729">
        <v>37</v>
      </c>
    </row>
    <row r="116" spans="1:19" ht="14.4" customHeight="1" x14ac:dyDescent="0.3">
      <c r="A116" s="724" t="s">
        <v>552</v>
      </c>
      <c r="B116" s="725" t="s">
        <v>2982</v>
      </c>
      <c r="C116" s="725" t="s">
        <v>566</v>
      </c>
      <c r="D116" s="725" t="s">
        <v>2978</v>
      </c>
      <c r="E116" s="725" t="s">
        <v>2989</v>
      </c>
      <c r="F116" s="725" t="s">
        <v>3002</v>
      </c>
      <c r="G116" s="725" t="s">
        <v>3003</v>
      </c>
      <c r="H116" s="728">
        <v>1</v>
      </c>
      <c r="I116" s="728">
        <v>118</v>
      </c>
      <c r="J116" s="725"/>
      <c r="K116" s="725">
        <v>118</v>
      </c>
      <c r="L116" s="728"/>
      <c r="M116" s="728"/>
      <c r="N116" s="725"/>
      <c r="O116" s="725"/>
      <c r="P116" s="728"/>
      <c r="Q116" s="728"/>
      <c r="R116" s="741"/>
      <c r="S116" s="729"/>
    </row>
    <row r="117" spans="1:19" ht="14.4" customHeight="1" x14ac:dyDescent="0.3">
      <c r="A117" s="724" t="s">
        <v>552</v>
      </c>
      <c r="B117" s="725" t="s">
        <v>2982</v>
      </c>
      <c r="C117" s="725" t="s">
        <v>566</v>
      </c>
      <c r="D117" s="725" t="s">
        <v>2979</v>
      </c>
      <c r="E117" s="725" t="s">
        <v>2989</v>
      </c>
      <c r="F117" s="725" t="s">
        <v>2992</v>
      </c>
      <c r="G117" s="725" t="s">
        <v>2993</v>
      </c>
      <c r="H117" s="728"/>
      <c r="I117" s="728"/>
      <c r="J117" s="725"/>
      <c r="K117" s="725"/>
      <c r="L117" s="728"/>
      <c r="M117" s="728"/>
      <c r="N117" s="725"/>
      <c r="O117" s="725"/>
      <c r="P117" s="728">
        <v>1</v>
      </c>
      <c r="Q117" s="728">
        <v>37</v>
      </c>
      <c r="R117" s="741"/>
      <c r="S117" s="729">
        <v>37</v>
      </c>
    </row>
    <row r="118" spans="1:19" ht="14.4" customHeight="1" x14ac:dyDescent="0.3">
      <c r="A118" s="724" t="s">
        <v>552</v>
      </c>
      <c r="B118" s="725" t="s">
        <v>2982</v>
      </c>
      <c r="C118" s="725" t="s">
        <v>566</v>
      </c>
      <c r="D118" s="725" t="s">
        <v>2979</v>
      </c>
      <c r="E118" s="725" t="s">
        <v>2989</v>
      </c>
      <c r="F118" s="725" t="s">
        <v>3012</v>
      </c>
      <c r="G118" s="725" t="s">
        <v>3013</v>
      </c>
      <c r="H118" s="728">
        <v>1</v>
      </c>
      <c r="I118" s="728">
        <v>235</v>
      </c>
      <c r="J118" s="725"/>
      <c r="K118" s="725">
        <v>235</v>
      </c>
      <c r="L118" s="728"/>
      <c r="M118" s="728"/>
      <c r="N118" s="725"/>
      <c r="O118" s="725"/>
      <c r="P118" s="728"/>
      <c r="Q118" s="728"/>
      <c r="R118" s="741"/>
      <c r="S118" s="729"/>
    </row>
    <row r="119" spans="1:19" ht="14.4" customHeight="1" x14ac:dyDescent="0.3">
      <c r="A119" s="724" t="s">
        <v>552</v>
      </c>
      <c r="B119" s="725" t="s">
        <v>2982</v>
      </c>
      <c r="C119" s="725" t="s">
        <v>566</v>
      </c>
      <c r="D119" s="725" t="s">
        <v>2980</v>
      </c>
      <c r="E119" s="725" t="s">
        <v>2989</v>
      </c>
      <c r="F119" s="725" t="s">
        <v>3010</v>
      </c>
      <c r="G119" s="725" t="s">
        <v>3011</v>
      </c>
      <c r="H119" s="728"/>
      <c r="I119" s="728"/>
      <c r="J119" s="725"/>
      <c r="K119" s="725"/>
      <c r="L119" s="728">
        <v>13</v>
      </c>
      <c r="M119" s="728">
        <v>433.33000000000004</v>
      </c>
      <c r="N119" s="725">
        <v>1</v>
      </c>
      <c r="O119" s="725">
        <v>33.333076923076923</v>
      </c>
      <c r="P119" s="728">
        <v>7</v>
      </c>
      <c r="Q119" s="728">
        <v>233.33</v>
      </c>
      <c r="R119" s="741">
        <v>0.53845798813837031</v>
      </c>
      <c r="S119" s="729">
        <v>33.332857142857144</v>
      </c>
    </row>
    <row r="120" spans="1:19" ht="14.4" customHeight="1" x14ac:dyDescent="0.3">
      <c r="A120" s="724" t="s">
        <v>552</v>
      </c>
      <c r="B120" s="725" t="s">
        <v>2982</v>
      </c>
      <c r="C120" s="725" t="s">
        <v>566</v>
      </c>
      <c r="D120" s="725" t="s">
        <v>2980</v>
      </c>
      <c r="E120" s="725" t="s">
        <v>2989</v>
      </c>
      <c r="F120" s="725" t="s">
        <v>3012</v>
      </c>
      <c r="G120" s="725" t="s">
        <v>3013</v>
      </c>
      <c r="H120" s="728">
        <v>2</v>
      </c>
      <c r="I120" s="728">
        <v>470</v>
      </c>
      <c r="J120" s="725"/>
      <c r="K120" s="725">
        <v>235</v>
      </c>
      <c r="L120" s="728"/>
      <c r="M120" s="728"/>
      <c r="N120" s="725"/>
      <c r="O120" s="725"/>
      <c r="P120" s="728"/>
      <c r="Q120" s="728"/>
      <c r="R120" s="741"/>
      <c r="S120" s="729"/>
    </row>
    <row r="121" spans="1:19" ht="14.4" customHeight="1" x14ac:dyDescent="0.3">
      <c r="A121" s="724" t="s">
        <v>552</v>
      </c>
      <c r="B121" s="725" t="s">
        <v>2982</v>
      </c>
      <c r="C121" s="725" t="s">
        <v>566</v>
      </c>
      <c r="D121" s="725" t="s">
        <v>2980</v>
      </c>
      <c r="E121" s="725" t="s">
        <v>2989</v>
      </c>
      <c r="F121" s="725" t="s">
        <v>3028</v>
      </c>
      <c r="G121" s="725" t="s">
        <v>3029</v>
      </c>
      <c r="H121" s="728">
        <v>12</v>
      </c>
      <c r="I121" s="728">
        <v>4188</v>
      </c>
      <c r="J121" s="725">
        <v>0.7036290322580645</v>
      </c>
      <c r="K121" s="725">
        <v>349</v>
      </c>
      <c r="L121" s="728">
        <v>16</v>
      </c>
      <c r="M121" s="728">
        <v>5952</v>
      </c>
      <c r="N121" s="725">
        <v>1</v>
      </c>
      <c r="O121" s="725">
        <v>372</v>
      </c>
      <c r="P121" s="728">
        <v>7</v>
      </c>
      <c r="Q121" s="728">
        <v>2611</v>
      </c>
      <c r="R121" s="741">
        <v>0.43867607526881719</v>
      </c>
      <c r="S121" s="729">
        <v>373</v>
      </c>
    </row>
    <row r="122" spans="1:19" ht="14.4" customHeight="1" x14ac:dyDescent="0.3">
      <c r="A122" s="724" t="s">
        <v>552</v>
      </c>
      <c r="B122" s="725" t="s">
        <v>2982</v>
      </c>
      <c r="C122" s="725" t="s">
        <v>566</v>
      </c>
      <c r="D122" s="725" t="s">
        <v>1912</v>
      </c>
      <c r="E122" s="725" t="s">
        <v>2989</v>
      </c>
      <c r="F122" s="725" t="s">
        <v>2992</v>
      </c>
      <c r="G122" s="725" t="s">
        <v>2993</v>
      </c>
      <c r="H122" s="728">
        <v>3</v>
      </c>
      <c r="I122" s="728">
        <v>105</v>
      </c>
      <c r="J122" s="725">
        <v>0.35472972972972971</v>
      </c>
      <c r="K122" s="725">
        <v>35</v>
      </c>
      <c r="L122" s="728">
        <v>8</v>
      </c>
      <c r="M122" s="728">
        <v>296</v>
      </c>
      <c r="N122" s="725">
        <v>1</v>
      </c>
      <c r="O122" s="725">
        <v>37</v>
      </c>
      <c r="P122" s="728"/>
      <c r="Q122" s="728"/>
      <c r="R122" s="741"/>
      <c r="S122" s="729"/>
    </row>
    <row r="123" spans="1:19" ht="14.4" customHeight="1" x14ac:dyDescent="0.3">
      <c r="A123" s="724" t="s">
        <v>552</v>
      </c>
      <c r="B123" s="725" t="s">
        <v>2982</v>
      </c>
      <c r="C123" s="725" t="s">
        <v>566</v>
      </c>
      <c r="D123" s="725" t="s">
        <v>1912</v>
      </c>
      <c r="E123" s="725" t="s">
        <v>2989</v>
      </c>
      <c r="F123" s="725" t="s">
        <v>3002</v>
      </c>
      <c r="G123" s="725" t="s">
        <v>3003</v>
      </c>
      <c r="H123" s="728">
        <v>93</v>
      </c>
      <c r="I123" s="728">
        <v>10974</v>
      </c>
      <c r="J123" s="725">
        <v>1.0127353266888151</v>
      </c>
      <c r="K123" s="725">
        <v>118</v>
      </c>
      <c r="L123" s="728">
        <v>86</v>
      </c>
      <c r="M123" s="728">
        <v>10836</v>
      </c>
      <c r="N123" s="725">
        <v>1</v>
      </c>
      <c r="O123" s="725">
        <v>126</v>
      </c>
      <c r="P123" s="728">
        <v>56</v>
      </c>
      <c r="Q123" s="728">
        <v>7056</v>
      </c>
      <c r="R123" s="741">
        <v>0.65116279069767447</v>
      </c>
      <c r="S123" s="729">
        <v>126</v>
      </c>
    </row>
    <row r="124" spans="1:19" ht="14.4" customHeight="1" x14ac:dyDescent="0.3">
      <c r="A124" s="724" t="s">
        <v>552</v>
      </c>
      <c r="B124" s="725" t="s">
        <v>2982</v>
      </c>
      <c r="C124" s="725" t="s">
        <v>566</v>
      </c>
      <c r="D124" s="725" t="s">
        <v>1912</v>
      </c>
      <c r="E124" s="725" t="s">
        <v>2989</v>
      </c>
      <c r="F124" s="725" t="s">
        <v>3010</v>
      </c>
      <c r="G124" s="725" t="s">
        <v>3011</v>
      </c>
      <c r="H124" s="728"/>
      <c r="I124" s="728"/>
      <c r="J124" s="725"/>
      <c r="K124" s="725"/>
      <c r="L124" s="728">
        <v>128</v>
      </c>
      <c r="M124" s="728">
        <v>4266.66</v>
      </c>
      <c r="N124" s="725">
        <v>1</v>
      </c>
      <c r="O124" s="725">
        <v>33.333281249999999</v>
      </c>
      <c r="P124" s="728">
        <v>184</v>
      </c>
      <c r="Q124" s="728">
        <v>6133.34</v>
      </c>
      <c r="R124" s="741">
        <v>1.4375038085997009</v>
      </c>
      <c r="S124" s="729">
        <v>33.333369565217389</v>
      </c>
    </row>
    <row r="125" spans="1:19" ht="14.4" customHeight="1" x14ac:dyDescent="0.3">
      <c r="A125" s="724" t="s">
        <v>552</v>
      </c>
      <c r="B125" s="725" t="s">
        <v>2982</v>
      </c>
      <c r="C125" s="725" t="s">
        <v>566</v>
      </c>
      <c r="D125" s="725" t="s">
        <v>1912</v>
      </c>
      <c r="E125" s="725" t="s">
        <v>2989</v>
      </c>
      <c r="F125" s="725" t="s">
        <v>3012</v>
      </c>
      <c r="G125" s="725" t="s">
        <v>3013</v>
      </c>
      <c r="H125" s="728">
        <v>100</v>
      </c>
      <c r="I125" s="728">
        <v>23500</v>
      </c>
      <c r="J125" s="725">
        <v>0.76118291063388721</v>
      </c>
      <c r="K125" s="725">
        <v>235</v>
      </c>
      <c r="L125" s="728">
        <v>123</v>
      </c>
      <c r="M125" s="728">
        <v>30873</v>
      </c>
      <c r="N125" s="725">
        <v>1</v>
      </c>
      <c r="O125" s="725">
        <v>251</v>
      </c>
      <c r="P125" s="728">
        <v>135</v>
      </c>
      <c r="Q125" s="728">
        <v>33885</v>
      </c>
      <c r="R125" s="741">
        <v>1.0975609756097562</v>
      </c>
      <c r="S125" s="729">
        <v>251</v>
      </c>
    </row>
    <row r="126" spans="1:19" ht="14.4" customHeight="1" x14ac:dyDescent="0.3">
      <c r="A126" s="724" t="s">
        <v>552</v>
      </c>
      <c r="B126" s="725" t="s">
        <v>3032</v>
      </c>
      <c r="C126" s="725" t="s">
        <v>566</v>
      </c>
      <c r="D126" s="725" t="s">
        <v>2974</v>
      </c>
      <c r="E126" s="725" t="s">
        <v>2983</v>
      </c>
      <c r="F126" s="725" t="s">
        <v>3033</v>
      </c>
      <c r="G126" s="725" t="s">
        <v>3034</v>
      </c>
      <c r="H126" s="728"/>
      <c r="I126" s="728"/>
      <c r="J126" s="725"/>
      <c r="K126" s="725"/>
      <c r="L126" s="728">
        <v>4</v>
      </c>
      <c r="M126" s="728">
        <v>11974</v>
      </c>
      <c r="N126" s="725">
        <v>1</v>
      </c>
      <c r="O126" s="725">
        <v>2993.5</v>
      </c>
      <c r="P126" s="728"/>
      <c r="Q126" s="728"/>
      <c r="R126" s="741"/>
      <c r="S126" s="729"/>
    </row>
    <row r="127" spans="1:19" ht="14.4" customHeight="1" x14ac:dyDescent="0.3">
      <c r="A127" s="724" t="s">
        <v>552</v>
      </c>
      <c r="B127" s="725" t="s">
        <v>3032</v>
      </c>
      <c r="C127" s="725" t="s">
        <v>566</v>
      </c>
      <c r="D127" s="725" t="s">
        <v>2974</v>
      </c>
      <c r="E127" s="725" t="s">
        <v>2989</v>
      </c>
      <c r="F127" s="725" t="s">
        <v>3037</v>
      </c>
      <c r="G127" s="725" t="s">
        <v>3038</v>
      </c>
      <c r="H127" s="728"/>
      <c r="I127" s="728"/>
      <c r="J127" s="725"/>
      <c r="K127" s="725"/>
      <c r="L127" s="728">
        <v>2</v>
      </c>
      <c r="M127" s="728">
        <v>252</v>
      </c>
      <c r="N127" s="725">
        <v>1</v>
      </c>
      <c r="O127" s="725">
        <v>126</v>
      </c>
      <c r="P127" s="728">
        <v>1</v>
      </c>
      <c r="Q127" s="728">
        <v>126</v>
      </c>
      <c r="R127" s="741">
        <v>0.5</v>
      </c>
      <c r="S127" s="729">
        <v>126</v>
      </c>
    </row>
    <row r="128" spans="1:19" ht="14.4" customHeight="1" x14ac:dyDescent="0.3">
      <c r="A128" s="724" t="s">
        <v>552</v>
      </c>
      <c r="B128" s="725" t="s">
        <v>3032</v>
      </c>
      <c r="C128" s="725" t="s">
        <v>566</v>
      </c>
      <c r="D128" s="725" t="s">
        <v>2974</v>
      </c>
      <c r="E128" s="725" t="s">
        <v>2989</v>
      </c>
      <c r="F128" s="725" t="s">
        <v>3039</v>
      </c>
      <c r="G128" s="725" t="s">
        <v>3040</v>
      </c>
      <c r="H128" s="728"/>
      <c r="I128" s="728"/>
      <c r="J128" s="725"/>
      <c r="K128" s="725"/>
      <c r="L128" s="728">
        <v>2</v>
      </c>
      <c r="M128" s="728">
        <v>522</v>
      </c>
      <c r="N128" s="725">
        <v>1</v>
      </c>
      <c r="O128" s="725">
        <v>261</v>
      </c>
      <c r="P128" s="728">
        <v>1</v>
      </c>
      <c r="Q128" s="728">
        <v>261</v>
      </c>
      <c r="R128" s="741">
        <v>0.5</v>
      </c>
      <c r="S128" s="729">
        <v>261</v>
      </c>
    </row>
    <row r="129" spans="1:19" ht="14.4" customHeight="1" x14ac:dyDescent="0.3">
      <c r="A129" s="724" t="s">
        <v>552</v>
      </c>
      <c r="B129" s="725" t="s">
        <v>3032</v>
      </c>
      <c r="C129" s="725" t="s">
        <v>566</v>
      </c>
      <c r="D129" s="725" t="s">
        <v>2974</v>
      </c>
      <c r="E129" s="725" t="s">
        <v>2989</v>
      </c>
      <c r="F129" s="725" t="s">
        <v>3010</v>
      </c>
      <c r="G129" s="725" t="s">
        <v>3011</v>
      </c>
      <c r="H129" s="728">
        <v>1</v>
      </c>
      <c r="I129" s="728">
        <v>0</v>
      </c>
      <c r="J129" s="725"/>
      <c r="K129" s="725">
        <v>0</v>
      </c>
      <c r="L129" s="728"/>
      <c r="M129" s="728"/>
      <c r="N129" s="725"/>
      <c r="O129" s="725"/>
      <c r="P129" s="728"/>
      <c r="Q129" s="728"/>
      <c r="R129" s="741"/>
      <c r="S129" s="729"/>
    </row>
    <row r="130" spans="1:19" ht="14.4" customHeight="1" x14ac:dyDescent="0.3">
      <c r="A130" s="724" t="s">
        <v>552</v>
      </c>
      <c r="B130" s="725" t="s">
        <v>3032</v>
      </c>
      <c r="C130" s="725" t="s">
        <v>566</v>
      </c>
      <c r="D130" s="725" t="s">
        <v>1903</v>
      </c>
      <c r="E130" s="725" t="s">
        <v>2983</v>
      </c>
      <c r="F130" s="725" t="s">
        <v>3033</v>
      </c>
      <c r="G130" s="725" t="s">
        <v>3034</v>
      </c>
      <c r="H130" s="728"/>
      <c r="I130" s="728"/>
      <c r="J130" s="725"/>
      <c r="K130" s="725"/>
      <c r="L130" s="728">
        <v>15</v>
      </c>
      <c r="M130" s="728">
        <v>43910.14</v>
      </c>
      <c r="N130" s="725">
        <v>1</v>
      </c>
      <c r="O130" s="725">
        <v>2927.3426666666664</v>
      </c>
      <c r="P130" s="728">
        <v>12</v>
      </c>
      <c r="Q130" s="728">
        <v>34761.72</v>
      </c>
      <c r="R130" s="741">
        <v>0.79165586809789268</v>
      </c>
      <c r="S130" s="729">
        <v>2896.81</v>
      </c>
    </row>
    <row r="131" spans="1:19" ht="14.4" customHeight="1" x14ac:dyDescent="0.3">
      <c r="A131" s="724" t="s">
        <v>552</v>
      </c>
      <c r="B131" s="725" t="s">
        <v>3032</v>
      </c>
      <c r="C131" s="725" t="s">
        <v>566</v>
      </c>
      <c r="D131" s="725" t="s">
        <v>1903</v>
      </c>
      <c r="E131" s="725" t="s">
        <v>2989</v>
      </c>
      <c r="F131" s="725" t="s">
        <v>3035</v>
      </c>
      <c r="G131" s="725" t="s">
        <v>3036</v>
      </c>
      <c r="H131" s="728"/>
      <c r="I131" s="728"/>
      <c r="J131" s="725"/>
      <c r="K131" s="725"/>
      <c r="L131" s="728"/>
      <c r="M131" s="728"/>
      <c r="N131" s="725"/>
      <c r="O131" s="725"/>
      <c r="P131" s="728">
        <v>3</v>
      </c>
      <c r="Q131" s="728">
        <v>753</v>
      </c>
      <c r="R131" s="741"/>
      <c r="S131" s="729">
        <v>251</v>
      </c>
    </row>
    <row r="132" spans="1:19" ht="14.4" customHeight="1" x14ac:dyDescent="0.3">
      <c r="A132" s="724" t="s">
        <v>552</v>
      </c>
      <c r="B132" s="725" t="s">
        <v>3032</v>
      </c>
      <c r="C132" s="725" t="s">
        <v>566</v>
      </c>
      <c r="D132" s="725" t="s">
        <v>1903</v>
      </c>
      <c r="E132" s="725" t="s">
        <v>2989</v>
      </c>
      <c r="F132" s="725" t="s">
        <v>3037</v>
      </c>
      <c r="G132" s="725" t="s">
        <v>3038</v>
      </c>
      <c r="H132" s="728">
        <v>7</v>
      </c>
      <c r="I132" s="728">
        <v>826</v>
      </c>
      <c r="J132" s="725">
        <v>1.0925925925925926</v>
      </c>
      <c r="K132" s="725">
        <v>118</v>
      </c>
      <c r="L132" s="728">
        <v>6</v>
      </c>
      <c r="M132" s="728">
        <v>756</v>
      </c>
      <c r="N132" s="725">
        <v>1</v>
      </c>
      <c r="O132" s="725">
        <v>126</v>
      </c>
      <c r="P132" s="728">
        <v>26</v>
      </c>
      <c r="Q132" s="728">
        <v>3276</v>
      </c>
      <c r="R132" s="741">
        <v>4.333333333333333</v>
      </c>
      <c r="S132" s="729">
        <v>126</v>
      </c>
    </row>
    <row r="133" spans="1:19" ht="14.4" customHeight="1" x14ac:dyDescent="0.3">
      <c r="A133" s="724" t="s">
        <v>552</v>
      </c>
      <c r="B133" s="725" t="s">
        <v>3032</v>
      </c>
      <c r="C133" s="725" t="s">
        <v>566</v>
      </c>
      <c r="D133" s="725" t="s">
        <v>1903</v>
      </c>
      <c r="E133" s="725" t="s">
        <v>2989</v>
      </c>
      <c r="F133" s="725" t="s">
        <v>3039</v>
      </c>
      <c r="G133" s="725" t="s">
        <v>3040</v>
      </c>
      <c r="H133" s="728">
        <v>7</v>
      </c>
      <c r="I133" s="728">
        <v>1771</v>
      </c>
      <c r="J133" s="725">
        <v>1.3570881226053639</v>
      </c>
      <c r="K133" s="725">
        <v>253</v>
      </c>
      <c r="L133" s="728">
        <v>5</v>
      </c>
      <c r="M133" s="728">
        <v>1305</v>
      </c>
      <c r="N133" s="725">
        <v>1</v>
      </c>
      <c r="O133" s="725">
        <v>261</v>
      </c>
      <c r="P133" s="728">
        <v>7</v>
      </c>
      <c r="Q133" s="728">
        <v>1827</v>
      </c>
      <c r="R133" s="741">
        <v>1.4</v>
      </c>
      <c r="S133" s="729">
        <v>261</v>
      </c>
    </row>
    <row r="134" spans="1:19" ht="14.4" customHeight="1" x14ac:dyDescent="0.3">
      <c r="A134" s="724" t="s">
        <v>552</v>
      </c>
      <c r="B134" s="725" t="s">
        <v>3032</v>
      </c>
      <c r="C134" s="725" t="s">
        <v>566</v>
      </c>
      <c r="D134" s="725" t="s">
        <v>1909</v>
      </c>
      <c r="E134" s="725" t="s">
        <v>2989</v>
      </c>
      <c r="F134" s="725" t="s">
        <v>3037</v>
      </c>
      <c r="G134" s="725" t="s">
        <v>3038</v>
      </c>
      <c r="H134" s="728"/>
      <c r="I134" s="728"/>
      <c r="J134" s="725"/>
      <c r="K134" s="725"/>
      <c r="L134" s="728">
        <v>1</v>
      </c>
      <c r="M134" s="728">
        <v>126</v>
      </c>
      <c r="N134" s="725">
        <v>1</v>
      </c>
      <c r="O134" s="725">
        <v>126</v>
      </c>
      <c r="P134" s="728"/>
      <c r="Q134" s="728"/>
      <c r="R134" s="741"/>
      <c r="S134" s="729"/>
    </row>
    <row r="135" spans="1:19" ht="14.4" customHeight="1" x14ac:dyDescent="0.3">
      <c r="A135" s="724" t="s">
        <v>552</v>
      </c>
      <c r="B135" s="725" t="s">
        <v>3032</v>
      </c>
      <c r="C135" s="725" t="s">
        <v>566</v>
      </c>
      <c r="D135" s="725" t="s">
        <v>1909</v>
      </c>
      <c r="E135" s="725" t="s">
        <v>2989</v>
      </c>
      <c r="F135" s="725" t="s">
        <v>3039</v>
      </c>
      <c r="G135" s="725" t="s">
        <v>3040</v>
      </c>
      <c r="H135" s="728"/>
      <c r="I135" s="728"/>
      <c r="J135" s="725"/>
      <c r="K135" s="725"/>
      <c r="L135" s="728">
        <v>1</v>
      </c>
      <c r="M135" s="728">
        <v>261</v>
      </c>
      <c r="N135" s="725">
        <v>1</v>
      </c>
      <c r="O135" s="725">
        <v>261</v>
      </c>
      <c r="P135" s="728"/>
      <c r="Q135" s="728"/>
      <c r="R135" s="741"/>
      <c r="S135" s="729"/>
    </row>
    <row r="136" spans="1:19" ht="14.4" customHeight="1" x14ac:dyDescent="0.3">
      <c r="A136" s="724" t="s">
        <v>552</v>
      </c>
      <c r="B136" s="725" t="s">
        <v>3032</v>
      </c>
      <c r="C136" s="725" t="s">
        <v>566</v>
      </c>
      <c r="D136" s="725" t="s">
        <v>1911</v>
      </c>
      <c r="E136" s="725" t="s">
        <v>2983</v>
      </c>
      <c r="F136" s="725" t="s">
        <v>3033</v>
      </c>
      <c r="G136" s="725" t="s">
        <v>3034</v>
      </c>
      <c r="H136" s="728"/>
      <c r="I136" s="728"/>
      <c r="J136" s="725"/>
      <c r="K136" s="725"/>
      <c r="L136" s="728">
        <v>4</v>
      </c>
      <c r="M136" s="728">
        <v>11974</v>
      </c>
      <c r="N136" s="725">
        <v>1</v>
      </c>
      <c r="O136" s="725">
        <v>2993.5</v>
      </c>
      <c r="P136" s="728">
        <v>4</v>
      </c>
      <c r="Q136" s="728">
        <v>11587.24</v>
      </c>
      <c r="R136" s="741">
        <v>0.96770001670285621</v>
      </c>
      <c r="S136" s="729">
        <v>2896.81</v>
      </c>
    </row>
    <row r="137" spans="1:19" ht="14.4" customHeight="1" x14ac:dyDescent="0.3">
      <c r="A137" s="724" t="s">
        <v>552</v>
      </c>
      <c r="B137" s="725" t="s">
        <v>3032</v>
      </c>
      <c r="C137" s="725" t="s">
        <v>566</v>
      </c>
      <c r="D137" s="725" t="s">
        <v>1911</v>
      </c>
      <c r="E137" s="725" t="s">
        <v>2989</v>
      </c>
      <c r="F137" s="725" t="s">
        <v>3037</v>
      </c>
      <c r="G137" s="725" t="s">
        <v>3038</v>
      </c>
      <c r="H137" s="728">
        <v>3</v>
      </c>
      <c r="I137" s="728">
        <v>354</v>
      </c>
      <c r="J137" s="725">
        <v>0.93650793650793651</v>
      </c>
      <c r="K137" s="725">
        <v>118</v>
      </c>
      <c r="L137" s="728">
        <v>3</v>
      </c>
      <c r="M137" s="728">
        <v>378</v>
      </c>
      <c r="N137" s="725">
        <v>1</v>
      </c>
      <c r="O137" s="725">
        <v>126</v>
      </c>
      <c r="P137" s="728">
        <v>4</v>
      </c>
      <c r="Q137" s="728">
        <v>504</v>
      </c>
      <c r="R137" s="741">
        <v>1.3333333333333333</v>
      </c>
      <c r="S137" s="729">
        <v>126</v>
      </c>
    </row>
    <row r="138" spans="1:19" ht="14.4" customHeight="1" x14ac:dyDescent="0.3">
      <c r="A138" s="724" t="s">
        <v>552</v>
      </c>
      <c r="B138" s="725" t="s">
        <v>3032</v>
      </c>
      <c r="C138" s="725" t="s">
        <v>566</v>
      </c>
      <c r="D138" s="725" t="s">
        <v>1911</v>
      </c>
      <c r="E138" s="725" t="s">
        <v>2989</v>
      </c>
      <c r="F138" s="725" t="s">
        <v>3039</v>
      </c>
      <c r="G138" s="725" t="s">
        <v>3040</v>
      </c>
      <c r="H138" s="728">
        <v>3</v>
      </c>
      <c r="I138" s="728">
        <v>759</v>
      </c>
      <c r="J138" s="725">
        <v>0.96934865900383138</v>
      </c>
      <c r="K138" s="725">
        <v>253</v>
      </c>
      <c r="L138" s="728">
        <v>3</v>
      </c>
      <c r="M138" s="728">
        <v>783</v>
      </c>
      <c r="N138" s="725">
        <v>1</v>
      </c>
      <c r="O138" s="725">
        <v>261</v>
      </c>
      <c r="P138" s="728">
        <v>3</v>
      </c>
      <c r="Q138" s="728">
        <v>783</v>
      </c>
      <c r="R138" s="741">
        <v>1</v>
      </c>
      <c r="S138" s="729">
        <v>261</v>
      </c>
    </row>
    <row r="139" spans="1:19" ht="14.4" customHeight="1" x14ac:dyDescent="0.3">
      <c r="A139" s="724" t="s">
        <v>552</v>
      </c>
      <c r="B139" s="725" t="s">
        <v>3032</v>
      </c>
      <c r="C139" s="725" t="s">
        <v>566</v>
      </c>
      <c r="D139" s="725" t="s">
        <v>2978</v>
      </c>
      <c r="E139" s="725" t="s">
        <v>2983</v>
      </c>
      <c r="F139" s="725" t="s">
        <v>3033</v>
      </c>
      <c r="G139" s="725" t="s">
        <v>3034</v>
      </c>
      <c r="H139" s="728"/>
      <c r="I139" s="728"/>
      <c r="J139" s="725"/>
      <c r="K139" s="725"/>
      <c r="L139" s="728">
        <v>4</v>
      </c>
      <c r="M139" s="728">
        <v>11974</v>
      </c>
      <c r="N139" s="725">
        <v>1</v>
      </c>
      <c r="O139" s="725">
        <v>2993.5</v>
      </c>
      <c r="P139" s="728"/>
      <c r="Q139" s="728"/>
      <c r="R139" s="741"/>
      <c r="S139" s="729"/>
    </row>
    <row r="140" spans="1:19" ht="14.4" customHeight="1" x14ac:dyDescent="0.3">
      <c r="A140" s="724" t="s">
        <v>552</v>
      </c>
      <c r="B140" s="725" t="s">
        <v>3032</v>
      </c>
      <c r="C140" s="725" t="s">
        <v>566</v>
      </c>
      <c r="D140" s="725" t="s">
        <v>2978</v>
      </c>
      <c r="E140" s="725" t="s">
        <v>2989</v>
      </c>
      <c r="F140" s="725" t="s">
        <v>3037</v>
      </c>
      <c r="G140" s="725" t="s">
        <v>3038</v>
      </c>
      <c r="H140" s="728">
        <v>2</v>
      </c>
      <c r="I140" s="728">
        <v>236</v>
      </c>
      <c r="J140" s="725">
        <v>0.93650793650793651</v>
      </c>
      <c r="K140" s="725">
        <v>118</v>
      </c>
      <c r="L140" s="728">
        <v>2</v>
      </c>
      <c r="M140" s="728">
        <v>252</v>
      </c>
      <c r="N140" s="725">
        <v>1</v>
      </c>
      <c r="O140" s="725">
        <v>126</v>
      </c>
      <c r="P140" s="728"/>
      <c r="Q140" s="728"/>
      <c r="R140" s="741"/>
      <c r="S140" s="729"/>
    </row>
    <row r="141" spans="1:19" ht="14.4" customHeight="1" thickBot="1" x14ac:dyDescent="0.35">
      <c r="A141" s="730" t="s">
        <v>552</v>
      </c>
      <c r="B141" s="731" t="s">
        <v>3032</v>
      </c>
      <c r="C141" s="731" t="s">
        <v>566</v>
      </c>
      <c r="D141" s="731" t="s">
        <v>2978</v>
      </c>
      <c r="E141" s="731" t="s">
        <v>2989</v>
      </c>
      <c r="F141" s="731" t="s">
        <v>3039</v>
      </c>
      <c r="G141" s="731" t="s">
        <v>3040</v>
      </c>
      <c r="H141" s="734">
        <v>2</v>
      </c>
      <c r="I141" s="734">
        <v>506</v>
      </c>
      <c r="J141" s="731">
        <v>0.96934865900383138</v>
      </c>
      <c r="K141" s="731">
        <v>253</v>
      </c>
      <c r="L141" s="734">
        <v>2</v>
      </c>
      <c r="M141" s="734">
        <v>522</v>
      </c>
      <c r="N141" s="731">
        <v>1</v>
      </c>
      <c r="O141" s="731">
        <v>261</v>
      </c>
      <c r="P141" s="734"/>
      <c r="Q141" s="734"/>
      <c r="R141" s="742"/>
      <c r="S141" s="735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38" t="s">
        <v>157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</row>
    <row r="2" spans="1:19" ht="14.4" customHeight="1" thickBot="1" x14ac:dyDescent="0.35">
      <c r="A2" s="374" t="s">
        <v>323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159</v>
      </c>
      <c r="B3" s="343">
        <f>SUBTOTAL(9,B6:B1048576)</f>
        <v>14885359</v>
      </c>
      <c r="C3" s="344">
        <f t="shared" ref="C3:R3" si="0">SUBTOTAL(9,C6:C1048576)</f>
        <v>20.528165348908239</v>
      </c>
      <c r="D3" s="344">
        <f t="shared" si="0"/>
        <v>15069052.280000001</v>
      </c>
      <c r="E3" s="344">
        <f t="shared" si="0"/>
        <v>18</v>
      </c>
      <c r="F3" s="344">
        <f t="shared" si="0"/>
        <v>15004711.560000002</v>
      </c>
      <c r="G3" s="347">
        <f>IF(D3&lt;&gt;0,F3/D3,"")</f>
        <v>0.99573027428636685</v>
      </c>
      <c r="H3" s="343">
        <f t="shared" si="0"/>
        <v>8247137.7799999984</v>
      </c>
      <c r="I3" s="344">
        <f t="shared" si="0"/>
        <v>1.156645383316633</v>
      </c>
      <c r="J3" s="344">
        <f t="shared" si="0"/>
        <v>7130221.5</v>
      </c>
      <c r="K3" s="344">
        <f t="shared" si="0"/>
        <v>1</v>
      </c>
      <c r="L3" s="344">
        <f t="shared" si="0"/>
        <v>6536810.2199999979</v>
      </c>
      <c r="M3" s="345">
        <f>IF(J3&lt;&gt;0,L3/J3,"")</f>
        <v>0.91677519695566234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02" t="s">
        <v>129</v>
      </c>
      <c r="B4" s="603" t="s">
        <v>123</v>
      </c>
      <c r="C4" s="604"/>
      <c r="D4" s="604"/>
      <c r="E4" s="604"/>
      <c r="F4" s="604"/>
      <c r="G4" s="606"/>
      <c r="H4" s="603" t="s">
        <v>124</v>
      </c>
      <c r="I4" s="604"/>
      <c r="J4" s="604"/>
      <c r="K4" s="604"/>
      <c r="L4" s="604"/>
      <c r="M4" s="606"/>
      <c r="N4" s="603" t="s">
        <v>125</v>
      </c>
      <c r="O4" s="604"/>
      <c r="P4" s="604"/>
      <c r="Q4" s="604"/>
      <c r="R4" s="604"/>
      <c r="S4" s="606"/>
    </row>
    <row r="5" spans="1:19" ht="14.4" customHeight="1" thickBot="1" x14ac:dyDescent="0.35">
      <c r="A5" s="819"/>
      <c r="B5" s="820">
        <v>2015</v>
      </c>
      <c r="C5" s="821"/>
      <c r="D5" s="821">
        <v>2016</v>
      </c>
      <c r="E5" s="821"/>
      <c r="F5" s="821">
        <v>2017</v>
      </c>
      <c r="G5" s="855" t="s">
        <v>2</v>
      </c>
      <c r="H5" s="820">
        <v>2015</v>
      </c>
      <c r="I5" s="821"/>
      <c r="J5" s="821">
        <v>2016</v>
      </c>
      <c r="K5" s="821"/>
      <c r="L5" s="821">
        <v>2017</v>
      </c>
      <c r="M5" s="855" t="s">
        <v>2</v>
      </c>
      <c r="N5" s="820">
        <v>2015</v>
      </c>
      <c r="O5" s="821"/>
      <c r="P5" s="821">
        <v>2016</v>
      </c>
      <c r="Q5" s="821"/>
      <c r="R5" s="821">
        <v>2017</v>
      </c>
      <c r="S5" s="855" t="s">
        <v>2</v>
      </c>
    </row>
    <row r="6" spans="1:19" ht="14.4" customHeight="1" x14ac:dyDescent="0.3">
      <c r="A6" s="814" t="s">
        <v>3043</v>
      </c>
      <c r="B6" s="837">
        <v>941</v>
      </c>
      <c r="C6" s="800">
        <v>2.4960212201591512</v>
      </c>
      <c r="D6" s="837">
        <v>377</v>
      </c>
      <c r="E6" s="800">
        <v>1</v>
      </c>
      <c r="F6" s="837">
        <v>787.33</v>
      </c>
      <c r="G6" s="805">
        <v>2.0884084880636604</v>
      </c>
      <c r="H6" s="837"/>
      <c r="I6" s="800"/>
      <c r="J6" s="837"/>
      <c r="K6" s="800"/>
      <c r="L6" s="837"/>
      <c r="M6" s="805"/>
      <c r="N6" s="837"/>
      <c r="O6" s="800"/>
      <c r="P6" s="837"/>
      <c r="Q6" s="800"/>
      <c r="R6" s="837"/>
      <c r="S6" s="231"/>
    </row>
    <row r="7" spans="1:19" ht="14.4" customHeight="1" x14ac:dyDescent="0.3">
      <c r="A7" s="751" t="s">
        <v>3044</v>
      </c>
      <c r="B7" s="839">
        <v>819</v>
      </c>
      <c r="C7" s="725">
        <v>2.8804558083916576</v>
      </c>
      <c r="D7" s="839">
        <v>284.33</v>
      </c>
      <c r="E7" s="725">
        <v>1</v>
      </c>
      <c r="F7" s="839">
        <v>1285.33</v>
      </c>
      <c r="G7" s="741">
        <v>4.5205570991453596</v>
      </c>
      <c r="H7" s="839"/>
      <c r="I7" s="725"/>
      <c r="J7" s="839"/>
      <c r="K7" s="725"/>
      <c r="L7" s="839"/>
      <c r="M7" s="741"/>
      <c r="N7" s="839"/>
      <c r="O7" s="725"/>
      <c r="P7" s="839"/>
      <c r="Q7" s="725"/>
      <c r="R7" s="839"/>
      <c r="S7" s="764"/>
    </row>
    <row r="8" spans="1:19" ht="14.4" customHeight="1" x14ac:dyDescent="0.3">
      <c r="A8" s="751" t="s">
        <v>3045</v>
      </c>
      <c r="B8" s="839">
        <v>1646</v>
      </c>
      <c r="C8" s="725">
        <v>4.3660477453580899</v>
      </c>
      <c r="D8" s="839">
        <v>377</v>
      </c>
      <c r="E8" s="725">
        <v>1</v>
      </c>
      <c r="F8" s="839">
        <v>2944.66</v>
      </c>
      <c r="G8" s="741">
        <v>7.81076923076923</v>
      </c>
      <c r="H8" s="839"/>
      <c r="I8" s="725"/>
      <c r="J8" s="839"/>
      <c r="K8" s="725"/>
      <c r="L8" s="839"/>
      <c r="M8" s="741"/>
      <c r="N8" s="839"/>
      <c r="O8" s="725"/>
      <c r="P8" s="839"/>
      <c r="Q8" s="725"/>
      <c r="R8" s="839"/>
      <c r="S8" s="764"/>
    </row>
    <row r="9" spans="1:19" ht="14.4" customHeight="1" x14ac:dyDescent="0.3">
      <c r="A9" s="751" t="s">
        <v>3046</v>
      </c>
      <c r="B9" s="839">
        <v>235</v>
      </c>
      <c r="C9" s="725"/>
      <c r="D9" s="839"/>
      <c r="E9" s="725"/>
      <c r="F9" s="839"/>
      <c r="G9" s="741"/>
      <c r="H9" s="839"/>
      <c r="I9" s="725"/>
      <c r="J9" s="839"/>
      <c r="K9" s="725"/>
      <c r="L9" s="839"/>
      <c r="M9" s="741"/>
      <c r="N9" s="839"/>
      <c r="O9" s="725"/>
      <c r="P9" s="839"/>
      <c r="Q9" s="725"/>
      <c r="R9" s="839"/>
      <c r="S9" s="764"/>
    </row>
    <row r="10" spans="1:19" ht="14.4" customHeight="1" x14ac:dyDescent="0.3">
      <c r="A10" s="751" t="s">
        <v>1885</v>
      </c>
      <c r="B10" s="839">
        <v>14843349</v>
      </c>
      <c r="C10" s="725">
        <v>0.98842130061201205</v>
      </c>
      <c r="D10" s="839">
        <v>15017228.98</v>
      </c>
      <c r="E10" s="725">
        <v>1</v>
      </c>
      <c r="F10" s="839">
        <v>14955601.310000001</v>
      </c>
      <c r="G10" s="741">
        <v>0.99589620228325237</v>
      </c>
      <c r="H10" s="839">
        <v>8247137.7799999984</v>
      </c>
      <c r="I10" s="725">
        <v>1.156645383316633</v>
      </c>
      <c r="J10" s="839">
        <v>7130221.5</v>
      </c>
      <c r="K10" s="725">
        <v>1</v>
      </c>
      <c r="L10" s="839">
        <v>6536810.2199999979</v>
      </c>
      <c r="M10" s="741">
        <v>0.91677519695566234</v>
      </c>
      <c r="N10" s="839"/>
      <c r="O10" s="725"/>
      <c r="P10" s="839"/>
      <c r="Q10" s="725"/>
      <c r="R10" s="839"/>
      <c r="S10" s="764"/>
    </row>
    <row r="11" spans="1:19" ht="14.4" customHeight="1" x14ac:dyDescent="0.3">
      <c r="A11" s="751" t="s">
        <v>3047</v>
      </c>
      <c r="B11" s="839">
        <v>1991</v>
      </c>
      <c r="C11" s="725">
        <v>0.52436133789834083</v>
      </c>
      <c r="D11" s="839">
        <v>3797</v>
      </c>
      <c r="E11" s="725">
        <v>1</v>
      </c>
      <c r="F11" s="839">
        <v>4273.32</v>
      </c>
      <c r="G11" s="741">
        <v>1.1254464050566235</v>
      </c>
      <c r="H11" s="839"/>
      <c r="I11" s="725"/>
      <c r="J11" s="839"/>
      <c r="K11" s="725"/>
      <c r="L11" s="839"/>
      <c r="M11" s="741"/>
      <c r="N11" s="839"/>
      <c r="O11" s="725"/>
      <c r="P11" s="839"/>
      <c r="Q11" s="725"/>
      <c r="R11" s="839"/>
      <c r="S11" s="764"/>
    </row>
    <row r="12" spans="1:19" ht="14.4" customHeight="1" x14ac:dyDescent="0.3">
      <c r="A12" s="751" t="s">
        <v>3048</v>
      </c>
      <c r="B12" s="839"/>
      <c r="C12" s="725"/>
      <c r="D12" s="839">
        <v>377</v>
      </c>
      <c r="E12" s="725">
        <v>1</v>
      </c>
      <c r="F12" s="839"/>
      <c r="G12" s="741"/>
      <c r="H12" s="839"/>
      <c r="I12" s="725"/>
      <c r="J12" s="839"/>
      <c r="K12" s="725"/>
      <c r="L12" s="839"/>
      <c r="M12" s="741"/>
      <c r="N12" s="839"/>
      <c r="O12" s="725"/>
      <c r="P12" s="839"/>
      <c r="Q12" s="725"/>
      <c r="R12" s="839"/>
      <c r="S12" s="764"/>
    </row>
    <row r="13" spans="1:19" ht="14.4" customHeight="1" x14ac:dyDescent="0.3">
      <c r="A13" s="751" t="s">
        <v>3049</v>
      </c>
      <c r="B13" s="839">
        <v>235</v>
      </c>
      <c r="C13" s="725">
        <v>0.93625498007968122</v>
      </c>
      <c r="D13" s="839">
        <v>251</v>
      </c>
      <c r="E13" s="725">
        <v>1</v>
      </c>
      <c r="F13" s="839">
        <v>251</v>
      </c>
      <c r="G13" s="741">
        <v>1</v>
      </c>
      <c r="H13" s="839"/>
      <c r="I13" s="725"/>
      <c r="J13" s="839"/>
      <c r="K13" s="725"/>
      <c r="L13" s="839"/>
      <c r="M13" s="741"/>
      <c r="N13" s="839"/>
      <c r="O13" s="725"/>
      <c r="P13" s="839"/>
      <c r="Q13" s="725"/>
      <c r="R13" s="839"/>
      <c r="S13" s="764"/>
    </row>
    <row r="14" spans="1:19" ht="14.4" customHeight="1" x14ac:dyDescent="0.3">
      <c r="A14" s="751" t="s">
        <v>3050</v>
      </c>
      <c r="B14" s="839">
        <v>5115</v>
      </c>
      <c r="C14" s="725">
        <v>0.76882609349165787</v>
      </c>
      <c r="D14" s="839">
        <v>6653</v>
      </c>
      <c r="E14" s="725">
        <v>1</v>
      </c>
      <c r="F14" s="839">
        <v>5889</v>
      </c>
      <c r="G14" s="741">
        <v>0.88516458740417858</v>
      </c>
      <c r="H14" s="839"/>
      <c r="I14" s="725"/>
      <c r="J14" s="839"/>
      <c r="K14" s="725"/>
      <c r="L14" s="839"/>
      <c r="M14" s="741"/>
      <c r="N14" s="839"/>
      <c r="O14" s="725"/>
      <c r="P14" s="839"/>
      <c r="Q14" s="725"/>
      <c r="R14" s="839"/>
      <c r="S14" s="764"/>
    </row>
    <row r="15" spans="1:19" ht="14.4" customHeight="1" x14ac:dyDescent="0.3">
      <c r="A15" s="751" t="s">
        <v>3051</v>
      </c>
      <c r="B15" s="839">
        <v>353</v>
      </c>
      <c r="C15" s="725"/>
      <c r="D15" s="839"/>
      <c r="E15" s="725"/>
      <c r="F15" s="839">
        <v>251</v>
      </c>
      <c r="G15" s="741"/>
      <c r="H15" s="839"/>
      <c r="I15" s="725"/>
      <c r="J15" s="839"/>
      <c r="K15" s="725"/>
      <c r="L15" s="839"/>
      <c r="M15" s="741"/>
      <c r="N15" s="839"/>
      <c r="O15" s="725"/>
      <c r="P15" s="839"/>
      <c r="Q15" s="725"/>
      <c r="R15" s="839"/>
      <c r="S15" s="764"/>
    </row>
    <row r="16" spans="1:19" ht="14.4" customHeight="1" x14ac:dyDescent="0.3">
      <c r="A16" s="751" t="s">
        <v>3052</v>
      </c>
      <c r="B16" s="839">
        <v>235</v>
      </c>
      <c r="C16" s="725"/>
      <c r="D16" s="839"/>
      <c r="E16" s="725"/>
      <c r="F16" s="839"/>
      <c r="G16" s="741"/>
      <c r="H16" s="839"/>
      <c r="I16" s="725"/>
      <c r="J16" s="839"/>
      <c r="K16" s="725"/>
      <c r="L16" s="839"/>
      <c r="M16" s="741"/>
      <c r="N16" s="839"/>
      <c r="O16" s="725"/>
      <c r="P16" s="839"/>
      <c r="Q16" s="725"/>
      <c r="R16" s="839"/>
      <c r="S16" s="764"/>
    </row>
    <row r="17" spans="1:19" ht="14.4" customHeight="1" x14ac:dyDescent="0.3">
      <c r="A17" s="751" t="s">
        <v>3053</v>
      </c>
      <c r="B17" s="839">
        <v>118</v>
      </c>
      <c r="C17" s="725"/>
      <c r="D17" s="839"/>
      <c r="E17" s="725"/>
      <c r="F17" s="839">
        <v>373</v>
      </c>
      <c r="G17" s="741"/>
      <c r="H17" s="839"/>
      <c r="I17" s="725"/>
      <c r="J17" s="839"/>
      <c r="K17" s="725"/>
      <c r="L17" s="839"/>
      <c r="M17" s="741"/>
      <c r="N17" s="839"/>
      <c r="O17" s="725"/>
      <c r="P17" s="839"/>
      <c r="Q17" s="725"/>
      <c r="R17" s="839"/>
      <c r="S17" s="764"/>
    </row>
    <row r="18" spans="1:19" ht="14.4" customHeight="1" x14ac:dyDescent="0.3">
      <c r="A18" s="751" t="s">
        <v>3054</v>
      </c>
      <c r="B18" s="839">
        <v>940</v>
      </c>
      <c r="C18" s="725">
        <v>0.81151312665647968</v>
      </c>
      <c r="D18" s="839">
        <v>1158.33</v>
      </c>
      <c r="E18" s="725">
        <v>1</v>
      </c>
      <c r="F18" s="839">
        <v>753</v>
      </c>
      <c r="G18" s="741">
        <v>0.65007381316205226</v>
      </c>
      <c r="H18" s="839"/>
      <c r="I18" s="725"/>
      <c r="J18" s="839"/>
      <c r="K18" s="725"/>
      <c r="L18" s="839"/>
      <c r="M18" s="741"/>
      <c r="N18" s="839"/>
      <c r="O18" s="725"/>
      <c r="P18" s="839"/>
      <c r="Q18" s="725"/>
      <c r="R18" s="839"/>
      <c r="S18" s="764"/>
    </row>
    <row r="19" spans="1:19" ht="14.4" customHeight="1" x14ac:dyDescent="0.3">
      <c r="A19" s="751" t="s">
        <v>3055</v>
      </c>
      <c r="B19" s="839">
        <v>19365</v>
      </c>
      <c r="C19" s="725">
        <v>0.71769217769265203</v>
      </c>
      <c r="D19" s="839">
        <v>26982.32</v>
      </c>
      <c r="E19" s="725">
        <v>1</v>
      </c>
      <c r="F19" s="839">
        <v>20447.630000000005</v>
      </c>
      <c r="G19" s="741">
        <v>0.7578158586807956</v>
      </c>
      <c r="H19" s="839"/>
      <c r="I19" s="725"/>
      <c r="J19" s="839"/>
      <c r="K19" s="725"/>
      <c r="L19" s="839"/>
      <c r="M19" s="741"/>
      <c r="N19" s="839"/>
      <c r="O19" s="725"/>
      <c r="P19" s="839"/>
      <c r="Q19" s="725"/>
      <c r="R19" s="839"/>
      <c r="S19" s="764"/>
    </row>
    <row r="20" spans="1:19" ht="14.4" customHeight="1" x14ac:dyDescent="0.3">
      <c r="A20" s="751" t="s">
        <v>3056</v>
      </c>
      <c r="B20" s="839">
        <v>353</v>
      </c>
      <c r="C20" s="725">
        <v>0.6594063474865971</v>
      </c>
      <c r="D20" s="839">
        <v>535.32999999999993</v>
      </c>
      <c r="E20" s="725">
        <v>1</v>
      </c>
      <c r="F20" s="839">
        <v>126</v>
      </c>
      <c r="G20" s="741">
        <v>0.23536883791306301</v>
      </c>
      <c r="H20" s="839"/>
      <c r="I20" s="725"/>
      <c r="J20" s="839"/>
      <c r="K20" s="725"/>
      <c r="L20" s="839"/>
      <c r="M20" s="741"/>
      <c r="N20" s="839"/>
      <c r="O20" s="725"/>
      <c r="P20" s="839"/>
      <c r="Q20" s="725"/>
      <c r="R20" s="839"/>
      <c r="S20" s="764"/>
    </row>
    <row r="21" spans="1:19" ht="14.4" customHeight="1" x14ac:dyDescent="0.3">
      <c r="A21" s="751" t="s">
        <v>3057</v>
      </c>
      <c r="B21" s="839">
        <v>3292</v>
      </c>
      <c r="C21" s="725">
        <v>2.017156862745098</v>
      </c>
      <c r="D21" s="839">
        <v>1632</v>
      </c>
      <c r="E21" s="725">
        <v>1</v>
      </c>
      <c r="F21" s="839">
        <v>1382</v>
      </c>
      <c r="G21" s="741">
        <v>0.84681372549019607</v>
      </c>
      <c r="H21" s="839"/>
      <c r="I21" s="725"/>
      <c r="J21" s="839"/>
      <c r="K21" s="725"/>
      <c r="L21" s="839"/>
      <c r="M21" s="741"/>
      <c r="N21" s="839"/>
      <c r="O21" s="725"/>
      <c r="P21" s="839"/>
      <c r="Q21" s="725"/>
      <c r="R21" s="839"/>
      <c r="S21" s="764"/>
    </row>
    <row r="22" spans="1:19" ht="14.4" customHeight="1" x14ac:dyDescent="0.3">
      <c r="A22" s="751" t="s">
        <v>3058</v>
      </c>
      <c r="B22" s="839">
        <v>235</v>
      </c>
      <c r="C22" s="725"/>
      <c r="D22" s="839"/>
      <c r="E22" s="725"/>
      <c r="F22" s="839"/>
      <c r="G22" s="741"/>
      <c r="H22" s="839"/>
      <c r="I22" s="725"/>
      <c r="J22" s="839"/>
      <c r="K22" s="725"/>
      <c r="L22" s="839"/>
      <c r="M22" s="741"/>
      <c r="N22" s="839"/>
      <c r="O22" s="725"/>
      <c r="P22" s="839"/>
      <c r="Q22" s="725"/>
      <c r="R22" s="839"/>
      <c r="S22" s="764"/>
    </row>
    <row r="23" spans="1:19" ht="14.4" customHeight="1" x14ac:dyDescent="0.3">
      <c r="A23" s="751" t="s">
        <v>3059</v>
      </c>
      <c r="B23" s="839">
        <v>1681</v>
      </c>
      <c r="C23" s="725">
        <v>1.3180902197862514</v>
      </c>
      <c r="D23" s="839">
        <v>1275.33</v>
      </c>
      <c r="E23" s="725">
        <v>1</v>
      </c>
      <c r="F23" s="839">
        <v>2835</v>
      </c>
      <c r="G23" s="741">
        <v>2.2229540589494485</v>
      </c>
      <c r="H23" s="839"/>
      <c r="I23" s="725"/>
      <c r="J23" s="839"/>
      <c r="K23" s="725"/>
      <c r="L23" s="839"/>
      <c r="M23" s="741"/>
      <c r="N23" s="839"/>
      <c r="O23" s="725"/>
      <c r="P23" s="839"/>
      <c r="Q23" s="725"/>
      <c r="R23" s="839"/>
      <c r="S23" s="764"/>
    </row>
    <row r="24" spans="1:19" ht="14.4" customHeight="1" x14ac:dyDescent="0.3">
      <c r="A24" s="751" t="s">
        <v>3060</v>
      </c>
      <c r="B24" s="839">
        <v>188</v>
      </c>
      <c r="C24" s="725">
        <v>0.34879406307977734</v>
      </c>
      <c r="D24" s="839">
        <v>539</v>
      </c>
      <c r="E24" s="725">
        <v>1</v>
      </c>
      <c r="F24" s="839">
        <v>126</v>
      </c>
      <c r="G24" s="741">
        <v>0.23376623376623376</v>
      </c>
      <c r="H24" s="839"/>
      <c r="I24" s="725"/>
      <c r="J24" s="839"/>
      <c r="K24" s="725"/>
      <c r="L24" s="839"/>
      <c r="M24" s="741"/>
      <c r="N24" s="839"/>
      <c r="O24" s="725"/>
      <c r="P24" s="839"/>
      <c r="Q24" s="725"/>
      <c r="R24" s="839"/>
      <c r="S24" s="764"/>
    </row>
    <row r="25" spans="1:19" ht="14.4" customHeight="1" x14ac:dyDescent="0.3">
      <c r="A25" s="751" t="s">
        <v>3061</v>
      </c>
      <c r="B25" s="839">
        <v>3645</v>
      </c>
      <c r="C25" s="725">
        <v>1.3192182410423452</v>
      </c>
      <c r="D25" s="839">
        <v>2763</v>
      </c>
      <c r="E25" s="725">
        <v>1</v>
      </c>
      <c r="F25" s="839">
        <v>2793.33</v>
      </c>
      <c r="G25" s="741">
        <v>1.0109771986970684</v>
      </c>
      <c r="H25" s="839"/>
      <c r="I25" s="725"/>
      <c r="J25" s="839"/>
      <c r="K25" s="725"/>
      <c r="L25" s="839"/>
      <c r="M25" s="741"/>
      <c r="N25" s="839"/>
      <c r="O25" s="725"/>
      <c r="P25" s="839"/>
      <c r="Q25" s="725"/>
      <c r="R25" s="839"/>
      <c r="S25" s="764"/>
    </row>
    <row r="26" spans="1:19" ht="14.4" customHeight="1" x14ac:dyDescent="0.3">
      <c r="A26" s="751" t="s">
        <v>3062</v>
      </c>
      <c r="B26" s="839">
        <v>623</v>
      </c>
      <c r="C26" s="725">
        <v>0.37590582442844817</v>
      </c>
      <c r="D26" s="839">
        <v>1657.33</v>
      </c>
      <c r="E26" s="725">
        <v>1</v>
      </c>
      <c r="F26" s="839">
        <v>2328.66</v>
      </c>
      <c r="G26" s="741">
        <v>1.4050671863780901</v>
      </c>
      <c r="H26" s="839"/>
      <c r="I26" s="725"/>
      <c r="J26" s="839"/>
      <c r="K26" s="725"/>
      <c r="L26" s="839"/>
      <c r="M26" s="741"/>
      <c r="N26" s="839"/>
      <c r="O26" s="725"/>
      <c r="P26" s="839"/>
      <c r="Q26" s="725"/>
      <c r="R26" s="839"/>
      <c r="S26" s="764"/>
    </row>
    <row r="27" spans="1:19" ht="14.4" customHeight="1" x14ac:dyDescent="0.3">
      <c r="A27" s="751" t="s">
        <v>3063</v>
      </c>
      <c r="B27" s="839"/>
      <c r="C27" s="725"/>
      <c r="D27" s="839">
        <v>753</v>
      </c>
      <c r="E27" s="725">
        <v>1</v>
      </c>
      <c r="F27" s="839">
        <v>126</v>
      </c>
      <c r="G27" s="741">
        <v>0.16733067729083664</v>
      </c>
      <c r="H27" s="839"/>
      <c r="I27" s="725"/>
      <c r="J27" s="839"/>
      <c r="K27" s="725"/>
      <c r="L27" s="839"/>
      <c r="M27" s="741"/>
      <c r="N27" s="839"/>
      <c r="O27" s="725"/>
      <c r="P27" s="839"/>
      <c r="Q27" s="725"/>
      <c r="R27" s="839"/>
      <c r="S27" s="764"/>
    </row>
    <row r="28" spans="1:19" ht="14.4" customHeight="1" thickBot="1" x14ac:dyDescent="0.35">
      <c r="A28" s="843" t="s">
        <v>3064</v>
      </c>
      <c r="B28" s="841"/>
      <c r="C28" s="731"/>
      <c r="D28" s="841">
        <v>2411.33</v>
      </c>
      <c r="E28" s="731">
        <v>1</v>
      </c>
      <c r="F28" s="841">
        <v>2137.9899999999998</v>
      </c>
      <c r="G28" s="742">
        <v>0.88664347061580118</v>
      </c>
      <c r="H28" s="841"/>
      <c r="I28" s="731"/>
      <c r="J28" s="841"/>
      <c r="K28" s="731"/>
      <c r="L28" s="841"/>
      <c r="M28" s="742"/>
      <c r="N28" s="841"/>
      <c r="O28" s="731"/>
      <c r="P28" s="841"/>
      <c r="Q28" s="731"/>
      <c r="R28" s="841"/>
      <c r="S28" s="76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45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6" t="s">
        <v>3605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7" ht="14.4" customHeight="1" thickBot="1" x14ac:dyDescent="0.35">
      <c r="A2" s="374" t="s">
        <v>323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159</v>
      </c>
      <c r="F3" s="207">
        <f t="shared" ref="F3:O3" si="0">SUBTOTAL(9,F6:F1048576)</f>
        <v>9327.67</v>
      </c>
      <c r="G3" s="208">
        <f t="shared" si="0"/>
        <v>23132496.779999994</v>
      </c>
      <c r="H3" s="208"/>
      <c r="I3" s="208"/>
      <c r="J3" s="208">
        <f t="shared" si="0"/>
        <v>9020.3099999999977</v>
      </c>
      <c r="K3" s="208">
        <f t="shared" si="0"/>
        <v>22199273.779999986</v>
      </c>
      <c r="L3" s="208"/>
      <c r="M3" s="208"/>
      <c r="N3" s="208">
        <f t="shared" si="0"/>
        <v>9378.3900000000012</v>
      </c>
      <c r="O3" s="208">
        <f t="shared" si="0"/>
        <v>21541521.779999997</v>
      </c>
      <c r="P3" s="79">
        <f>IF(K3=0,0,O3/K3)</f>
        <v>0.97037056227521379</v>
      </c>
      <c r="Q3" s="209">
        <f>IF(N3=0,0,O3/N3)</f>
        <v>2296.9317526782311</v>
      </c>
    </row>
    <row r="4" spans="1:17" ht="14.4" customHeight="1" x14ac:dyDescent="0.3">
      <c r="A4" s="611" t="s">
        <v>74</v>
      </c>
      <c r="B4" s="609" t="s">
        <v>119</v>
      </c>
      <c r="C4" s="611" t="s">
        <v>120</v>
      </c>
      <c r="D4" s="620" t="s">
        <v>121</v>
      </c>
      <c r="E4" s="612" t="s">
        <v>81</v>
      </c>
      <c r="F4" s="618">
        <v>2015</v>
      </c>
      <c r="G4" s="619"/>
      <c r="H4" s="210"/>
      <c r="I4" s="210"/>
      <c r="J4" s="618">
        <v>2016</v>
      </c>
      <c r="K4" s="619"/>
      <c r="L4" s="210"/>
      <c r="M4" s="210"/>
      <c r="N4" s="618">
        <v>2017</v>
      </c>
      <c r="O4" s="619"/>
      <c r="P4" s="621" t="s">
        <v>2</v>
      </c>
      <c r="Q4" s="610" t="s">
        <v>122</v>
      </c>
    </row>
    <row r="5" spans="1:17" ht="14.4" customHeight="1" thickBot="1" x14ac:dyDescent="0.35">
      <c r="A5" s="846"/>
      <c r="B5" s="844"/>
      <c r="C5" s="846"/>
      <c r="D5" s="856"/>
      <c r="E5" s="848"/>
      <c r="F5" s="857" t="s">
        <v>91</v>
      </c>
      <c r="G5" s="858" t="s">
        <v>14</v>
      </c>
      <c r="H5" s="859"/>
      <c r="I5" s="859"/>
      <c r="J5" s="857" t="s">
        <v>91</v>
      </c>
      <c r="K5" s="858" t="s">
        <v>14</v>
      </c>
      <c r="L5" s="859"/>
      <c r="M5" s="859"/>
      <c r="N5" s="857" t="s">
        <v>91</v>
      </c>
      <c r="O5" s="858" t="s">
        <v>14</v>
      </c>
      <c r="P5" s="860"/>
      <c r="Q5" s="853"/>
    </row>
    <row r="6" spans="1:17" ht="14.4" customHeight="1" x14ac:dyDescent="0.3">
      <c r="A6" s="799" t="s">
        <v>3065</v>
      </c>
      <c r="B6" s="800" t="s">
        <v>2982</v>
      </c>
      <c r="C6" s="800" t="s">
        <v>2989</v>
      </c>
      <c r="D6" s="800" t="s">
        <v>3002</v>
      </c>
      <c r="E6" s="800" t="s">
        <v>3003</v>
      </c>
      <c r="F6" s="225">
        <v>2</v>
      </c>
      <c r="G6" s="225">
        <v>236</v>
      </c>
      <c r="H6" s="225">
        <v>1.873015873015873</v>
      </c>
      <c r="I6" s="225">
        <v>118</v>
      </c>
      <c r="J6" s="225">
        <v>1</v>
      </c>
      <c r="K6" s="225">
        <v>126</v>
      </c>
      <c r="L6" s="225">
        <v>1</v>
      </c>
      <c r="M6" s="225">
        <v>126</v>
      </c>
      <c r="N6" s="225">
        <v>2</v>
      </c>
      <c r="O6" s="225">
        <v>252</v>
      </c>
      <c r="P6" s="805">
        <v>2</v>
      </c>
      <c r="Q6" s="813">
        <v>126</v>
      </c>
    </row>
    <row r="7" spans="1:17" ht="14.4" customHeight="1" x14ac:dyDescent="0.3">
      <c r="A7" s="724" t="s">
        <v>3065</v>
      </c>
      <c r="B7" s="725" t="s">
        <v>2982</v>
      </c>
      <c r="C7" s="725" t="s">
        <v>2989</v>
      </c>
      <c r="D7" s="725" t="s">
        <v>3010</v>
      </c>
      <c r="E7" s="725" t="s">
        <v>3011</v>
      </c>
      <c r="F7" s="728">
        <v>1</v>
      </c>
      <c r="G7" s="728">
        <v>0</v>
      </c>
      <c r="H7" s="728"/>
      <c r="I7" s="728">
        <v>0</v>
      </c>
      <c r="J7" s="728"/>
      <c r="K7" s="728"/>
      <c r="L7" s="728"/>
      <c r="M7" s="728"/>
      <c r="N7" s="728">
        <v>1</v>
      </c>
      <c r="O7" s="728">
        <v>33.33</v>
      </c>
      <c r="P7" s="741"/>
      <c r="Q7" s="729">
        <v>33.33</v>
      </c>
    </row>
    <row r="8" spans="1:17" ht="14.4" customHeight="1" x14ac:dyDescent="0.3">
      <c r="A8" s="724" t="s">
        <v>3065</v>
      </c>
      <c r="B8" s="725" t="s">
        <v>2982</v>
      </c>
      <c r="C8" s="725" t="s">
        <v>2989</v>
      </c>
      <c r="D8" s="725" t="s">
        <v>3012</v>
      </c>
      <c r="E8" s="725" t="s">
        <v>3013</v>
      </c>
      <c r="F8" s="728">
        <v>3</v>
      </c>
      <c r="G8" s="728">
        <v>705</v>
      </c>
      <c r="H8" s="728">
        <v>2.808764940239044</v>
      </c>
      <c r="I8" s="728">
        <v>235</v>
      </c>
      <c r="J8" s="728">
        <v>1</v>
      </c>
      <c r="K8" s="728">
        <v>251</v>
      </c>
      <c r="L8" s="728">
        <v>1</v>
      </c>
      <c r="M8" s="728">
        <v>251</v>
      </c>
      <c r="N8" s="728">
        <v>2</v>
      </c>
      <c r="O8" s="728">
        <v>502</v>
      </c>
      <c r="P8" s="741">
        <v>2</v>
      </c>
      <c r="Q8" s="729">
        <v>251</v>
      </c>
    </row>
    <row r="9" spans="1:17" ht="14.4" customHeight="1" x14ac:dyDescent="0.3">
      <c r="A9" s="724" t="s">
        <v>3066</v>
      </c>
      <c r="B9" s="725" t="s">
        <v>2982</v>
      </c>
      <c r="C9" s="725" t="s">
        <v>2989</v>
      </c>
      <c r="D9" s="725" t="s">
        <v>3002</v>
      </c>
      <c r="E9" s="725" t="s">
        <v>3003</v>
      </c>
      <c r="F9" s="728"/>
      <c r="G9" s="728"/>
      <c r="H9" s="728"/>
      <c r="I9" s="728"/>
      <c r="J9" s="728"/>
      <c r="K9" s="728"/>
      <c r="L9" s="728"/>
      <c r="M9" s="728"/>
      <c r="N9" s="728">
        <v>1</v>
      </c>
      <c r="O9" s="728">
        <v>126</v>
      </c>
      <c r="P9" s="741"/>
      <c r="Q9" s="729">
        <v>126</v>
      </c>
    </row>
    <row r="10" spans="1:17" ht="14.4" customHeight="1" x14ac:dyDescent="0.3">
      <c r="A10" s="724" t="s">
        <v>3066</v>
      </c>
      <c r="B10" s="725" t="s">
        <v>2982</v>
      </c>
      <c r="C10" s="725" t="s">
        <v>2989</v>
      </c>
      <c r="D10" s="725" t="s">
        <v>3010</v>
      </c>
      <c r="E10" s="725" t="s">
        <v>3011</v>
      </c>
      <c r="F10" s="728"/>
      <c r="G10" s="728"/>
      <c r="H10" s="728"/>
      <c r="I10" s="728"/>
      <c r="J10" s="728">
        <v>1</v>
      </c>
      <c r="K10" s="728">
        <v>33.33</v>
      </c>
      <c r="L10" s="728">
        <v>1</v>
      </c>
      <c r="M10" s="728">
        <v>33.33</v>
      </c>
      <c r="N10" s="728">
        <v>1</v>
      </c>
      <c r="O10" s="728">
        <v>33.33</v>
      </c>
      <c r="P10" s="741">
        <v>1</v>
      </c>
      <c r="Q10" s="729">
        <v>33.33</v>
      </c>
    </row>
    <row r="11" spans="1:17" ht="14.4" customHeight="1" x14ac:dyDescent="0.3">
      <c r="A11" s="724" t="s">
        <v>3066</v>
      </c>
      <c r="B11" s="725" t="s">
        <v>2982</v>
      </c>
      <c r="C11" s="725" t="s">
        <v>2989</v>
      </c>
      <c r="D11" s="725" t="s">
        <v>3012</v>
      </c>
      <c r="E11" s="725" t="s">
        <v>3013</v>
      </c>
      <c r="F11" s="728">
        <v>2</v>
      </c>
      <c r="G11" s="728">
        <v>470</v>
      </c>
      <c r="H11" s="728">
        <v>1.8725099601593624</v>
      </c>
      <c r="I11" s="728">
        <v>235</v>
      </c>
      <c r="J11" s="728">
        <v>1</v>
      </c>
      <c r="K11" s="728">
        <v>251</v>
      </c>
      <c r="L11" s="728">
        <v>1</v>
      </c>
      <c r="M11" s="728">
        <v>251</v>
      </c>
      <c r="N11" s="728">
        <v>3</v>
      </c>
      <c r="O11" s="728">
        <v>753</v>
      </c>
      <c r="P11" s="741">
        <v>3</v>
      </c>
      <c r="Q11" s="729">
        <v>251</v>
      </c>
    </row>
    <row r="12" spans="1:17" ht="14.4" customHeight="1" x14ac:dyDescent="0.3">
      <c r="A12" s="724" t="s">
        <v>3066</v>
      </c>
      <c r="B12" s="725" t="s">
        <v>2982</v>
      </c>
      <c r="C12" s="725" t="s">
        <v>2989</v>
      </c>
      <c r="D12" s="725" t="s">
        <v>3028</v>
      </c>
      <c r="E12" s="725" t="s">
        <v>3029</v>
      </c>
      <c r="F12" s="728">
        <v>1</v>
      </c>
      <c r="G12" s="728">
        <v>349</v>
      </c>
      <c r="H12" s="728"/>
      <c r="I12" s="728">
        <v>349</v>
      </c>
      <c r="J12" s="728"/>
      <c r="K12" s="728"/>
      <c r="L12" s="728"/>
      <c r="M12" s="728"/>
      <c r="N12" s="728">
        <v>1</v>
      </c>
      <c r="O12" s="728">
        <v>373</v>
      </c>
      <c r="P12" s="741"/>
      <c r="Q12" s="729">
        <v>373</v>
      </c>
    </row>
    <row r="13" spans="1:17" ht="14.4" customHeight="1" x14ac:dyDescent="0.3">
      <c r="A13" s="724" t="s">
        <v>3067</v>
      </c>
      <c r="B13" s="725" t="s">
        <v>2982</v>
      </c>
      <c r="C13" s="725" t="s">
        <v>2989</v>
      </c>
      <c r="D13" s="725" t="s">
        <v>3002</v>
      </c>
      <c r="E13" s="725" t="s">
        <v>3003</v>
      </c>
      <c r="F13" s="728">
        <v>2</v>
      </c>
      <c r="G13" s="728">
        <v>236</v>
      </c>
      <c r="H13" s="728">
        <v>1.873015873015873</v>
      </c>
      <c r="I13" s="728">
        <v>118</v>
      </c>
      <c r="J13" s="728">
        <v>1</v>
      </c>
      <c r="K13" s="728">
        <v>126</v>
      </c>
      <c r="L13" s="728">
        <v>1</v>
      </c>
      <c r="M13" s="728">
        <v>126</v>
      </c>
      <c r="N13" s="728">
        <v>4</v>
      </c>
      <c r="O13" s="728">
        <v>504</v>
      </c>
      <c r="P13" s="741">
        <v>4</v>
      </c>
      <c r="Q13" s="729">
        <v>126</v>
      </c>
    </row>
    <row r="14" spans="1:17" ht="14.4" customHeight="1" x14ac:dyDescent="0.3">
      <c r="A14" s="724" t="s">
        <v>3067</v>
      </c>
      <c r="B14" s="725" t="s">
        <v>2982</v>
      </c>
      <c r="C14" s="725" t="s">
        <v>2989</v>
      </c>
      <c r="D14" s="725" t="s">
        <v>3010</v>
      </c>
      <c r="E14" s="725" t="s">
        <v>3011</v>
      </c>
      <c r="F14" s="728">
        <v>4</v>
      </c>
      <c r="G14" s="728">
        <v>0</v>
      </c>
      <c r="H14" s="728"/>
      <c r="I14" s="728">
        <v>0</v>
      </c>
      <c r="J14" s="728"/>
      <c r="K14" s="728"/>
      <c r="L14" s="728"/>
      <c r="M14" s="728"/>
      <c r="N14" s="728">
        <v>2</v>
      </c>
      <c r="O14" s="728">
        <v>66.66</v>
      </c>
      <c r="P14" s="741"/>
      <c r="Q14" s="729">
        <v>33.33</v>
      </c>
    </row>
    <row r="15" spans="1:17" ht="14.4" customHeight="1" x14ac:dyDescent="0.3">
      <c r="A15" s="724" t="s">
        <v>3067</v>
      </c>
      <c r="B15" s="725" t="s">
        <v>2982</v>
      </c>
      <c r="C15" s="725" t="s">
        <v>2989</v>
      </c>
      <c r="D15" s="725" t="s">
        <v>3012</v>
      </c>
      <c r="E15" s="725" t="s">
        <v>3013</v>
      </c>
      <c r="F15" s="728">
        <v>6</v>
      </c>
      <c r="G15" s="728">
        <v>1410</v>
      </c>
      <c r="H15" s="728">
        <v>5.617529880478088</v>
      </c>
      <c r="I15" s="728">
        <v>235</v>
      </c>
      <c r="J15" s="728">
        <v>1</v>
      </c>
      <c r="K15" s="728">
        <v>251</v>
      </c>
      <c r="L15" s="728">
        <v>1</v>
      </c>
      <c r="M15" s="728">
        <v>251</v>
      </c>
      <c r="N15" s="728">
        <v>5</v>
      </c>
      <c r="O15" s="728">
        <v>1255</v>
      </c>
      <c r="P15" s="741">
        <v>5</v>
      </c>
      <c r="Q15" s="729">
        <v>251</v>
      </c>
    </row>
    <row r="16" spans="1:17" ht="14.4" customHeight="1" x14ac:dyDescent="0.3">
      <c r="A16" s="724" t="s">
        <v>3067</v>
      </c>
      <c r="B16" s="725" t="s">
        <v>2982</v>
      </c>
      <c r="C16" s="725" t="s">
        <v>2989</v>
      </c>
      <c r="D16" s="725" t="s">
        <v>3028</v>
      </c>
      <c r="E16" s="725" t="s">
        <v>3029</v>
      </c>
      <c r="F16" s="728"/>
      <c r="G16" s="728"/>
      <c r="H16" s="728"/>
      <c r="I16" s="728"/>
      <c r="J16" s="728"/>
      <c r="K16" s="728"/>
      <c r="L16" s="728"/>
      <c r="M16" s="728"/>
      <c r="N16" s="728">
        <v>3</v>
      </c>
      <c r="O16" s="728">
        <v>1119</v>
      </c>
      <c r="P16" s="741"/>
      <c r="Q16" s="729">
        <v>373</v>
      </c>
    </row>
    <row r="17" spans="1:17" ht="14.4" customHeight="1" x14ac:dyDescent="0.3">
      <c r="A17" s="724" t="s">
        <v>3068</v>
      </c>
      <c r="B17" s="725" t="s">
        <v>2982</v>
      </c>
      <c r="C17" s="725" t="s">
        <v>2989</v>
      </c>
      <c r="D17" s="725" t="s">
        <v>3012</v>
      </c>
      <c r="E17" s="725" t="s">
        <v>3013</v>
      </c>
      <c r="F17" s="728">
        <v>1</v>
      </c>
      <c r="G17" s="728">
        <v>235</v>
      </c>
      <c r="H17" s="728"/>
      <c r="I17" s="728">
        <v>235</v>
      </c>
      <c r="J17" s="728"/>
      <c r="K17" s="728"/>
      <c r="L17" s="728"/>
      <c r="M17" s="728"/>
      <c r="N17" s="728"/>
      <c r="O17" s="728"/>
      <c r="P17" s="741"/>
      <c r="Q17" s="729"/>
    </row>
    <row r="18" spans="1:17" ht="14.4" customHeight="1" x14ac:dyDescent="0.3">
      <c r="A18" s="724" t="s">
        <v>552</v>
      </c>
      <c r="B18" s="725" t="s">
        <v>2982</v>
      </c>
      <c r="C18" s="725" t="s">
        <v>2989</v>
      </c>
      <c r="D18" s="725" t="s">
        <v>2992</v>
      </c>
      <c r="E18" s="725" t="s">
        <v>2993</v>
      </c>
      <c r="F18" s="728">
        <v>1</v>
      </c>
      <c r="G18" s="728">
        <v>35</v>
      </c>
      <c r="H18" s="728">
        <v>0.47297297297297297</v>
      </c>
      <c r="I18" s="728">
        <v>35</v>
      </c>
      <c r="J18" s="728">
        <v>2</v>
      </c>
      <c r="K18" s="728">
        <v>74</v>
      </c>
      <c r="L18" s="728">
        <v>1</v>
      </c>
      <c r="M18" s="728">
        <v>37</v>
      </c>
      <c r="N18" s="728">
        <v>4</v>
      </c>
      <c r="O18" s="728">
        <v>148</v>
      </c>
      <c r="P18" s="741">
        <v>2</v>
      </c>
      <c r="Q18" s="729">
        <v>37</v>
      </c>
    </row>
    <row r="19" spans="1:17" ht="14.4" customHeight="1" x14ac:dyDescent="0.3">
      <c r="A19" s="724" t="s">
        <v>552</v>
      </c>
      <c r="B19" s="725" t="s">
        <v>2982</v>
      </c>
      <c r="C19" s="725" t="s">
        <v>2989</v>
      </c>
      <c r="D19" s="725" t="s">
        <v>2994</v>
      </c>
      <c r="E19" s="725" t="s">
        <v>2995</v>
      </c>
      <c r="F19" s="728">
        <v>46</v>
      </c>
      <c r="G19" s="728">
        <v>230</v>
      </c>
      <c r="H19" s="728">
        <v>0.83636363636363631</v>
      </c>
      <c r="I19" s="728">
        <v>5</v>
      </c>
      <c r="J19" s="728">
        <v>55</v>
      </c>
      <c r="K19" s="728">
        <v>275</v>
      </c>
      <c r="L19" s="728">
        <v>1</v>
      </c>
      <c r="M19" s="728">
        <v>5</v>
      </c>
      <c r="N19" s="728">
        <v>45</v>
      </c>
      <c r="O19" s="728">
        <v>225</v>
      </c>
      <c r="P19" s="741">
        <v>0.81818181818181823</v>
      </c>
      <c r="Q19" s="729">
        <v>5</v>
      </c>
    </row>
    <row r="20" spans="1:17" ht="14.4" customHeight="1" x14ac:dyDescent="0.3">
      <c r="A20" s="724" t="s">
        <v>552</v>
      </c>
      <c r="B20" s="725" t="s">
        <v>2982</v>
      </c>
      <c r="C20" s="725" t="s">
        <v>2989</v>
      </c>
      <c r="D20" s="725" t="s">
        <v>3002</v>
      </c>
      <c r="E20" s="725" t="s">
        <v>3003</v>
      </c>
      <c r="F20" s="728">
        <v>1</v>
      </c>
      <c r="G20" s="728">
        <v>118</v>
      </c>
      <c r="H20" s="728">
        <v>0.46825396825396826</v>
      </c>
      <c r="I20" s="728">
        <v>118</v>
      </c>
      <c r="J20" s="728">
        <v>2</v>
      </c>
      <c r="K20" s="728">
        <v>252</v>
      </c>
      <c r="L20" s="728">
        <v>1</v>
      </c>
      <c r="M20" s="728">
        <v>126</v>
      </c>
      <c r="N20" s="728"/>
      <c r="O20" s="728"/>
      <c r="P20" s="741"/>
      <c r="Q20" s="729"/>
    </row>
    <row r="21" spans="1:17" ht="14.4" customHeight="1" x14ac:dyDescent="0.3">
      <c r="A21" s="724" t="s">
        <v>552</v>
      </c>
      <c r="B21" s="725" t="s">
        <v>2982</v>
      </c>
      <c r="C21" s="725" t="s">
        <v>2989</v>
      </c>
      <c r="D21" s="725" t="s">
        <v>3010</v>
      </c>
      <c r="E21" s="725" t="s">
        <v>3011</v>
      </c>
      <c r="F21" s="728">
        <v>25</v>
      </c>
      <c r="G21" s="728">
        <v>0</v>
      </c>
      <c r="H21" s="728">
        <v>0</v>
      </c>
      <c r="I21" s="728">
        <v>0</v>
      </c>
      <c r="J21" s="728">
        <v>6</v>
      </c>
      <c r="K21" s="728">
        <v>199.97999999999996</v>
      </c>
      <c r="L21" s="728">
        <v>1</v>
      </c>
      <c r="M21" s="728">
        <v>33.329999999999991</v>
      </c>
      <c r="N21" s="728">
        <v>13</v>
      </c>
      <c r="O21" s="728">
        <v>433.30999999999995</v>
      </c>
      <c r="P21" s="741">
        <v>2.1667666766676668</v>
      </c>
      <c r="Q21" s="729">
        <v>33.331538461538457</v>
      </c>
    </row>
    <row r="22" spans="1:17" ht="14.4" customHeight="1" x14ac:dyDescent="0.3">
      <c r="A22" s="724" t="s">
        <v>552</v>
      </c>
      <c r="B22" s="725" t="s">
        <v>2982</v>
      </c>
      <c r="C22" s="725" t="s">
        <v>2989</v>
      </c>
      <c r="D22" s="725" t="s">
        <v>3012</v>
      </c>
      <c r="E22" s="725" t="s">
        <v>3013</v>
      </c>
      <c r="F22" s="728">
        <v>3</v>
      </c>
      <c r="G22" s="728">
        <v>705</v>
      </c>
      <c r="H22" s="728">
        <v>0.56175298804780871</v>
      </c>
      <c r="I22" s="728">
        <v>235</v>
      </c>
      <c r="J22" s="728">
        <v>5</v>
      </c>
      <c r="K22" s="728">
        <v>1255</v>
      </c>
      <c r="L22" s="728">
        <v>1</v>
      </c>
      <c r="M22" s="728">
        <v>251</v>
      </c>
      <c r="N22" s="728">
        <v>6</v>
      </c>
      <c r="O22" s="728">
        <v>1506</v>
      </c>
      <c r="P22" s="741">
        <v>1.2</v>
      </c>
      <c r="Q22" s="729">
        <v>251</v>
      </c>
    </row>
    <row r="23" spans="1:17" ht="14.4" customHeight="1" x14ac:dyDescent="0.3">
      <c r="A23" s="724" t="s">
        <v>552</v>
      </c>
      <c r="B23" s="725" t="s">
        <v>2982</v>
      </c>
      <c r="C23" s="725" t="s">
        <v>2989</v>
      </c>
      <c r="D23" s="725" t="s">
        <v>3028</v>
      </c>
      <c r="E23" s="725" t="s">
        <v>3029</v>
      </c>
      <c r="F23" s="728">
        <v>2</v>
      </c>
      <c r="G23" s="728">
        <v>698</v>
      </c>
      <c r="H23" s="728">
        <v>0.93817204301075274</v>
      </c>
      <c r="I23" s="728">
        <v>349</v>
      </c>
      <c r="J23" s="728">
        <v>2</v>
      </c>
      <c r="K23" s="728">
        <v>744</v>
      </c>
      <c r="L23" s="728">
        <v>1</v>
      </c>
      <c r="M23" s="728">
        <v>372</v>
      </c>
      <c r="N23" s="728">
        <v>3</v>
      </c>
      <c r="O23" s="728">
        <v>1119</v>
      </c>
      <c r="P23" s="741">
        <v>1.5040322580645162</v>
      </c>
      <c r="Q23" s="729">
        <v>373</v>
      </c>
    </row>
    <row r="24" spans="1:17" ht="14.4" customHeight="1" x14ac:dyDescent="0.3">
      <c r="A24" s="724" t="s">
        <v>552</v>
      </c>
      <c r="B24" s="725" t="s">
        <v>3069</v>
      </c>
      <c r="C24" s="725" t="s">
        <v>2989</v>
      </c>
      <c r="D24" s="725" t="s">
        <v>3070</v>
      </c>
      <c r="E24" s="725" t="s">
        <v>3071</v>
      </c>
      <c r="F24" s="728">
        <v>4</v>
      </c>
      <c r="G24" s="728">
        <v>27408</v>
      </c>
      <c r="H24" s="728">
        <v>0.97913689625607314</v>
      </c>
      <c r="I24" s="728">
        <v>6852</v>
      </c>
      <c r="J24" s="728">
        <v>4</v>
      </c>
      <c r="K24" s="728">
        <v>27992</v>
      </c>
      <c r="L24" s="728">
        <v>1</v>
      </c>
      <c r="M24" s="728">
        <v>6998</v>
      </c>
      <c r="N24" s="728">
        <v>9</v>
      </c>
      <c r="O24" s="728">
        <v>63018</v>
      </c>
      <c r="P24" s="741">
        <v>2.2512860817376392</v>
      </c>
      <c r="Q24" s="729">
        <v>7002</v>
      </c>
    </row>
    <row r="25" spans="1:17" ht="14.4" customHeight="1" x14ac:dyDescent="0.3">
      <c r="A25" s="724" t="s">
        <v>552</v>
      </c>
      <c r="B25" s="725" t="s">
        <v>3069</v>
      </c>
      <c r="C25" s="725" t="s">
        <v>2989</v>
      </c>
      <c r="D25" s="725" t="s">
        <v>3072</v>
      </c>
      <c r="E25" s="725" t="s">
        <v>3073</v>
      </c>
      <c r="F25" s="728">
        <v>1</v>
      </c>
      <c r="G25" s="728">
        <v>8684</v>
      </c>
      <c r="H25" s="728"/>
      <c r="I25" s="728">
        <v>8684</v>
      </c>
      <c r="J25" s="728"/>
      <c r="K25" s="728"/>
      <c r="L25" s="728"/>
      <c r="M25" s="728"/>
      <c r="N25" s="728"/>
      <c r="O25" s="728"/>
      <c r="P25" s="741"/>
      <c r="Q25" s="729"/>
    </row>
    <row r="26" spans="1:17" ht="14.4" customHeight="1" x14ac:dyDescent="0.3">
      <c r="A26" s="724" t="s">
        <v>552</v>
      </c>
      <c r="B26" s="725" t="s">
        <v>3069</v>
      </c>
      <c r="C26" s="725" t="s">
        <v>2989</v>
      </c>
      <c r="D26" s="725" t="s">
        <v>3074</v>
      </c>
      <c r="E26" s="725" t="s">
        <v>3075</v>
      </c>
      <c r="F26" s="728"/>
      <c r="G26" s="728"/>
      <c r="H26" s="728"/>
      <c r="I26" s="728"/>
      <c r="J26" s="728">
        <v>1</v>
      </c>
      <c r="K26" s="728">
        <v>3297</v>
      </c>
      <c r="L26" s="728">
        <v>1</v>
      </c>
      <c r="M26" s="728">
        <v>3297</v>
      </c>
      <c r="N26" s="728"/>
      <c r="O26" s="728"/>
      <c r="P26" s="741"/>
      <c r="Q26" s="729"/>
    </row>
    <row r="27" spans="1:17" ht="14.4" customHeight="1" x14ac:dyDescent="0.3">
      <c r="A27" s="724" t="s">
        <v>552</v>
      </c>
      <c r="B27" s="725" t="s">
        <v>3069</v>
      </c>
      <c r="C27" s="725" t="s">
        <v>2989</v>
      </c>
      <c r="D27" s="725" t="s">
        <v>3076</v>
      </c>
      <c r="E27" s="725" t="s">
        <v>3077</v>
      </c>
      <c r="F27" s="728">
        <v>1</v>
      </c>
      <c r="G27" s="728">
        <v>9052</v>
      </c>
      <c r="H27" s="728"/>
      <c r="I27" s="728">
        <v>9052</v>
      </c>
      <c r="J27" s="728"/>
      <c r="K27" s="728"/>
      <c r="L27" s="728"/>
      <c r="M27" s="728"/>
      <c r="N27" s="728"/>
      <c r="O27" s="728"/>
      <c r="P27" s="741"/>
      <c r="Q27" s="729"/>
    </row>
    <row r="28" spans="1:17" ht="14.4" customHeight="1" x14ac:dyDescent="0.3">
      <c r="A28" s="724" t="s">
        <v>552</v>
      </c>
      <c r="B28" s="725" t="s">
        <v>3069</v>
      </c>
      <c r="C28" s="725" t="s">
        <v>2989</v>
      </c>
      <c r="D28" s="725" t="s">
        <v>3078</v>
      </c>
      <c r="E28" s="725" t="s">
        <v>3079</v>
      </c>
      <c r="F28" s="728"/>
      <c r="G28" s="728"/>
      <c r="H28" s="728"/>
      <c r="I28" s="728"/>
      <c r="J28" s="728"/>
      <c r="K28" s="728"/>
      <c r="L28" s="728"/>
      <c r="M28" s="728"/>
      <c r="N28" s="728">
        <v>2</v>
      </c>
      <c r="O28" s="728">
        <v>9334</v>
      </c>
      <c r="P28" s="741"/>
      <c r="Q28" s="729">
        <v>4667</v>
      </c>
    </row>
    <row r="29" spans="1:17" ht="14.4" customHeight="1" x14ac:dyDescent="0.3">
      <c r="A29" s="724" t="s">
        <v>552</v>
      </c>
      <c r="B29" s="725" t="s">
        <v>3080</v>
      </c>
      <c r="C29" s="725" t="s">
        <v>2983</v>
      </c>
      <c r="D29" s="725" t="s">
        <v>3081</v>
      </c>
      <c r="E29" s="725" t="s">
        <v>2078</v>
      </c>
      <c r="F29" s="728">
        <v>34</v>
      </c>
      <c r="G29" s="728">
        <v>3836.22</v>
      </c>
      <c r="H29" s="728">
        <v>3.4521975450847702</v>
      </c>
      <c r="I29" s="728">
        <v>112.83</v>
      </c>
      <c r="J29" s="728">
        <v>13</v>
      </c>
      <c r="K29" s="728">
        <v>1111.24</v>
      </c>
      <c r="L29" s="728">
        <v>1</v>
      </c>
      <c r="M29" s="728">
        <v>85.48</v>
      </c>
      <c r="N29" s="728">
        <v>11</v>
      </c>
      <c r="O29" s="728">
        <v>880.88000000000011</v>
      </c>
      <c r="P29" s="741">
        <v>0.79270004679457196</v>
      </c>
      <c r="Q29" s="729">
        <v>80.080000000000013</v>
      </c>
    </row>
    <row r="30" spans="1:17" ht="14.4" customHeight="1" x14ac:dyDescent="0.3">
      <c r="A30" s="724" t="s">
        <v>552</v>
      </c>
      <c r="B30" s="725" t="s">
        <v>3080</v>
      </c>
      <c r="C30" s="725" t="s">
        <v>2983</v>
      </c>
      <c r="D30" s="725" t="s">
        <v>3082</v>
      </c>
      <c r="E30" s="725" t="s">
        <v>2078</v>
      </c>
      <c r="F30" s="728"/>
      <c r="G30" s="728"/>
      <c r="H30" s="728"/>
      <c r="I30" s="728"/>
      <c r="J30" s="728">
        <v>1</v>
      </c>
      <c r="K30" s="728">
        <v>76.13</v>
      </c>
      <c r="L30" s="728">
        <v>1</v>
      </c>
      <c r="M30" s="728">
        <v>76.13</v>
      </c>
      <c r="N30" s="728"/>
      <c r="O30" s="728"/>
      <c r="P30" s="741"/>
      <c r="Q30" s="729"/>
    </row>
    <row r="31" spans="1:17" ht="14.4" customHeight="1" x14ac:dyDescent="0.3">
      <c r="A31" s="724" t="s">
        <v>552</v>
      </c>
      <c r="B31" s="725" t="s">
        <v>3080</v>
      </c>
      <c r="C31" s="725" t="s">
        <v>2983</v>
      </c>
      <c r="D31" s="725" t="s">
        <v>3083</v>
      </c>
      <c r="E31" s="725" t="s">
        <v>3084</v>
      </c>
      <c r="F31" s="728"/>
      <c r="G31" s="728"/>
      <c r="H31" s="728"/>
      <c r="I31" s="728"/>
      <c r="J31" s="728">
        <v>1.4</v>
      </c>
      <c r="K31" s="728">
        <v>617.74</v>
      </c>
      <c r="L31" s="728">
        <v>1</v>
      </c>
      <c r="M31" s="728">
        <v>441.24285714285719</v>
      </c>
      <c r="N31" s="728"/>
      <c r="O31" s="728"/>
      <c r="P31" s="741"/>
      <c r="Q31" s="729"/>
    </row>
    <row r="32" spans="1:17" ht="14.4" customHeight="1" x14ac:dyDescent="0.3">
      <c r="A32" s="724" t="s">
        <v>552</v>
      </c>
      <c r="B32" s="725" t="s">
        <v>3080</v>
      </c>
      <c r="C32" s="725" t="s">
        <v>2983</v>
      </c>
      <c r="D32" s="725" t="s">
        <v>3085</v>
      </c>
      <c r="E32" s="725" t="s">
        <v>1066</v>
      </c>
      <c r="F32" s="728">
        <v>55</v>
      </c>
      <c r="G32" s="728">
        <v>3219.95</v>
      </c>
      <c r="H32" s="728">
        <v>2.625530006523157</v>
      </c>
      <c r="I32" s="728">
        <v>58.54454545454545</v>
      </c>
      <c r="J32" s="728">
        <v>21</v>
      </c>
      <c r="K32" s="728">
        <v>1226.4000000000001</v>
      </c>
      <c r="L32" s="728">
        <v>1</v>
      </c>
      <c r="M32" s="728">
        <v>58.400000000000006</v>
      </c>
      <c r="N32" s="728">
        <v>18</v>
      </c>
      <c r="O32" s="728">
        <v>1051.2</v>
      </c>
      <c r="P32" s="741">
        <v>0.8571428571428571</v>
      </c>
      <c r="Q32" s="729">
        <v>58.400000000000006</v>
      </c>
    </row>
    <row r="33" spans="1:17" ht="14.4" customHeight="1" x14ac:dyDescent="0.3">
      <c r="A33" s="724" t="s">
        <v>552</v>
      </c>
      <c r="B33" s="725" t="s">
        <v>3080</v>
      </c>
      <c r="C33" s="725" t="s">
        <v>2983</v>
      </c>
      <c r="D33" s="725" t="s">
        <v>3086</v>
      </c>
      <c r="E33" s="725" t="s">
        <v>3087</v>
      </c>
      <c r="F33" s="728"/>
      <c r="G33" s="728"/>
      <c r="H33" s="728"/>
      <c r="I33" s="728"/>
      <c r="J33" s="728"/>
      <c r="K33" s="728"/>
      <c r="L33" s="728"/>
      <c r="M33" s="728"/>
      <c r="N33" s="728">
        <v>1</v>
      </c>
      <c r="O33" s="728">
        <v>42.88</v>
      </c>
      <c r="P33" s="741"/>
      <c r="Q33" s="729">
        <v>42.88</v>
      </c>
    </row>
    <row r="34" spans="1:17" ht="14.4" customHeight="1" x14ac:dyDescent="0.3">
      <c r="A34" s="724" t="s">
        <v>552</v>
      </c>
      <c r="B34" s="725" t="s">
        <v>3080</v>
      </c>
      <c r="C34" s="725" t="s">
        <v>2983</v>
      </c>
      <c r="D34" s="725" t="s">
        <v>3088</v>
      </c>
      <c r="E34" s="725" t="s">
        <v>3089</v>
      </c>
      <c r="F34" s="728"/>
      <c r="G34" s="728"/>
      <c r="H34" s="728"/>
      <c r="I34" s="728"/>
      <c r="J34" s="728">
        <v>32</v>
      </c>
      <c r="K34" s="728">
        <v>2471.04</v>
      </c>
      <c r="L34" s="728">
        <v>1</v>
      </c>
      <c r="M34" s="728">
        <v>77.22</v>
      </c>
      <c r="N34" s="728"/>
      <c r="O34" s="728"/>
      <c r="P34" s="741"/>
      <c r="Q34" s="729"/>
    </row>
    <row r="35" spans="1:17" ht="14.4" customHeight="1" x14ac:dyDescent="0.3">
      <c r="A35" s="724" t="s">
        <v>552</v>
      </c>
      <c r="B35" s="725" t="s">
        <v>3080</v>
      </c>
      <c r="C35" s="725" t="s">
        <v>2983</v>
      </c>
      <c r="D35" s="725" t="s">
        <v>3090</v>
      </c>
      <c r="E35" s="725" t="s">
        <v>3091</v>
      </c>
      <c r="F35" s="728">
        <v>8</v>
      </c>
      <c r="G35" s="728">
        <v>2906</v>
      </c>
      <c r="H35" s="728">
        <v>6.684301322599195</v>
      </c>
      <c r="I35" s="728">
        <v>363.25</v>
      </c>
      <c r="J35" s="728">
        <v>1.6</v>
      </c>
      <c r="K35" s="728">
        <v>434.75</v>
      </c>
      <c r="L35" s="728">
        <v>1</v>
      </c>
      <c r="M35" s="728">
        <v>271.71875</v>
      </c>
      <c r="N35" s="728">
        <v>9.7000000000000011</v>
      </c>
      <c r="O35" s="728">
        <v>2635.64</v>
      </c>
      <c r="P35" s="741">
        <v>6.0624266820011501</v>
      </c>
      <c r="Q35" s="729">
        <v>271.71546391752571</v>
      </c>
    </row>
    <row r="36" spans="1:17" ht="14.4" customHeight="1" x14ac:dyDescent="0.3">
      <c r="A36" s="724" t="s">
        <v>552</v>
      </c>
      <c r="B36" s="725" t="s">
        <v>3080</v>
      </c>
      <c r="C36" s="725" t="s">
        <v>2983</v>
      </c>
      <c r="D36" s="725" t="s">
        <v>3092</v>
      </c>
      <c r="E36" s="725" t="s">
        <v>3093</v>
      </c>
      <c r="F36" s="728">
        <v>46</v>
      </c>
      <c r="G36" s="728">
        <v>2759.0699999999997</v>
      </c>
      <c r="H36" s="728"/>
      <c r="I36" s="728">
        <v>59.979782608695643</v>
      </c>
      <c r="J36" s="728"/>
      <c r="K36" s="728"/>
      <c r="L36" s="728"/>
      <c r="M36" s="728"/>
      <c r="N36" s="728">
        <v>1</v>
      </c>
      <c r="O36" s="728">
        <v>67.06</v>
      </c>
      <c r="P36" s="741"/>
      <c r="Q36" s="729">
        <v>67.06</v>
      </c>
    </row>
    <row r="37" spans="1:17" ht="14.4" customHeight="1" x14ac:dyDescent="0.3">
      <c r="A37" s="724" t="s">
        <v>552</v>
      </c>
      <c r="B37" s="725" t="s">
        <v>3080</v>
      </c>
      <c r="C37" s="725" t="s">
        <v>2983</v>
      </c>
      <c r="D37" s="725" t="s">
        <v>3094</v>
      </c>
      <c r="E37" s="725" t="s">
        <v>1840</v>
      </c>
      <c r="F37" s="728">
        <v>14</v>
      </c>
      <c r="G37" s="728">
        <v>920.5</v>
      </c>
      <c r="H37" s="728">
        <v>1.4</v>
      </c>
      <c r="I37" s="728">
        <v>65.75</v>
      </c>
      <c r="J37" s="728">
        <v>10</v>
      </c>
      <c r="K37" s="728">
        <v>657.5</v>
      </c>
      <c r="L37" s="728">
        <v>1</v>
      </c>
      <c r="M37" s="728">
        <v>65.75</v>
      </c>
      <c r="N37" s="728">
        <v>90</v>
      </c>
      <c r="O37" s="728">
        <v>5917.5</v>
      </c>
      <c r="P37" s="741">
        <v>9</v>
      </c>
      <c r="Q37" s="729">
        <v>65.75</v>
      </c>
    </row>
    <row r="38" spans="1:17" ht="14.4" customHeight="1" x14ac:dyDescent="0.3">
      <c r="A38" s="724" t="s">
        <v>552</v>
      </c>
      <c r="B38" s="725" t="s">
        <v>3080</v>
      </c>
      <c r="C38" s="725" t="s">
        <v>2983</v>
      </c>
      <c r="D38" s="725" t="s">
        <v>3095</v>
      </c>
      <c r="E38" s="725" t="s">
        <v>3096</v>
      </c>
      <c r="F38" s="728">
        <v>1.1000000000000001</v>
      </c>
      <c r="G38" s="728">
        <v>51.02</v>
      </c>
      <c r="H38" s="728"/>
      <c r="I38" s="728">
        <v>46.381818181818183</v>
      </c>
      <c r="J38" s="728"/>
      <c r="K38" s="728"/>
      <c r="L38" s="728"/>
      <c r="M38" s="728"/>
      <c r="N38" s="728"/>
      <c r="O38" s="728"/>
      <c r="P38" s="741"/>
      <c r="Q38" s="729"/>
    </row>
    <row r="39" spans="1:17" ht="14.4" customHeight="1" x14ac:dyDescent="0.3">
      <c r="A39" s="724" t="s">
        <v>552</v>
      </c>
      <c r="B39" s="725" t="s">
        <v>3080</v>
      </c>
      <c r="C39" s="725" t="s">
        <v>2983</v>
      </c>
      <c r="D39" s="725" t="s">
        <v>3097</v>
      </c>
      <c r="E39" s="725" t="s">
        <v>1062</v>
      </c>
      <c r="F39" s="728">
        <v>0.6</v>
      </c>
      <c r="G39" s="728">
        <v>55.64</v>
      </c>
      <c r="H39" s="728">
        <v>0.26151532242902803</v>
      </c>
      <c r="I39" s="728">
        <v>92.733333333333334</v>
      </c>
      <c r="J39" s="728">
        <v>2.7</v>
      </c>
      <c r="K39" s="728">
        <v>212.76</v>
      </c>
      <c r="L39" s="728">
        <v>1</v>
      </c>
      <c r="M39" s="728">
        <v>78.8</v>
      </c>
      <c r="N39" s="728">
        <v>4.5999999999999996</v>
      </c>
      <c r="O39" s="728">
        <v>362.5</v>
      </c>
      <c r="P39" s="741">
        <v>1.7037977063357774</v>
      </c>
      <c r="Q39" s="729">
        <v>78.804347826086968</v>
      </c>
    </row>
    <row r="40" spans="1:17" ht="14.4" customHeight="1" x14ac:dyDescent="0.3">
      <c r="A40" s="724" t="s">
        <v>552</v>
      </c>
      <c r="B40" s="725" t="s">
        <v>3080</v>
      </c>
      <c r="C40" s="725" t="s">
        <v>2983</v>
      </c>
      <c r="D40" s="725" t="s">
        <v>3098</v>
      </c>
      <c r="E40" s="725" t="s">
        <v>1799</v>
      </c>
      <c r="F40" s="728"/>
      <c r="G40" s="728"/>
      <c r="H40" s="728"/>
      <c r="I40" s="728"/>
      <c r="J40" s="728">
        <v>0</v>
      </c>
      <c r="K40" s="728">
        <v>0</v>
      </c>
      <c r="L40" s="728"/>
      <c r="M40" s="728"/>
      <c r="N40" s="728">
        <v>30</v>
      </c>
      <c r="O40" s="728">
        <v>2104.5</v>
      </c>
      <c r="P40" s="741"/>
      <c r="Q40" s="729">
        <v>70.150000000000006</v>
      </c>
    </row>
    <row r="41" spans="1:17" ht="14.4" customHeight="1" x14ac:dyDescent="0.3">
      <c r="A41" s="724" t="s">
        <v>552</v>
      </c>
      <c r="B41" s="725" t="s">
        <v>3080</v>
      </c>
      <c r="C41" s="725" t="s">
        <v>2983</v>
      </c>
      <c r="D41" s="725" t="s">
        <v>3099</v>
      </c>
      <c r="E41" s="725" t="s">
        <v>3100</v>
      </c>
      <c r="F41" s="728">
        <v>27.3</v>
      </c>
      <c r="G41" s="728">
        <v>10696.14</v>
      </c>
      <c r="H41" s="728">
        <v>1.0111111111111113</v>
      </c>
      <c r="I41" s="728">
        <v>391.79999999999995</v>
      </c>
      <c r="J41" s="728">
        <v>27</v>
      </c>
      <c r="K41" s="728">
        <v>10578.599999999999</v>
      </c>
      <c r="L41" s="728">
        <v>1</v>
      </c>
      <c r="M41" s="728">
        <v>391.79999999999995</v>
      </c>
      <c r="N41" s="728">
        <v>31.730000000000004</v>
      </c>
      <c r="O41" s="728">
        <v>12431.800000000003</v>
      </c>
      <c r="P41" s="741">
        <v>1.1751838617586452</v>
      </c>
      <c r="Q41" s="729">
        <v>391.79955877718254</v>
      </c>
    </row>
    <row r="42" spans="1:17" ht="14.4" customHeight="1" x14ac:dyDescent="0.3">
      <c r="A42" s="724" t="s">
        <v>552</v>
      </c>
      <c r="B42" s="725" t="s">
        <v>3080</v>
      </c>
      <c r="C42" s="725" t="s">
        <v>2983</v>
      </c>
      <c r="D42" s="725" t="s">
        <v>3101</v>
      </c>
      <c r="E42" s="725" t="s">
        <v>3102</v>
      </c>
      <c r="F42" s="728"/>
      <c r="G42" s="728"/>
      <c r="H42" s="728"/>
      <c r="I42" s="728"/>
      <c r="J42" s="728"/>
      <c r="K42" s="728"/>
      <c r="L42" s="728"/>
      <c r="M42" s="728"/>
      <c r="N42" s="728">
        <v>27</v>
      </c>
      <c r="O42" s="728">
        <v>5918.4</v>
      </c>
      <c r="P42" s="741"/>
      <c r="Q42" s="729">
        <v>219.2</v>
      </c>
    </row>
    <row r="43" spans="1:17" ht="14.4" customHeight="1" x14ac:dyDescent="0.3">
      <c r="A43" s="724" t="s">
        <v>552</v>
      </c>
      <c r="B43" s="725" t="s">
        <v>3080</v>
      </c>
      <c r="C43" s="725" t="s">
        <v>2983</v>
      </c>
      <c r="D43" s="725" t="s">
        <v>3103</v>
      </c>
      <c r="E43" s="725" t="s">
        <v>3104</v>
      </c>
      <c r="F43" s="728"/>
      <c r="G43" s="728"/>
      <c r="H43" s="728"/>
      <c r="I43" s="728"/>
      <c r="J43" s="728">
        <v>2</v>
      </c>
      <c r="K43" s="728">
        <v>5101.3599999999997</v>
      </c>
      <c r="L43" s="728">
        <v>1</v>
      </c>
      <c r="M43" s="728">
        <v>2550.6799999999998</v>
      </c>
      <c r="N43" s="728"/>
      <c r="O43" s="728"/>
      <c r="P43" s="741"/>
      <c r="Q43" s="729"/>
    </row>
    <row r="44" spans="1:17" ht="14.4" customHeight="1" x14ac:dyDescent="0.3">
      <c r="A44" s="724" t="s">
        <v>552</v>
      </c>
      <c r="B44" s="725" t="s">
        <v>3080</v>
      </c>
      <c r="C44" s="725" t="s">
        <v>2983</v>
      </c>
      <c r="D44" s="725" t="s">
        <v>3105</v>
      </c>
      <c r="E44" s="725" t="s">
        <v>1846</v>
      </c>
      <c r="F44" s="728"/>
      <c r="G44" s="728"/>
      <c r="H44" s="728"/>
      <c r="I44" s="728"/>
      <c r="J44" s="728">
        <v>1.6</v>
      </c>
      <c r="K44" s="728">
        <v>686</v>
      </c>
      <c r="L44" s="728">
        <v>1</v>
      </c>
      <c r="M44" s="728">
        <v>428.75</v>
      </c>
      <c r="N44" s="728">
        <v>0.1</v>
      </c>
      <c r="O44" s="728">
        <v>38.26</v>
      </c>
      <c r="P44" s="741">
        <v>5.5772594752186586E-2</v>
      </c>
      <c r="Q44" s="729">
        <v>382.59999999999997</v>
      </c>
    </row>
    <row r="45" spans="1:17" ht="14.4" customHeight="1" x14ac:dyDescent="0.3">
      <c r="A45" s="724" t="s">
        <v>552</v>
      </c>
      <c r="B45" s="725" t="s">
        <v>3080</v>
      </c>
      <c r="C45" s="725" t="s">
        <v>2983</v>
      </c>
      <c r="D45" s="725" t="s">
        <v>3106</v>
      </c>
      <c r="E45" s="725" t="s">
        <v>3107</v>
      </c>
      <c r="F45" s="728"/>
      <c r="G45" s="728"/>
      <c r="H45" s="728"/>
      <c r="I45" s="728"/>
      <c r="J45" s="728"/>
      <c r="K45" s="728"/>
      <c r="L45" s="728"/>
      <c r="M45" s="728"/>
      <c r="N45" s="728">
        <v>0.2</v>
      </c>
      <c r="O45" s="728">
        <v>425.12</v>
      </c>
      <c r="P45" s="741"/>
      <c r="Q45" s="729">
        <v>2125.6</v>
      </c>
    </row>
    <row r="46" spans="1:17" ht="14.4" customHeight="1" x14ac:dyDescent="0.3">
      <c r="A46" s="724" t="s">
        <v>552</v>
      </c>
      <c r="B46" s="725" t="s">
        <v>3080</v>
      </c>
      <c r="C46" s="725" t="s">
        <v>2983</v>
      </c>
      <c r="D46" s="725" t="s">
        <v>3108</v>
      </c>
      <c r="E46" s="725" t="s">
        <v>3109</v>
      </c>
      <c r="F46" s="728">
        <v>0.2</v>
      </c>
      <c r="G46" s="728">
        <v>126</v>
      </c>
      <c r="H46" s="728">
        <v>5.5555555555555552E-2</v>
      </c>
      <c r="I46" s="728">
        <v>630</v>
      </c>
      <c r="J46" s="728">
        <v>3.6</v>
      </c>
      <c r="K46" s="728">
        <v>2268</v>
      </c>
      <c r="L46" s="728">
        <v>1</v>
      </c>
      <c r="M46" s="728">
        <v>630</v>
      </c>
      <c r="N46" s="728"/>
      <c r="O46" s="728"/>
      <c r="P46" s="741"/>
      <c r="Q46" s="729"/>
    </row>
    <row r="47" spans="1:17" ht="14.4" customHeight="1" x14ac:dyDescent="0.3">
      <c r="A47" s="724" t="s">
        <v>552</v>
      </c>
      <c r="B47" s="725" t="s">
        <v>3080</v>
      </c>
      <c r="C47" s="725" t="s">
        <v>2983</v>
      </c>
      <c r="D47" s="725" t="s">
        <v>3110</v>
      </c>
      <c r="E47" s="725" t="s">
        <v>3109</v>
      </c>
      <c r="F47" s="728">
        <v>0.89999999999999991</v>
      </c>
      <c r="G47" s="728">
        <v>1030.5</v>
      </c>
      <c r="H47" s="728">
        <v>0.85768504107399979</v>
      </c>
      <c r="I47" s="728">
        <v>1145</v>
      </c>
      <c r="J47" s="728">
        <v>1.1000000000000001</v>
      </c>
      <c r="K47" s="728">
        <v>1201.49</v>
      </c>
      <c r="L47" s="728">
        <v>1</v>
      </c>
      <c r="M47" s="728">
        <v>1092.2636363636364</v>
      </c>
      <c r="N47" s="728">
        <v>2</v>
      </c>
      <c r="O47" s="728">
        <v>1601.6000000000001</v>
      </c>
      <c r="P47" s="741">
        <v>1.3330115107075382</v>
      </c>
      <c r="Q47" s="729">
        <v>800.80000000000007</v>
      </c>
    </row>
    <row r="48" spans="1:17" ht="14.4" customHeight="1" x14ac:dyDescent="0.3">
      <c r="A48" s="724" t="s">
        <v>552</v>
      </c>
      <c r="B48" s="725" t="s">
        <v>3080</v>
      </c>
      <c r="C48" s="725" t="s">
        <v>2983</v>
      </c>
      <c r="D48" s="725" t="s">
        <v>3111</v>
      </c>
      <c r="E48" s="725" t="s">
        <v>3112</v>
      </c>
      <c r="F48" s="728">
        <v>0.1</v>
      </c>
      <c r="G48" s="728">
        <v>144.68</v>
      </c>
      <c r="H48" s="728"/>
      <c r="I48" s="728">
        <v>1446.8</v>
      </c>
      <c r="J48" s="728"/>
      <c r="K48" s="728"/>
      <c r="L48" s="728"/>
      <c r="M48" s="728"/>
      <c r="N48" s="728"/>
      <c r="O48" s="728"/>
      <c r="P48" s="741"/>
      <c r="Q48" s="729"/>
    </row>
    <row r="49" spans="1:17" ht="14.4" customHeight="1" x14ac:dyDescent="0.3">
      <c r="A49" s="724" t="s">
        <v>552</v>
      </c>
      <c r="B49" s="725" t="s">
        <v>3080</v>
      </c>
      <c r="C49" s="725" t="s">
        <v>2983</v>
      </c>
      <c r="D49" s="725" t="s">
        <v>3113</v>
      </c>
      <c r="E49" s="725" t="s">
        <v>1843</v>
      </c>
      <c r="F49" s="728"/>
      <c r="G49" s="728"/>
      <c r="H49" s="728"/>
      <c r="I49" s="728"/>
      <c r="J49" s="728"/>
      <c r="K49" s="728"/>
      <c r="L49" s="728"/>
      <c r="M49" s="728"/>
      <c r="N49" s="728">
        <v>2.6</v>
      </c>
      <c r="O49" s="728">
        <v>8485.75</v>
      </c>
      <c r="P49" s="741"/>
      <c r="Q49" s="729">
        <v>3263.75</v>
      </c>
    </row>
    <row r="50" spans="1:17" ht="14.4" customHeight="1" x14ac:dyDescent="0.3">
      <c r="A50" s="724" t="s">
        <v>552</v>
      </c>
      <c r="B50" s="725" t="s">
        <v>3080</v>
      </c>
      <c r="C50" s="725" t="s">
        <v>2983</v>
      </c>
      <c r="D50" s="725" t="s">
        <v>3114</v>
      </c>
      <c r="E50" s="725" t="s">
        <v>3115</v>
      </c>
      <c r="F50" s="728"/>
      <c r="G50" s="728"/>
      <c r="H50" s="728"/>
      <c r="I50" s="728"/>
      <c r="J50" s="728"/>
      <c r="K50" s="728"/>
      <c r="L50" s="728"/>
      <c r="M50" s="728"/>
      <c r="N50" s="728">
        <v>5</v>
      </c>
      <c r="O50" s="728">
        <v>149017.70000000001</v>
      </c>
      <c r="P50" s="741"/>
      <c r="Q50" s="729">
        <v>29803.54</v>
      </c>
    </row>
    <row r="51" spans="1:17" ht="14.4" customHeight="1" x14ac:dyDescent="0.3">
      <c r="A51" s="724" t="s">
        <v>552</v>
      </c>
      <c r="B51" s="725" t="s">
        <v>3080</v>
      </c>
      <c r="C51" s="725" t="s">
        <v>3116</v>
      </c>
      <c r="D51" s="725" t="s">
        <v>3117</v>
      </c>
      <c r="E51" s="725" t="s">
        <v>3118</v>
      </c>
      <c r="F51" s="728">
        <v>2</v>
      </c>
      <c r="G51" s="728">
        <v>3731.16</v>
      </c>
      <c r="H51" s="728">
        <v>0.15519437980022335</v>
      </c>
      <c r="I51" s="728">
        <v>1865.58</v>
      </c>
      <c r="J51" s="728">
        <v>12</v>
      </c>
      <c r="K51" s="728">
        <v>24041.85</v>
      </c>
      <c r="L51" s="728">
        <v>1</v>
      </c>
      <c r="M51" s="728">
        <v>2003.4875</v>
      </c>
      <c r="N51" s="728">
        <v>7</v>
      </c>
      <c r="O51" s="728">
        <v>14810.869999999999</v>
      </c>
      <c r="P51" s="741">
        <v>0.61604535424686535</v>
      </c>
      <c r="Q51" s="729">
        <v>2115.8385714285714</v>
      </c>
    </row>
    <row r="52" spans="1:17" ht="14.4" customHeight="1" x14ac:dyDescent="0.3">
      <c r="A52" s="724" t="s">
        <v>552</v>
      </c>
      <c r="B52" s="725" t="s">
        <v>3080</v>
      </c>
      <c r="C52" s="725" t="s">
        <v>3116</v>
      </c>
      <c r="D52" s="725" t="s">
        <v>3119</v>
      </c>
      <c r="E52" s="725" t="s">
        <v>3120</v>
      </c>
      <c r="F52" s="728"/>
      <c r="G52" s="728"/>
      <c r="H52" s="728"/>
      <c r="I52" s="728"/>
      <c r="J52" s="728">
        <v>1</v>
      </c>
      <c r="K52" s="728">
        <v>9904.81</v>
      </c>
      <c r="L52" s="728">
        <v>1</v>
      </c>
      <c r="M52" s="728">
        <v>9904.81</v>
      </c>
      <c r="N52" s="728"/>
      <c r="O52" s="728"/>
      <c r="P52" s="741"/>
      <c r="Q52" s="729"/>
    </row>
    <row r="53" spans="1:17" ht="14.4" customHeight="1" x14ac:dyDescent="0.3">
      <c r="A53" s="724" t="s">
        <v>552</v>
      </c>
      <c r="B53" s="725" t="s">
        <v>3080</v>
      </c>
      <c r="C53" s="725" t="s">
        <v>3116</v>
      </c>
      <c r="D53" s="725" t="s">
        <v>3121</v>
      </c>
      <c r="E53" s="725" t="s">
        <v>3122</v>
      </c>
      <c r="F53" s="728"/>
      <c r="G53" s="728"/>
      <c r="H53" s="728"/>
      <c r="I53" s="728"/>
      <c r="J53" s="728">
        <v>9</v>
      </c>
      <c r="K53" s="728">
        <v>9561.6899999999987</v>
      </c>
      <c r="L53" s="728">
        <v>1</v>
      </c>
      <c r="M53" s="728">
        <v>1062.4099999999999</v>
      </c>
      <c r="N53" s="728">
        <v>3</v>
      </c>
      <c r="O53" s="728">
        <v>3634.83</v>
      </c>
      <c r="P53" s="741">
        <v>0.38014514170612101</v>
      </c>
      <c r="Q53" s="729">
        <v>1211.6099999999999</v>
      </c>
    </row>
    <row r="54" spans="1:17" ht="14.4" customHeight="1" x14ac:dyDescent="0.3">
      <c r="A54" s="724" t="s">
        <v>552</v>
      </c>
      <c r="B54" s="725" t="s">
        <v>3080</v>
      </c>
      <c r="C54" s="725" t="s">
        <v>3123</v>
      </c>
      <c r="D54" s="725" t="s">
        <v>3124</v>
      </c>
      <c r="E54" s="725" t="s">
        <v>3125</v>
      </c>
      <c r="F54" s="728">
        <v>160</v>
      </c>
      <c r="G54" s="728">
        <v>109920</v>
      </c>
      <c r="H54" s="728">
        <v>1.1851851851851851</v>
      </c>
      <c r="I54" s="728">
        <v>687</v>
      </c>
      <c r="J54" s="728">
        <v>135</v>
      </c>
      <c r="K54" s="728">
        <v>92745</v>
      </c>
      <c r="L54" s="728">
        <v>1</v>
      </c>
      <c r="M54" s="728">
        <v>687</v>
      </c>
      <c r="N54" s="728">
        <v>150</v>
      </c>
      <c r="O54" s="728">
        <v>103050</v>
      </c>
      <c r="P54" s="741">
        <v>1.1111111111111112</v>
      </c>
      <c r="Q54" s="729">
        <v>687</v>
      </c>
    </row>
    <row r="55" spans="1:17" ht="14.4" customHeight="1" x14ac:dyDescent="0.3">
      <c r="A55" s="724" t="s">
        <v>552</v>
      </c>
      <c r="B55" s="725" t="s">
        <v>3080</v>
      </c>
      <c r="C55" s="725" t="s">
        <v>3123</v>
      </c>
      <c r="D55" s="725" t="s">
        <v>3126</v>
      </c>
      <c r="E55" s="725" t="s">
        <v>3127</v>
      </c>
      <c r="F55" s="728">
        <v>171</v>
      </c>
      <c r="G55" s="728">
        <v>41040</v>
      </c>
      <c r="H55" s="728">
        <v>0.69512195121951215</v>
      </c>
      <c r="I55" s="728">
        <v>240</v>
      </c>
      <c r="J55" s="728">
        <v>246</v>
      </c>
      <c r="K55" s="728">
        <v>59040</v>
      </c>
      <c r="L55" s="728">
        <v>1</v>
      </c>
      <c r="M55" s="728">
        <v>240</v>
      </c>
      <c r="N55" s="728">
        <v>240</v>
      </c>
      <c r="O55" s="728">
        <v>57600</v>
      </c>
      <c r="P55" s="741">
        <v>0.97560975609756095</v>
      </c>
      <c r="Q55" s="729">
        <v>240</v>
      </c>
    </row>
    <row r="56" spans="1:17" ht="14.4" customHeight="1" x14ac:dyDescent="0.3">
      <c r="A56" s="724" t="s">
        <v>552</v>
      </c>
      <c r="B56" s="725" t="s">
        <v>3080</v>
      </c>
      <c r="C56" s="725" t="s">
        <v>3123</v>
      </c>
      <c r="D56" s="725" t="s">
        <v>3128</v>
      </c>
      <c r="E56" s="725" t="s">
        <v>3127</v>
      </c>
      <c r="F56" s="728">
        <v>8</v>
      </c>
      <c r="G56" s="728">
        <v>1976</v>
      </c>
      <c r="H56" s="728"/>
      <c r="I56" s="728">
        <v>247</v>
      </c>
      <c r="J56" s="728"/>
      <c r="K56" s="728"/>
      <c r="L56" s="728"/>
      <c r="M56" s="728"/>
      <c r="N56" s="728"/>
      <c r="O56" s="728"/>
      <c r="P56" s="741"/>
      <c r="Q56" s="729"/>
    </row>
    <row r="57" spans="1:17" ht="14.4" customHeight="1" x14ac:dyDescent="0.3">
      <c r="A57" s="724" t="s">
        <v>552</v>
      </c>
      <c r="B57" s="725" t="s">
        <v>3080</v>
      </c>
      <c r="C57" s="725" t="s">
        <v>3123</v>
      </c>
      <c r="D57" s="725" t="s">
        <v>3129</v>
      </c>
      <c r="E57" s="725" t="s">
        <v>3127</v>
      </c>
      <c r="F57" s="728">
        <v>9.6900000000000013</v>
      </c>
      <c r="G57" s="728">
        <v>11783.039999999999</v>
      </c>
      <c r="H57" s="728">
        <v>0.72184253925001651</v>
      </c>
      <c r="I57" s="728">
        <v>1215.9999999999998</v>
      </c>
      <c r="J57" s="728">
        <v>13.430000000000001</v>
      </c>
      <c r="K57" s="728">
        <v>16323.56</v>
      </c>
      <c r="L57" s="728">
        <v>1</v>
      </c>
      <c r="M57" s="728">
        <v>1215.4549516008933</v>
      </c>
      <c r="N57" s="728">
        <v>12.76</v>
      </c>
      <c r="O57" s="728">
        <v>15516.160000000003</v>
      </c>
      <c r="P57" s="741">
        <v>0.95053775034367527</v>
      </c>
      <c r="Q57" s="729">
        <v>1216.0000000000002</v>
      </c>
    </row>
    <row r="58" spans="1:17" ht="14.4" customHeight="1" x14ac:dyDescent="0.3">
      <c r="A58" s="724" t="s">
        <v>552</v>
      </c>
      <c r="B58" s="725" t="s">
        <v>3080</v>
      </c>
      <c r="C58" s="725" t="s">
        <v>3123</v>
      </c>
      <c r="D58" s="725" t="s">
        <v>3130</v>
      </c>
      <c r="E58" s="725" t="s">
        <v>3131</v>
      </c>
      <c r="F58" s="728">
        <v>2</v>
      </c>
      <c r="G58" s="728">
        <v>8904.1200000000008</v>
      </c>
      <c r="H58" s="728">
        <v>1</v>
      </c>
      <c r="I58" s="728">
        <v>4452.0600000000004</v>
      </c>
      <c r="J58" s="728">
        <v>2</v>
      </c>
      <c r="K58" s="728">
        <v>8904.1200000000008</v>
      </c>
      <c r="L58" s="728">
        <v>1</v>
      </c>
      <c r="M58" s="728">
        <v>4452.0600000000004</v>
      </c>
      <c r="N58" s="728">
        <v>3</v>
      </c>
      <c r="O58" s="728">
        <v>13356.18</v>
      </c>
      <c r="P58" s="741">
        <v>1.5</v>
      </c>
      <c r="Q58" s="729">
        <v>4452.0600000000004</v>
      </c>
    </row>
    <row r="59" spans="1:17" ht="14.4" customHeight="1" x14ac:dyDescent="0.3">
      <c r="A59" s="724" t="s">
        <v>552</v>
      </c>
      <c r="B59" s="725" t="s">
        <v>3080</v>
      </c>
      <c r="C59" s="725" t="s">
        <v>3123</v>
      </c>
      <c r="D59" s="725" t="s">
        <v>3132</v>
      </c>
      <c r="E59" s="725" t="s">
        <v>3133</v>
      </c>
      <c r="F59" s="728">
        <v>1</v>
      </c>
      <c r="G59" s="728">
        <v>518.70000000000005</v>
      </c>
      <c r="H59" s="728"/>
      <c r="I59" s="728">
        <v>518.70000000000005</v>
      </c>
      <c r="J59" s="728"/>
      <c r="K59" s="728"/>
      <c r="L59" s="728"/>
      <c r="M59" s="728"/>
      <c r="N59" s="728">
        <v>1</v>
      </c>
      <c r="O59" s="728">
        <v>518.70000000000005</v>
      </c>
      <c r="P59" s="741"/>
      <c r="Q59" s="729">
        <v>518.70000000000005</v>
      </c>
    </row>
    <row r="60" spans="1:17" ht="14.4" customHeight="1" x14ac:dyDescent="0.3">
      <c r="A60" s="724" t="s">
        <v>552</v>
      </c>
      <c r="B60" s="725" t="s">
        <v>3080</v>
      </c>
      <c r="C60" s="725" t="s">
        <v>3123</v>
      </c>
      <c r="D60" s="725" t="s">
        <v>3134</v>
      </c>
      <c r="E60" s="725" t="s">
        <v>3135</v>
      </c>
      <c r="F60" s="728">
        <v>111</v>
      </c>
      <c r="G60" s="728">
        <v>24847.349999999995</v>
      </c>
      <c r="H60" s="728">
        <v>0.98230088495575207</v>
      </c>
      <c r="I60" s="728">
        <v>223.84999999999997</v>
      </c>
      <c r="J60" s="728">
        <v>113</v>
      </c>
      <c r="K60" s="728">
        <v>25295.05</v>
      </c>
      <c r="L60" s="728">
        <v>1</v>
      </c>
      <c r="M60" s="728">
        <v>223.85</v>
      </c>
      <c r="N60" s="728">
        <v>114</v>
      </c>
      <c r="O60" s="728">
        <v>25518.9</v>
      </c>
      <c r="P60" s="741">
        <v>1.0088495575221239</v>
      </c>
      <c r="Q60" s="729">
        <v>223.85000000000002</v>
      </c>
    </row>
    <row r="61" spans="1:17" ht="14.4" customHeight="1" x14ac:dyDescent="0.3">
      <c r="A61" s="724" t="s">
        <v>552</v>
      </c>
      <c r="B61" s="725" t="s">
        <v>3080</v>
      </c>
      <c r="C61" s="725" t="s">
        <v>3123</v>
      </c>
      <c r="D61" s="725" t="s">
        <v>3136</v>
      </c>
      <c r="E61" s="725" t="s">
        <v>3137</v>
      </c>
      <c r="F61" s="728">
        <v>1</v>
      </c>
      <c r="G61" s="728">
        <v>9375.98</v>
      </c>
      <c r="H61" s="728"/>
      <c r="I61" s="728">
        <v>9375.98</v>
      </c>
      <c r="J61" s="728"/>
      <c r="K61" s="728"/>
      <c r="L61" s="728"/>
      <c r="M61" s="728"/>
      <c r="N61" s="728"/>
      <c r="O61" s="728"/>
      <c r="P61" s="741"/>
      <c r="Q61" s="729"/>
    </row>
    <row r="62" spans="1:17" ht="14.4" customHeight="1" x14ac:dyDescent="0.3">
      <c r="A62" s="724" t="s">
        <v>552</v>
      </c>
      <c r="B62" s="725" t="s">
        <v>3080</v>
      </c>
      <c r="C62" s="725" t="s">
        <v>3123</v>
      </c>
      <c r="D62" s="725" t="s">
        <v>3138</v>
      </c>
      <c r="E62" s="725" t="s">
        <v>3139</v>
      </c>
      <c r="F62" s="728">
        <v>2</v>
      </c>
      <c r="G62" s="728">
        <v>13194.16</v>
      </c>
      <c r="H62" s="728"/>
      <c r="I62" s="728">
        <v>6597.08</v>
      </c>
      <c r="J62" s="728"/>
      <c r="K62" s="728"/>
      <c r="L62" s="728"/>
      <c r="M62" s="728"/>
      <c r="N62" s="728"/>
      <c r="O62" s="728"/>
      <c r="P62" s="741"/>
      <c r="Q62" s="729"/>
    </row>
    <row r="63" spans="1:17" ht="14.4" customHeight="1" x14ac:dyDescent="0.3">
      <c r="A63" s="724" t="s">
        <v>552</v>
      </c>
      <c r="B63" s="725" t="s">
        <v>3080</v>
      </c>
      <c r="C63" s="725" t="s">
        <v>3123</v>
      </c>
      <c r="D63" s="725" t="s">
        <v>3140</v>
      </c>
      <c r="E63" s="725" t="s">
        <v>3141</v>
      </c>
      <c r="F63" s="728">
        <v>1</v>
      </c>
      <c r="G63" s="728">
        <v>4101.82</v>
      </c>
      <c r="H63" s="728"/>
      <c r="I63" s="728">
        <v>4101.82</v>
      </c>
      <c r="J63" s="728"/>
      <c r="K63" s="728"/>
      <c r="L63" s="728"/>
      <c r="M63" s="728"/>
      <c r="N63" s="728"/>
      <c r="O63" s="728"/>
      <c r="P63" s="741"/>
      <c r="Q63" s="729"/>
    </row>
    <row r="64" spans="1:17" ht="14.4" customHeight="1" x14ac:dyDescent="0.3">
      <c r="A64" s="724" t="s">
        <v>552</v>
      </c>
      <c r="B64" s="725" t="s">
        <v>3080</v>
      </c>
      <c r="C64" s="725" t="s">
        <v>3123</v>
      </c>
      <c r="D64" s="725" t="s">
        <v>3142</v>
      </c>
      <c r="E64" s="725" t="s">
        <v>3143</v>
      </c>
      <c r="F64" s="728"/>
      <c r="G64" s="728"/>
      <c r="H64" s="728"/>
      <c r="I64" s="728"/>
      <c r="J64" s="728">
        <v>1</v>
      </c>
      <c r="K64" s="728">
        <v>2156.67</v>
      </c>
      <c r="L64" s="728">
        <v>1</v>
      </c>
      <c r="M64" s="728">
        <v>2156.67</v>
      </c>
      <c r="N64" s="728">
        <v>2</v>
      </c>
      <c r="O64" s="728">
        <v>4313.34</v>
      </c>
      <c r="P64" s="741">
        <v>2</v>
      </c>
      <c r="Q64" s="729">
        <v>2156.67</v>
      </c>
    </row>
    <row r="65" spans="1:17" ht="14.4" customHeight="1" x14ac:dyDescent="0.3">
      <c r="A65" s="724" t="s">
        <v>552</v>
      </c>
      <c r="B65" s="725" t="s">
        <v>3080</v>
      </c>
      <c r="C65" s="725" t="s">
        <v>3123</v>
      </c>
      <c r="D65" s="725" t="s">
        <v>3144</v>
      </c>
      <c r="E65" s="725" t="s">
        <v>3143</v>
      </c>
      <c r="F65" s="728"/>
      <c r="G65" s="728"/>
      <c r="H65" s="728"/>
      <c r="I65" s="728"/>
      <c r="J65" s="728">
        <v>2</v>
      </c>
      <c r="K65" s="728">
        <v>11416.58</v>
      </c>
      <c r="L65" s="728">
        <v>1</v>
      </c>
      <c r="M65" s="728">
        <v>5708.29</v>
      </c>
      <c r="N65" s="728">
        <v>1</v>
      </c>
      <c r="O65" s="728">
        <v>5708.29</v>
      </c>
      <c r="P65" s="741">
        <v>0.5</v>
      </c>
      <c r="Q65" s="729">
        <v>5708.29</v>
      </c>
    </row>
    <row r="66" spans="1:17" ht="14.4" customHeight="1" x14ac:dyDescent="0.3">
      <c r="A66" s="724" t="s">
        <v>552</v>
      </c>
      <c r="B66" s="725" t="s">
        <v>3080</v>
      </c>
      <c r="C66" s="725" t="s">
        <v>3123</v>
      </c>
      <c r="D66" s="725" t="s">
        <v>3145</v>
      </c>
      <c r="E66" s="725" t="s">
        <v>3146</v>
      </c>
      <c r="F66" s="728"/>
      <c r="G66" s="728"/>
      <c r="H66" s="728"/>
      <c r="I66" s="728"/>
      <c r="J66" s="728">
        <v>1</v>
      </c>
      <c r="K66" s="728">
        <v>3938.18</v>
      </c>
      <c r="L66" s="728">
        <v>1</v>
      </c>
      <c r="M66" s="728">
        <v>3938.18</v>
      </c>
      <c r="N66" s="728">
        <v>2</v>
      </c>
      <c r="O66" s="728">
        <v>7876.36</v>
      </c>
      <c r="P66" s="741">
        <v>2</v>
      </c>
      <c r="Q66" s="729">
        <v>3938.18</v>
      </c>
    </row>
    <row r="67" spans="1:17" ht="14.4" customHeight="1" x14ac:dyDescent="0.3">
      <c r="A67" s="724" t="s">
        <v>552</v>
      </c>
      <c r="B67" s="725" t="s">
        <v>3080</v>
      </c>
      <c r="C67" s="725" t="s">
        <v>3123</v>
      </c>
      <c r="D67" s="725" t="s">
        <v>3147</v>
      </c>
      <c r="E67" s="725" t="s">
        <v>3148</v>
      </c>
      <c r="F67" s="728">
        <v>2</v>
      </c>
      <c r="G67" s="728">
        <v>7856.68</v>
      </c>
      <c r="H67" s="728">
        <v>2</v>
      </c>
      <c r="I67" s="728">
        <v>3928.34</v>
      </c>
      <c r="J67" s="728">
        <v>1</v>
      </c>
      <c r="K67" s="728">
        <v>3928.34</v>
      </c>
      <c r="L67" s="728">
        <v>1</v>
      </c>
      <c r="M67" s="728">
        <v>3928.34</v>
      </c>
      <c r="N67" s="728">
        <v>3</v>
      </c>
      <c r="O67" s="728">
        <v>11785.02</v>
      </c>
      <c r="P67" s="741">
        <v>3</v>
      </c>
      <c r="Q67" s="729">
        <v>3928.34</v>
      </c>
    </row>
    <row r="68" spans="1:17" ht="14.4" customHeight="1" x14ac:dyDescent="0.3">
      <c r="A68" s="724" t="s">
        <v>552</v>
      </c>
      <c r="B68" s="725" t="s">
        <v>3080</v>
      </c>
      <c r="C68" s="725" t="s">
        <v>3123</v>
      </c>
      <c r="D68" s="725" t="s">
        <v>3149</v>
      </c>
      <c r="E68" s="725" t="s">
        <v>3150</v>
      </c>
      <c r="F68" s="728">
        <v>1</v>
      </c>
      <c r="G68" s="728">
        <v>3939.22</v>
      </c>
      <c r="H68" s="728"/>
      <c r="I68" s="728">
        <v>3939.22</v>
      </c>
      <c r="J68" s="728"/>
      <c r="K68" s="728"/>
      <c r="L68" s="728"/>
      <c r="M68" s="728"/>
      <c r="N68" s="728"/>
      <c r="O68" s="728"/>
      <c r="P68" s="741"/>
      <c r="Q68" s="729"/>
    </row>
    <row r="69" spans="1:17" ht="14.4" customHeight="1" x14ac:dyDescent="0.3">
      <c r="A69" s="724" t="s">
        <v>552</v>
      </c>
      <c r="B69" s="725" t="s">
        <v>3080</v>
      </c>
      <c r="C69" s="725" t="s">
        <v>3123</v>
      </c>
      <c r="D69" s="725" t="s">
        <v>3151</v>
      </c>
      <c r="E69" s="725" t="s">
        <v>3152</v>
      </c>
      <c r="F69" s="728">
        <v>1</v>
      </c>
      <c r="G69" s="728">
        <v>4385.37</v>
      </c>
      <c r="H69" s="728">
        <v>1</v>
      </c>
      <c r="I69" s="728">
        <v>4385.37</v>
      </c>
      <c r="J69" s="728">
        <v>1</v>
      </c>
      <c r="K69" s="728">
        <v>4385.37</v>
      </c>
      <c r="L69" s="728">
        <v>1</v>
      </c>
      <c r="M69" s="728">
        <v>4385.37</v>
      </c>
      <c r="N69" s="728">
        <v>1</v>
      </c>
      <c r="O69" s="728">
        <v>4385.37</v>
      </c>
      <c r="P69" s="741">
        <v>1</v>
      </c>
      <c r="Q69" s="729">
        <v>4385.37</v>
      </c>
    </row>
    <row r="70" spans="1:17" ht="14.4" customHeight="1" x14ac:dyDescent="0.3">
      <c r="A70" s="724" t="s">
        <v>552</v>
      </c>
      <c r="B70" s="725" t="s">
        <v>3080</v>
      </c>
      <c r="C70" s="725" t="s">
        <v>3123</v>
      </c>
      <c r="D70" s="725" t="s">
        <v>3153</v>
      </c>
      <c r="E70" s="725" t="s">
        <v>3154</v>
      </c>
      <c r="F70" s="728">
        <v>1</v>
      </c>
      <c r="G70" s="728">
        <v>5255.92</v>
      </c>
      <c r="H70" s="728"/>
      <c r="I70" s="728">
        <v>5255.92</v>
      </c>
      <c r="J70" s="728"/>
      <c r="K70" s="728"/>
      <c r="L70" s="728"/>
      <c r="M70" s="728"/>
      <c r="N70" s="728">
        <v>1</v>
      </c>
      <c r="O70" s="728">
        <v>5255.92</v>
      </c>
      <c r="P70" s="741"/>
      <c r="Q70" s="729">
        <v>5255.92</v>
      </c>
    </row>
    <row r="71" spans="1:17" ht="14.4" customHeight="1" x14ac:dyDescent="0.3">
      <c r="A71" s="724" t="s">
        <v>552</v>
      </c>
      <c r="B71" s="725" t="s">
        <v>3080</v>
      </c>
      <c r="C71" s="725" t="s">
        <v>3123</v>
      </c>
      <c r="D71" s="725" t="s">
        <v>3155</v>
      </c>
      <c r="E71" s="725" t="s">
        <v>3156</v>
      </c>
      <c r="F71" s="728"/>
      <c r="G71" s="728"/>
      <c r="H71" s="728"/>
      <c r="I71" s="728"/>
      <c r="J71" s="728">
        <v>3</v>
      </c>
      <c r="K71" s="728">
        <v>11785.02</v>
      </c>
      <c r="L71" s="728">
        <v>1</v>
      </c>
      <c r="M71" s="728">
        <v>3928.34</v>
      </c>
      <c r="N71" s="728"/>
      <c r="O71" s="728"/>
      <c r="P71" s="741"/>
      <c r="Q71" s="729"/>
    </row>
    <row r="72" spans="1:17" ht="14.4" customHeight="1" x14ac:dyDescent="0.3">
      <c r="A72" s="724" t="s">
        <v>552</v>
      </c>
      <c r="B72" s="725" t="s">
        <v>3080</v>
      </c>
      <c r="C72" s="725" t="s">
        <v>3123</v>
      </c>
      <c r="D72" s="725" t="s">
        <v>3157</v>
      </c>
      <c r="E72" s="725" t="s">
        <v>3158</v>
      </c>
      <c r="F72" s="728">
        <v>4</v>
      </c>
      <c r="G72" s="728">
        <v>56133.2</v>
      </c>
      <c r="H72" s="728">
        <v>1</v>
      </c>
      <c r="I72" s="728">
        <v>14033.3</v>
      </c>
      <c r="J72" s="728">
        <v>4</v>
      </c>
      <c r="K72" s="728">
        <v>56133.2</v>
      </c>
      <c r="L72" s="728">
        <v>1</v>
      </c>
      <c r="M72" s="728">
        <v>14033.3</v>
      </c>
      <c r="N72" s="728"/>
      <c r="O72" s="728"/>
      <c r="P72" s="741"/>
      <c r="Q72" s="729"/>
    </row>
    <row r="73" spans="1:17" ht="14.4" customHeight="1" x14ac:dyDescent="0.3">
      <c r="A73" s="724" t="s">
        <v>552</v>
      </c>
      <c r="B73" s="725" t="s">
        <v>3080</v>
      </c>
      <c r="C73" s="725" t="s">
        <v>3123</v>
      </c>
      <c r="D73" s="725" t="s">
        <v>3159</v>
      </c>
      <c r="E73" s="725" t="s">
        <v>3158</v>
      </c>
      <c r="F73" s="728">
        <v>2</v>
      </c>
      <c r="G73" s="728">
        <v>5355.92</v>
      </c>
      <c r="H73" s="728">
        <v>1</v>
      </c>
      <c r="I73" s="728">
        <v>2677.96</v>
      </c>
      <c r="J73" s="728">
        <v>2</v>
      </c>
      <c r="K73" s="728">
        <v>5355.92</v>
      </c>
      <c r="L73" s="728">
        <v>1</v>
      </c>
      <c r="M73" s="728">
        <v>2677.96</v>
      </c>
      <c r="N73" s="728"/>
      <c r="O73" s="728"/>
      <c r="P73" s="741"/>
      <c r="Q73" s="729"/>
    </row>
    <row r="74" spans="1:17" ht="14.4" customHeight="1" x14ac:dyDescent="0.3">
      <c r="A74" s="724" t="s">
        <v>552</v>
      </c>
      <c r="B74" s="725" t="s">
        <v>3080</v>
      </c>
      <c r="C74" s="725" t="s">
        <v>3123</v>
      </c>
      <c r="D74" s="725" t="s">
        <v>3160</v>
      </c>
      <c r="E74" s="725" t="s">
        <v>3161</v>
      </c>
      <c r="F74" s="728"/>
      <c r="G74" s="728"/>
      <c r="H74" s="728"/>
      <c r="I74" s="728"/>
      <c r="J74" s="728"/>
      <c r="K74" s="728"/>
      <c r="L74" s="728"/>
      <c r="M74" s="728"/>
      <c r="N74" s="728">
        <v>4</v>
      </c>
      <c r="O74" s="728">
        <v>13414.68</v>
      </c>
      <c r="P74" s="741"/>
      <c r="Q74" s="729">
        <v>3353.67</v>
      </c>
    </row>
    <row r="75" spans="1:17" ht="14.4" customHeight="1" x14ac:dyDescent="0.3">
      <c r="A75" s="724" t="s">
        <v>552</v>
      </c>
      <c r="B75" s="725" t="s">
        <v>3080</v>
      </c>
      <c r="C75" s="725" t="s">
        <v>3123</v>
      </c>
      <c r="D75" s="725" t="s">
        <v>3162</v>
      </c>
      <c r="E75" s="725" t="s">
        <v>3163</v>
      </c>
      <c r="F75" s="728">
        <v>3</v>
      </c>
      <c r="G75" s="728">
        <v>128554.68</v>
      </c>
      <c r="H75" s="728"/>
      <c r="I75" s="728">
        <v>42851.56</v>
      </c>
      <c r="J75" s="728"/>
      <c r="K75" s="728"/>
      <c r="L75" s="728"/>
      <c r="M75" s="728"/>
      <c r="N75" s="728"/>
      <c r="O75" s="728"/>
      <c r="P75" s="741"/>
      <c r="Q75" s="729"/>
    </row>
    <row r="76" spans="1:17" ht="14.4" customHeight="1" x14ac:dyDescent="0.3">
      <c r="A76" s="724" t="s">
        <v>552</v>
      </c>
      <c r="B76" s="725" t="s">
        <v>3080</v>
      </c>
      <c r="C76" s="725" t="s">
        <v>3123</v>
      </c>
      <c r="D76" s="725" t="s">
        <v>3164</v>
      </c>
      <c r="E76" s="725" t="s">
        <v>3165</v>
      </c>
      <c r="F76" s="728">
        <v>1</v>
      </c>
      <c r="G76" s="728">
        <v>4676</v>
      </c>
      <c r="H76" s="728">
        <v>1</v>
      </c>
      <c r="I76" s="728">
        <v>4676</v>
      </c>
      <c r="J76" s="728">
        <v>1</v>
      </c>
      <c r="K76" s="728">
        <v>4676</v>
      </c>
      <c r="L76" s="728">
        <v>1</v>
      </c>
      <c r="M76" s="728">
        <v>4676</v>
      </c>
      <c r="N76" s="728"/>
      <c r="O76" s="728"/>
      <c r="P76" s="741"/>
      <c r="Q76" s="729"/>
    </row>
    <row r="77" spans="1:17" ht="14.4" customHeight="1" x14ac:dyDescent="0.3">
      <c r="A77" s="724" t="s">
        <v>552</v>
      </c>
      <c r="B77" s="725" t="s">
        <v>3080</v>
      </c>
      <c r="C77" s="725" t="s">
        <v>3123</v>
      </c>
      <c r="D77" s="725" t="s">
        <v>3166</v>
      </c>
      <c r="E77" s="725" t="s">
        <v>3165</v>
      </c>
      <c r="F77" s="728"/>
      <c r="G77" s="728"/>
      <c r="H77" s="728"/>
      <c r="I77" s="728"/>
      <c r="J77" s="728">
        <v>1</v>
      </c>
      <c r="K77" s="728">
        <v>5239</v>
      </c>
      <c r="L77" s="728">
        <v>1</v>
      </c>
      <c r="M77" s="728">
        <v>5239</v>
      </c>
      <c r="N77" s="728"/>
      <c r="O77" s="728"/>
      <c r="P77" s="741"/>
      <c r="Q77" s="729"/>
    </row>
    <row r="78" spans="1:17" ht="14.4" customHeight="1" x14ac:dyDescent="0.3">
      <c r="A78" s="724" t="s">
        <v>552</v>
      </c>
      <c r="B78" s="725" t="s">
        <v>3080</v>
      </c>
      <c r="C78" s="725" t="s">
        <v>3123</v>
      </c>
      <c r="D78" s="725" t="s">
        <v>3167</v>
      </c>
      <c r="E78" s="725" t="s">
        <v>3165</v>
      </c>
      <c r="F78" s="728">
        <v>1</v>
      </c>
      <c r="G78" s="728">
        <v>5823</v>
      </c>
      <c r="H78" s="728"/>
      <c r="I78" s="728">
        <v>5823</v>
      </c>
      <c r="J78" s="728"/>
      <c r="K78" s="728"/>
      <c r="L78" s="728"/>
      <c r="M78" s="728"/>
      <c r="N78" s="728"/>
      <c r="O78" s="728"/>
      <c r="P78" s="741"/>
      <c r="Q78" s="729"/>
    </row>
    <row r="79" spans="1:17" ht="14.4" customHeight="1" x14ac:dyDescent="0.3">
      <c r="A79" s="724" t="s">
        <v>552</v>
      </c>
      <c r="B79" s="725" t="s">
        <v>3080</v>
      </c>
      <c r="C79" s="725" t="s">
        <v>3123</v>
      </c>
      <c r="D79" s="725" t="s">
        <v>3168</v>
      </c>
      <c r="E79" s="725" t="s">
        <v>3169</v>
      </c>
      <c r="F79" s="728">
        <v>9</v>
      </c>
      <c r="G79" s="728">
        <v>5328</v>
      </c>
      <c r="H79" s="728">
        <v>0.9</v>
      </c>
      <c r="I79" s="728">
        <v>592</v>
      </c>
      <c r="J79" s="728">
        <v>10</v>
      </c>
      <c r="K79" s="728">
        <v>5920</v>
      </c>
      <c r="L79" s="728">
        <v>1</v>
      </c>
      <c r="M79" s="728">
        <v>592</v>
      </c>
      <c r="N79" s="728"/>
      <c r="O79" s="728"/>
      <c r="P79" s="741"/>
      <c r="Q79" s="729"/>
    </row>
    <row r="80" spans="1:17" ht="14.4" customHeight="1" x14ac:dyDescent="0.3">
      <c r="A80" s="724" t="s">
        <v>552</v>
      </c>
      <c r="B80" s="725" t="s">
        <v>3080</v>
      </c>
      <c r="C80" s="725" t="s">
        <v>3123</v>
      </c>
      <c r="D80" s="725" t="s">
        <v>3170</v>
      </c>
      <c r="E80" s="725" t="s">
        <v>3171</v>
      </c>
      <c r="F80" s="728">
        <v>1</v>
      </c>
      <c r="G80" s="728">
        <v>6593.35</v>
      </c>
      <c r="H80" s="728"/>
      <c r="I80" s="728">
        <v>6593.35</v>
      </c>
      <c r="J80" s="728"/>
      <c r="K80" s="728"/>
      <c r="L80" s="728"/>
      <c r="M80" s="728"/>
      <c r="N80" s="728">
        <v>1</v>
      </c>
      <c r="O80" s="728">
        <v>6593.35</v>
      </c>
      <c r="P80" s="741"/>
      <c r="Q80" s="729">
        <v>6593.35</v>
      </c>
    </row>
    <row r="81" spans="1:17" ht="14.4" customHeight="1" x14ac:dyDescent="0.3">
      <c r="A81" s="724" t="s">
        <v>552</v>
      </c>
      <c r="B81" s="725" t="s">
        <v>3080</v>
      </c>
      <c r="C81" s="725" t="s">
        <v>3123</v>
      </c>
      <c r="D81" s="725" t="s">
        <v>3172</v>
      </c>
      <c r="E81" s="725" t="s">
        <v>3171</v>
      </c>
      <c r="F81" s="728">
        <v>1</v>
      </c>
      <c r="G81" s="728">
        <v>1978.94</v>
      </c>
      <c r="H81" s="728"/>
      <c r="I81" s="728">
        <v>1978.94</v>
      </c>
      <c r="J81" s="728"/>
      <c r="K81" s="728"/>
      <c r="L81" s="728"/>
      <c r="M81" s="728"/>
      <c r="N81" s="728">
        <v>1</v>
      </c>
      <c r="O81" s="728">
        <v>1978.94</v>
      </c>
      <c r="P81" s="741"/>
      <c r="Q81" s="729">
        <v>1978.94</v>
      </c>
    </row>
    <row r="82" spans="1:17" ht="14.4" customHeight="1" x14ac:dyDescent="0.3">
      <c r="A82" s="724" t="s">
        <v>552</v>
      </c>
      <c r="B82" s="725" t="s">
        <v>3080</v>
      </c>
      <c r="C82" s="725" t="s">
        <v>3123</v>
      </c>
      <c r="D82" s="725" t="s">
        <v>3173</v>
      </c>
      <c r="E82" s="725" t="s">
        <v>3174</v>
      </c>
      <c r="F82" s="728">
        <v>54</v>
      </c>
      <c r="G82" s="728">
        <v>706914</v>
      </c>
      <c r="H82" s="728">
        <v>2</v>
      </c>
      <c r="I82" s="728">
        <v>13091</v>
      </c>
      <c r="J82" s="728">
        <v>27</v>
      </c>
      <c r="K82" s="728">
        <v>353457</v>
      </c>
      <c r="L82" s="728">
        <v>1</v>
      </c>
      <c r="M82" s="728">
        <v>13091</v>
      </c>
      <c r="N82" s="728">
        <v>2</v>
      </c>
      <c r="O82" s="728">
        <v>26182</v>
      </c>
      <c r="P82" s="741">
        <v>7.407407407407407E-2</v>
      </c>
      <c r="Q82" s="729">
        <v>13091</v>
      </c>
    </row>
    <row r="83" spans="1:17" ht="14.4" customHeight="1" x14ac:dyDescent="0.3">
      <c r="A83" s="724" t="s">
        <v>552</v>
      </c>
      <c r="B83" s="725" t="s">
        <v>3080</v>
      </c>
      <c r="C83" s="725" t="s">
        <v>3123</v>
      </c>
      <c r="D83" s="725" t="s">
        <v>3175</v>
      </c>
      <c r="E83" s="725" t="s">
        <v>3176</v>
      </c>
      <c r="F83" s="728">
        <v>4</v>
      </c>
      <c r="G83" s="728">
        <v>10293.16</v>
      </c>
      <c r="H83" s="728">
        <v>2</v>
      </c>
      <c r="I83" s="728">
        <v>2573.29</v>
      </c>
      <c r="J83" s="728">
        <v>2</v>
      </c>
      <c r="K83" s="728">
        <v>5146.58</v>
      </c>
      <c r="L83" s="728">
        <v>1</v>
      </c>
      <c r="M83" s="728">
        <v>2573.29</v>
      </c>
      <c r="N83" s="728"/>
      <c r="O83" s="728"/>
      <c r="P83" s="741"/>
      <c r="Q83" s="729"/>
    </row>
    <row r="84" spans="1:17" ht="14.4" customHeight="1" x14ac:dyDescent="0.3">
      <c r="A84" s="724" t="s">
        <v>552</v>
      </c>
      <c r="B84" s="725" t="s">
        <v>3080</v>
      </c>
      <c r="C84" s="725" t="s">
        <v>3123</v>
      </c>
      <c r="D84" s="725" t="s">
        <v>3177</v>
      </c>
      <c r="E84" s="725" t="s">
        <v>3158</v>
      </c>
      <c r="F84" s="728"/>
      <c r="G84" s="728"/>
      <c r="H84" s="728"/>
      <c r="I84" s="728"/>
      <c r="J84" s="728">
        <v>2</v>
      </c>
      <c r="K84" s="728">
        <v>8222.5</v>
      </c>
      <c r="L84" s="728">
        <v>1</v>
      </c>
      <c r="M84" s="728">
        <v>4111.25</v>
      </c>
      <c r="N84" s="728"/>
      <c r="O84" s="728"/>
      <c r="P84" s="741"/>
      <c r="Q84" s="729"/>
    </row>
    <row r="85" spans="1:17" ht="14.4" customHeight="1" x14ac:dyDescent="0.3">
      <c r="A85" s="724" t="s">
        <v>552</v>
      </c>
      <c r="B85" s="725" t="s">
        <v>3080</v>
      </c>
      <c r="C85" s="725" t="s">
        <v>3123</v>
      </c>
      <c r="D85" s="725" t="s">
        <v>3178</v>
      </c>
      <c r="E85" s="725" t="s">
        <v>3179</v>
      </c>
      <c r="F85" s="728"/>
      <c r="G85" s="728"/>
      <c r="H85" s="728"/>
      <c r="I85" s="728"/>
      <c r="J85" s="728"/>
      <c r="K85" s="728"/>
      <c r="L85" s="728"/>
      <c r="M85" s="728"/>
      <c r="N85" s="728">
        <v>4</v>
      </c>
      <c r="O85" s="728">
        <v>7366.48</v>
      </c>
      <c r="P85" s="741"/>
      <c r="Q85" s="729">
        <v>1841.62</v>
      </c>
    </row>
    <row r="86" spans="1:17" ht="14.4" customHeight="1" x14ac:dyDescent="0.3">
      <c r="A86" s="724" t="s">
        <v>552</v>
      </c>
      <c r="B86" s="725" t="s">
        <v>3080</v>
      </c>
      <c r="C86" s="725" t="s">
        <v>3123</v>
      </c>
      <c r="D86" s="725" t="s">
        <v>3180</v>
      </c>
      <c r="E86" s="725" t="s">
        <v>3179</v>
      </c>
      <c r="F86" s="728"/>
      <c r="G86" s="728"/>
      <c r="H86" s="728"/>
      <c r="I86" s="728"/>
      <c r="J86" s="728"/>
      <c r="K86" s="728"/>
      <c r="L86" s="728"/>
      <c r="M86" s="728"/>
      <c r="N86" s="728">
        <v>1</v>
      </c>
      <c r="O86" s="728">
        <v>16286.45</v>
      </c>
      <c r="P86" s="741"/>
      <c r="Q86" s="729">
        <v>16286.45</v>
      </c>
    </row>
    <row r="87" spans="1:17" ht="14.4" customHeight="1" x14ac:dyDescent="0.3">
      <c r="A87" s="724" t="s">
        <v>552</v>
      </c>
      <c r="B87" s="725" t="s">
        <v>3080</v>
      </c>
      <c r="C87" s="725" t="s">
        <v>3123</v>
      </c>
      <c r="D87" s="725" t="s">
        <v>3181</v>
      </c>
      <c r="E87" s="725" t="s">
        <v>3182</v>
      </c>
      <c r="F87" s="728">
        <v>6</v>
      </c>
      <c r="G87" s="728">
        <v>35512.020000000004</v>
      </c>
      <c r="H87" s="728">
        <v>1.5000000000000002</v>
      </c>
      <c r="I87" s="728">
        <v>5918.670000000001</v>
      </c>
      <c r="J87" s="728">
        <v>4</v>
      </c>
      <c r="K87" s="728">
        <v>23674.68</v>
      </c>
      <c r="L87" s="728">
        <v>1</v>
      </c>
      <c r="M87" s="728">
        <v>5918.67</v>
      </c>
      <c r="N87" s="728">
        <v>2</v>
      </c>
      <c r="O87" s="728">
        <v>11837.34</v>
      </c>
      <c r="P87" s="741">
        <v>0.5</v>
      </c>
      <c r="Q87" s="729">
        <v>5918.67</v>
      </c>
    </row>
    <row r="88" spans="1:17" ht="14.4" customHeight="1" x14ac:dyDescent="0.3">
      <c r="A88" s="724" t="s">
        <v>552</v>
      </c>
      <c r="B88" s="725" t="s">
        <v>3080</v>
      </c>
      <c r="C88" s="725" t="s">
        <v>3123</v>
      </c>
      <c r="D88" s="725" t="s">
        <v>3183</v>
      </c>
      <c r="E88" s="725" t="s">
        <v>3182</v>
      </c>
      <c r="F88" s="728">
        <v>1</v>
      </c>
      <c r="G88" s="728">
        <v>8286.76</v>
      </c>
      <c r="H88" s="728"/>
      <c r="I88" s="728">
        <v>8286.76</v>
      </c>
      <c r="J88" s="728"/>
      <c r="K88" s="728"/>
      <c r="L88" s="728"/>
      <c r="M88" s="728"/>
      <c r="N88" s="728">
        <v>1</v>
      </c>
      <c r="O88" s="728">
        <v>8286.76</v>
      </c>
      <c r="P88" s="741"/>
      <c r="Q88" s="729">
        <v>8286.76</v>
      </c>
    </row>
    <row r="89" spans="1:17" ht="14.4" customHeight="1" x14ac:dyDescent="0.3">
      <c r="A89" s="724" t="s">
        <v>552</v>
      </c>
      <c r="B89" s="725" t="s">
        <v>3080</v>
      </c>
      <c r="C89" s="725" t="s">
        <v>3123</v>
      </c>
      <c r="D89" s="725" t="s">
        <v>3184</v>
      </c>
      <c r="E89" s="725" t="s">
        <v>3182</v>
      </c>
      <c r="F89" s="728">
        <v>28</v>
      </c>
      <c r="G89" s="728">
        <v>80844.680000000008</v>
      </c>
      <c r="H89" s="728">
        <v>2.0000000000000004</v>
      </c>
      <c r="I89" s="728">
        <v>2887.3100000000004</v>
      </c>
      <c r="J89" s="728">
        <v>14</v>
      </c>
      <c r="K89" s="728">
        <v>40422.339999999997</v>
      </c>
      <c r="L89" s="728">
        <v>1</v>
      </c>
      <c r="M89" s="728">
        <v>2887.31</v>
      </c>
      <c r="N89" s="728">
        <v>14</v>
      </c>
      <c r="O89" s="728">
        <v>40422.339999999997</v>
      </c>
      <c r="P89" s="741">
        <v>1</v>
      </c>
      <c r="Q89" s="729">
        <v>2887.31</v>
      </c>
    </row>
    <row r="90" spans="1:17" ht="14.4" customHeight="1" x14ac:dyDescent="0.3">
      <c r="A90" s="724" t="s">
        <v>552</v>
      </c>
      <c r="B90" s="725" t="s">
        <v>3080</v>
      </c>
      <c r="C90" s="725" t="s">
        <v>3123</v>
      </c>
      <c r="D90" s="725" t="s">
        <v>3185</v>
      </c>
      <c r="E90" s="725" t="s">
        <v>3186</v>
      </c>
      <c r="F90" s="728"/>
      <c r="G90" s="728"/>
      <c r="H90" s="728"/>
      <c r="I90" s="728"/>
      <c r="J90" s="728"/>
      <c r="K90" s="728"/>
      <c r="L90" s="728"/>
      <c r="M90" s="728"/>
      <c r="N90" s="728">
        <v>1</v>
      </c>
      <c r="O90" s="728">
        <v>6850.36</v>
      </c>
      <c r="P90" s="741"/>
      <c r="Q90" s="729">
        <v>6850.36</v>
      </c>
    </row>
    <row r="91" spans="1:17" ht="14.4" customHeight="1" x14ac:dyDescent="0.3">
      <c r="A91" s="724" t="s">
        <v>552</v>
      </c>
      <c r="B91" s="725" t="s">
        <v>3080</v>
      </c>
      <c r="C91" s="725" t="s">
        <v>3123</v>
      </c>
      <c r="D91" s="725" t="s">
        <v>3187</v>
      </c>
      <c r="E91" s="725" t="s">
        <v>3188</v>
      </c>
      <c r="F91" s="728">
        <v>78</v>
      </c>
      <c r="G91" s="728">
        <v>634374</v>
      </c>
      <c r="H91" s="728">
        <v>3.9</v>
      </c>
      <c r="I91" s="728">
        <v>8133</v>
      </c>
      <c r="J91" s="728">
        <v>20</v>
      </c>
      <c r="K91" s="728">
        <v>162660</v>
      </c>
      <c r="L91" s="728">
        <v>1</v>
      </c>
      <c r="M91" s="728">
        <v>8133</v>
      </c>
      <c r="N91" s="728">
        <v>38</v>
      </c>
      <c r="O91" s="728">
        <v>309054</v>
      </c>
      <c r="P91" s="741">
        <v>1.9</v>
      </c>
      <c r="Q91" s="729">
        <v>8133</v>
      </c>
    </row>
    <row r="92" spans="1:17" ht="14.4" customHeight="1" x14ac:dyDescent="0.3">
      <c r="A92" s="724" t="s">
        <v>552</v>
      </c>
      <c r="B92" s="725" t="s">
        <v>3080</v>
      </c>
      <c r="C92" s="725" t="s">
        <v>3123</v>
      </c>
      <c r="D92" s="725" t="s">
        <v>3189</v>
      </c>
      <c r="E92" s="725" t="s">
        <v>3188</v>
      </c>
      <c r="F92" s="728">
        <v>37</v>
      </c>
      <c r="G92" s="728">
        <v>212713</v>
      </c>
      <c r="H92" s="728">
        <v>3.7</v>
      </c>
      <c r="I92" s="728">
        <v>5749</v>
      </c>
      <c r="J92" s="728">
        <v>10</v>
      </c>
      <c r="K92" s="728">
        <v>57490</v>
      </c>
      <c r="L92" s="728">
        <v>1</v>
      </c>
      <c r="M92" s="728">
        <v>5749</v>
      </c>
      <c r="N92" s="728">
        <v>18</v>
      </c>
      <c r="O92" s="728">
        <v>103482</v>
      </c>
      <c r="P92" s="741">
        <v>1.8</v>
      </c>
      <c r="Q92" s="729">
        <v>5749</v>
      </c>
    </row>
    <row r="93" spans="1:17" ht="14.4" customHeight="1" x14ac:dyDescent="0.3">
      <c r="A93" s="724" t="s">
        <v>552</v>
      </c>
      <c r="B93" s="725" t="s">
        <v>3080</v>
      </c>
      <c r="C93" s="725" t="s">
        <v>3123</v>
      </c>
      <c r="D93" s="725" t="s">
        <v>3190</v>
      </c>
      <c r="E93" s="725" t="s">
        <v>3191</v>
      </c>
      <c r="F93" s="728">
        <v>78</v>
      </c>
      <c r="G93" s="728">
        <v>212316</v>
      </c>
      <c r="H93" s="728">
        <v>3.9</v>
      </c>
      <c r="I93" s="728">
        <v>2722</v>
      </c>
      <c r="J93" s="728">
        <v>20</v>
      </c>
      <c r="K93" s="728">
        <v>54440</v>
      </c>
      <c r="L93" s="728">
        <v>1</v>
      </c>
      <c r="M93" s="728">
        <v>2722</v>
      </c>
      <c r="N93" s="728">
        <v>38</v>
      </c>
      <c r="O93" s="728">
        <v>103436</v>
      </c>
      <c r="P93" s="741">
        <v>1.9</v>
      </c>
      <c r="Q93" s="729">
        <v>2722</v>
      </c>
    </row>
    <row r="94" spans="1:17" ht="14.4" customHeight="1" x14ac:dyDescent="0.3">
      <c r="A94" s="724" t="s">
        <v>552</v>
      </c>
      <c r="B94" s="725" t="s">
        <v>3080</v>
      </c>
      <c r="C94" s="725" t="s">
        <v>3123</v>
      </c>
      <c r="D94" s="725" t="s">
        <v>3192</v>
      </c>
      <c r="E94" s="725" t="s">
        <v>3193</v>
      </c>
      <c r="F94" s="728">
        <v>8</v>
      </c>
      <c r="G94" s="728">
        <v>49306</v>
      </c>
      <c r="H94" s="728"/>
      <c r="I94" s="728">
        <v>6163.25</v>
      </c>
      <c r="J94" s="728"/>
      <c r="K94" s="728"/>
      <c r="L94" s="728"/>
      <c r="M94" s="728"/>
      <c r="N94" s="728"/>
      <c r="O94" s="728"/>
      <c r="P94" s="741"/>
      <c r="Q94" s="729"/>
    </row>
    <row r="95" spans="1:17" ht="14.4" customHeight="1" x14ac:dyDescent="0.3">
      <c r="A95" s="724" t="s">
        <v>552</v>
      </c>
      <c r="B95" s="725" t="s">
        <v>3080</v>
      </c>
      <c r="C95" s="725" t="s">
        <v>3123</v>
      </c>
      <c r="D95" s="725" t="s">
        <v>3194</v>
      </c>
      <c r="E95" s="725" t="s">
        <v>3193</v>
      </c>
      <c r="F95" s="728">
        <v>8</v>
      </c>
      <c r="G95" s="728">
        <v>8572.7999999999993</v>
      </c>
      <c r="H95" s="728"/>
      <c r="I95" s="728">
        <v>1071.5999999999999</v>
      </c>
      <c r="J95" s="728"/>
      <c r="K95" s="728"/>
      <c r="L95" s="728"/>
      <c r="M95" s="728"/>
      <c r="N95" s="728"/>
      <c r="O95" s="728"/>
      <c r="P95" s="741"/>
      <c r="Q95" s="729"/>
    </row>
    <row r="96" spans="1:17" ht="14.4" customHeight="1" x14ac:dyDescent="0.3">
      <c r="A96" s="724" t="s">
        <v>552</v>
      </c>
      <c r="B96" s="725" t="s">
        <v>3080</v>
      </c>
      <c r="C96" s="725" t="s">
        <v>3123</v>
      </c>
      <c r="D96" s="725" t="s">
        <v>3195</v>
      </c>
      <c r="E96" s="725" t="s">
        <v>3196</v>
      </c>
      <c r="F96" s="728">
        <v>2</v>
      </c>
      <c r="G96" s="728">
        <v>125316</v>
      </c>
      <c r="H96" s="728">
        <v>1</v>
      </c>
      <c r="I96" s="728">
        <v>62658</v>
      </c>
      <c r="J96" s="728">
        <v>2</v>
      </c>
      <c r="K96" s="728">
        <v>125316</v>
      </c>
      <c r="L96" s="728">
        <v>1</v>
      </c>
      <c r="M96" s="728">
        <v>62658</v>
      </c>
      <c r="N96" s="728">
        <v>2</v>
      </c>
      <c r="O96" s="728">
        <v>125316</v>
      </c>
      <c r="P96" s="741">
        <v>1</v>
      </c>
      <c r="Q96" s="729">
        <v>62658</v>
      </c>
    </row>
    <row r="97" spans="1:17" ht="14.4" customHeight="1" x14ac:dyDescent="0.3">
      <c r="A97" s="724" t="s">
        <v>552</v>
      </c>
      <c r="B97" s="725" t="s">
        <v>3080</v>
      </c>
      <c r="C97" s="725" t="s">
        <v>3123</v>
      </c>
      <c r="D97" s="725" t="s">
        <v>3197</v>
      </c>
      <c r="E97" s="725" t="s">
        <v>3198</v>
      </c>
      <c r="F97" s="728">
        <v>2</v>
      </c>
      <c r="G97" s="728">
        <v>39120</v>
      </c>
      <c r="H97" s="728"/>
      <c r="I97" s="728">
        <v>19560</v>
      </c>
      <c r="J97" s="728"/>
      <c r="K97" s="728"/>
      <c r="L97" s="728"/>
      <c r="M97" s="728"/>
      <c r="N97" s="728"/>
      <c r="O97" s="728"/>
      <c r="P97" s="741"/>
      <c r="Q97" s="729"/>
    </row>
    <row r="98" spans="1:17" ht="14.4" customHeight="1" x14ac:dyDescent="0.3">
      <c r="A98" s="724" t="s">
        <v>552</v>
      </c>
      <c r="B98" s="725" t="s">
        <v>3080</v>
      </c>
      <c r="C98" s="725" t="s">
        <v>3123</v>
      </c>
      <c r="D98" s="725" t="s">
        <v>3199</v>
      </c>
      <c r="E98" s="725" t="s">
        <v>3200</v>
      </c>
      <c r="F98" s="728"/>
      <c r="G98" s="728"/>
      <c r="H98" s="728"/>
      <c r="I98" s="728"/>
      <c r="J98" s="728"/>
      <c r="K98" s="728"/>
      <c r="L98" s="728"/>
      <c r="M98" s="728"/>
      <c r="N98" s="728">
        <v>2</v>
      </c>
      <c r="O98" s="728">
        <v>11671.52</v>
      </c>
      <c r="P98" s="741"/>
      <c r="Q98" s="729">
        <v>5835.76</v>
      </c>
    </row>
    <row r="99" spans="1:17" ht="14.4" customHeight="1" x14ac:dyDescent="0.3">
      <c r="A99" s="724" t="s">
        <v>552</v>
      </c>
      <c r="B99" s="725" t="s">
        <v>3080</v>
      </c>
      <c r="C99" s="725" t="s">
        <v>3123</v>
      </c>
      <c r="D99" s="725" t="s">
        <v>3090</v>
      </c>
      <c r="E99" s="725" t="s">
        <v>3201</v>
      </c>
      <c r="F99" s="728"/>
      <c r="G99" s="728"/>
      <c r="H99" s="728"/>
      <c r="I99" s="728"/>
      <c r="J99" s="728"/>
      <c r="K99" s="728"/>
      <c r="L99" s="728"/>
      <c r="M99" s="728"/>
      <c r="N99" s="728">
        <v>0.6</v>
      </c>
      <c r="O99" s="728">
        <v>2874.37</v>
      </c>
      <c r="P99" s="741"/>
      <c r="Q99" s="729">
        <v>4790.6166666666668</v>
      </c>
    </row>
    <row r="100" spans="1:17" ht="14.4" customHeight="1" x14ac:dyDescent="0.3">
      <c r="A100" s="724" t="s">
        <v>552</v>
      </c>
      <c r="B100" s="725" t="s">
        <v>3080</v>
      </c>
      <c r="C100" s="725" t="s">
        <v>3123</v>
      </c>
      <c r="D100" s="725" t="s">
        <v>3202</v>
      </c>
      <c r="E100" s="725" t="s">
        <v>3203</v>
      </c>
      <c r="F100" s="728">
        <v>1</v>
      </c>
      <c r="G100" s="728">
        <v>5523.82</v>
      </c>
      <c r="H100" s="728"/>
      <c r="I100" s="728">
        <v>5523.82</v>
      </c>
      <c r="J100" s="728"/>
      <c r="K100" s="728"/>
      <c r="L100" s="728"/>
      <c r="M100" s="728"/>
      <c r="N100" s="728"/>
      <c r="O100" s="728"/>
      <c r="P100" s="741"/>
      <c r="Q100" s="729"/>
    </row>
    <row r="101" spans="1:17" ht="14.4" customHeight="1" x14ac:dyDescent="0.3">
      <c r="A101" s="724" t="s">
        <v>552</v>
      </c>
      <c r="B101" s="725" t="s">
        <v>3080</v>
      </c>
      <c r="C101" s="725" t="s">
        <v>3123</v>
      </c>
      <c r="D101" s="725" t="s">
        <v>3204</v>
      </c>
      <c r="E101" s="725" t="s">
        <v>3205</v>
      </c>
      <c r="F101" s="728">
        <v>3</v>
      </c>
      <c r="G101" s="728">
        <v>26241</v>
      </c>
      <c r="H101" s="728"/>
      <c r="I101" s="728">
        <v>8747</v>
      </c>
      <c r="J101" s="728"/>
      <c r="K101" s="728"/>
      <c r="L101" s="728"/>
      <c r="M101" s="728"/>
      <c r="N101" s="728"/>
      <c r="O101" s="728"/>
      <c r="P101" s="741"/>
      <c r="Q101" s="729"/>
    </row>
    <row r="102" spans="1:17" ht="14.4" customHeight="1" x14ac:dyDescent="0.3">
      <c r="A102" s="724" t="s">
        <v>552</v>
      </c>
      <c r="B102" s="725" t="s">
        <v>3080</v>
      </c>
      <c r="C102" s="725" t="s">
        <v>3123</v>
      </c>
      <c r="D102" s="725" t="s">
        <v>3206</v>
      </c>
      <c r="E102" s="725" t="s">
        <v>3207</v>
      </c>
      <c r="F102" s="728">
        <v>1</v>
      </c>
      <c r="G102" s="728">
        <v>14651.07</v>
      </c>
      <c r="H102" s="728"/>
      <c r="I102" s="728">
        <v>14651.07</v>
      </c>
      <c r="J102" s="728"/>
      <c r="K102" s="728"/>
      <c r="L102" s="728"/>
      <c r="M102" s="728"/>
      <c r="N102" s="728"/>
      <c r="O102" s="728"/>
      <c r="P102" s="741"/>
      <c r="Q102" s="729"/>
    </row>
    <row r="103" spans="1:17" ht="14.4" customHeight="1" x14ac:dyDescent="0.3">
      <c r="A103" s="724" t="s">
        <v>552</v>
      </c>
      <c r="B103" s="725" t="s">
        <v>3080</v>
      </c>
      <c r="C103" s="725" t="s">
        <v>3123</v>
      </c>
      <c r="D103" s="725" t="s">
        <v>3208</v>
      </c>
      <c r="E103" s="725" t="s">
        <v>3207</v>
      </c>
      <c r="F103" s="728">
        <v>4</v>
      </c>
      <c r="G103" s="728">
        <v>16013.88</v>
      </c>
      <c r="H103" s="728"/>
      <c r="I103" s="728">
        <v>4003.47</v>
      </c>
      <c r="J103" s="728"/>
      <c r="K103" s="728"/>
      <c r="L103" s="728"/>
      <c r="M103" s="728"/>
      <c r="N103" s="728"/>
      <c r="O103" s="728"/>
      <c r="P103" s="741"/>
      <c r="Q103" s="729"/>
    </row>
    <row r="104" spans="1:17" ht="14.4" customHeight="1" x14ac:dyDescent="0.3">
      <c r="A104" s="724" t="s">
        <v>552</v>
      </c>
      <c r="B104" s="725" t="s">
        <v>3080</v>
      </c>
      <c r="C104" s="725" t="s">
        <v>3123</v>
      </c>
      <c r="D104" s="725" t="s">
        <v>3209</v>
      </c>
      <c r="E104" s="725" t="s">
        <v>3210</v>
      </c>
      <c r="F104" s="728"/>
      <c r="G104" s="728"/>
      <c r="H104" s="728"/>
      <c r="I104" s="728"/>
      <c r="J104" s="728">
        <v>1</v>
      </c>
      <c r="K104" s="728">
        <v>37620.9</v>
      </c>
      <c r="L104" s="728">
        <v>1</v>
      </c>
      <c r="M104" s="728">
        <v>37620.9</v>
      </c>
      <c r="N104" s="728"/>
      <c r="O104" s="728"/>
      <c r="P104" s="741"/>
      <c r="Q104" s="729"/>
    </row>
    <row r="105" spans="1:17" ht="14.4" customHeight="1" x14ac:dyDescent="0.3">
      <c r="A105" s="724" t="s">
        <v>552</v>
      </c>
      <c r="B105" s="725" t="s">
        <v>3080</v>
      </c>
      <c r="C105" s="725" t="s">
        <v>3123</v>
      </c>
      <c r="D105" s="725" t="s">
        <v>3211</v>
      </c>
      <c r="E105" s="725" t="s">
        <v>3212</v>
      </c>
      <c r="F105" s="728">
        <v>1</v>
      </c>
      <c r="G105" s="728">
        <v>22007</v>
      </c>
      <c r="H105" s="728">
        <v>1</v>
      </c>
      <c r="I105" s="728">
        <v>22007</v>
      </c>
      <c r="J105" s="728">
        <v>1</v>
      </c>
      <c r="K105" s="728">
        <v>22007</v>
      </c>
      <c r="L105" s="728">
        <v>1</v>
      </c>
      <c r="M105" s="728">
        <v>22007</v>
      </c>
      <c r="N105" s="728"/>
      <c r="O105" s="728"/>
      <c r="P105" s="741"/>
      <c r="Q105" s="729"/>
    </row>
    <row r="106" spans="1:17" ht="14.4" customHeight="1" x14ac:dyDescent="0.3">
      <c r="A106" s="724" t="s">
        <v>552</v>
      </c>
      <c r="B106" s="725" t="s">
        <v>3080</v>
      </c>
      <c r="C106" s="725" t="s">
        <v>3123</v>
      </c>
      <c r="D106" s="725" t="s">
        <v>3213</v>
      </c>
      <c r="E106" s="725" t="s">
        <v>3214</v>
      </c>
      <c r="F106" s="728"/>
      <c r="G106" s="728"/>
      <c r="H106" s="728"/>
      <c r="I106" s="728"/>
      <c r="J106" s="728"/>
      <c r="K106" s="728"/>
      <c r="L106" s="728"/>
      <c r="M106" s="728"/>
      <c r="N106" s="728">
        <v>1</v>
      </c>
      <c r="O106" s="728">
        <v>5983</v>
      </c>
      <c r="P106" s="741"/>
      <c r="Q106" s="729">
        <v>5983</v>
      </c>
    </row>
    <row r="107" spans="1:17" ht="14.4" customHeight="1" x14ac:dyDescent="0.3">
      <c r="A107" s="724" t="s">
        <v>552</v>
      </c>
      <c r="B107" s="725" t="s">
        <v>3080</v>
      </c>
      <c r="C107" s="725" t="s">
        <v>3123</v>
      </c>
      <c r="D107" s="725" t="s">
        <v>3215</v>
      </c>
      <c r="E107" s="725" t="s">
        <v>3214</v>
      </c>
      <c r="F107" s="728">
        <v>3</v>
      </c>
      <c r="G107" s="728">
        <v>19551</v>
      </c>
      <c r="H107" s="728">
        <v>1.5</v>
      </c>
      <c r="I107" s="728">
        <v>6517</v>
      </c>
      <c r="J107" s="728">
        <v>2</v>
      </c>
      <c r="K107" s="728">
        <v>13034</v>
      </c>
      <c r="L107" s="728">
        <v>1</v>
      </c>
      <c r="M107" s="728">
        <v>6517</v>
      </c>
      <c r="N107" s="728">
        <v>3</v>
      </c>
      <c r="O107" s="728">
        <v>19551</v>
      </c>
      <c r="P107" s="741">
        <v>1.5</v>
      </c>
      <c r="Q107" s="729">
        <v>6517</v>
      </c>
    </row>
    <row r="108" spans="1:17" ht="14.4" customHeight="1" x14ac:dyDescent="0.3">
      <c r="A108" s="724" t="s">
        <v>552</v>
      </c>
      <c r="B108" s="725" t="s">
        <v>3080</v>
      </c>
      <c r="C108" s="725" t="s">
        <v>3123</v>
      </c>
      <c r="D108" s="725" t="s">
        <v>3216</v>
      </c>
      <c r="E108" s="725" t="s">
        <v>3217</v>
      </c>
      <c r="F108" s="728">
        <v>1</v>
      </c>
      <c r="G108" s="728">
        <v>366628.15</v>
      </c>
      <c r="H108" s="728"/>
      <c r="I108" s="728">
        <v>366628.15</v>
      </c>
      <c r="J108" s="728"/>
      <c r="K108" s="728"/>
      <c r="L108" s="728"/>
      <c r="M108" s="728"/>
      <c r="N108" s="728">
        <v>1</v>
      </c>
      <c r="O108" s="728">
        <v>366628.15</v>
      </c>
      <c r="P108" s="741"/>
      <c r="Q108" s="729">
        <v>366628.15</v>
      </c>
    </row>
    <row r="109" spans="1:17" ht="14.4" customHeight="1" x14ac:dyDescent="0.3">
      <c r="A109" s="724" t="s">
        <v>552</v>
      </c>
      <c r="B109" s="725" t="s">
        <v>3080</v>
      </c>
      <c r="C109" s="725" t="s">
        <v>3123</v>
      </c>
      <c r="D109" s="725" t="s">
        <v>3218</v>
      </c>
      <c r="E109" s="725" t="s">
        <v>3219</v>
      </c>
      <c r="F109" s="728">
        <v>18.5</v>
      </c>
      <c r="G109" s="728">
        <v>312890.5</v>
      </c>
      <c r="H109" s="728">
        <v>4.625</v>
      </c>
      <c r="I109" s="728">
        <v>16913</v>
      </c>
      <c r="J109" s="728">
        <v>4</v>
      </c>
      <c r="K109" s="728">
        <v>67652</v>
      </c>
      <c r="L109" s="728">
        <v>1</v>
      </c>
      <c r="M109" s="728">
        <v>16913</v>
      </c>
      <c r="N109" s="728">
        <v>6</v>
      </c>
      <c r="O109" s="728">
        <v>101478</v>
      </c>
      <c r="P109" s="741">
        <v>1.5</v>
      </c>
      <c r="Q109" s="729">
        <v>16913</v>
      </c>
    </row>
    <row r="110" spans="1:17" ht="14.4" customHeight="1" x14ac:dyDescent="0.3">
      <c r="A110" s="724" t="s">
        <v>552</v>
      </c>
      <c r="B110" s="725" t="s">
        <v>3080</v>
      </c>
      <c r="C110" s="725" t="s">
        <v>3123</v>
      </c>
      <c r="D110" s="725" t="s">
        <v>3099</v>
      </c>
      <c r="E110" s="725" t="s">
        <v>3220</v>
      </c>
      <c r="F110" s="728">
        <v>0.1</v>
      </c>
      <c r="G110" s="728">
        <v>158.1</v>
      </c>
      <c r="H110" s="728"/>
      <c r="I110" s="728">
        <v>1580.9999999999998</v>
      </c>
      <c r="J110" s="728"/>
      <c r="K110" s="728"/>
      <c r="L110" s="728"/>
      <c r="M110" s="728"/>
      <c r="N110" s="728"/>
      <c r="O110" s="728"/>
      <c r="P110" s="741"/>
      <c r="Q110" s="729"/>
    </row>
    <row r="111" spans="1:17" ht="14.4" customHeight="1" x14ac:dyDescent="0.3">
      <c r="A111" s="724" t="s">
        <v>552</v>
      </c>
      <c r="B111" s="725" t="s">
        <v>3080</v>
      </c>
      <c r="C111" s="725" t="s">
        <v>3123</v>
      </c>
      <c r="D111" s="725" t="s">
        <v>3221</v>
      </c>
      <c r="E111" s="725" t="s">
        <v>3222</v>
      </c>
      <c r="F111" s="728">
        <v>4</v>
      </c>
      <c r="G111" s="728">
        <v>56660.08</v>
      </c>
      <c r="H111" s="728"/>
      <c r="I111" s="728">
        <v>14165.02</v>
      </c>
      <c r="J111" s="728"/>
      <c r="K111" s="728"/>
      <c r="L111" s="728"/>
      <c r="M111" s="728"/>
      <c r="N111" s="728"/>
      <c r="O111" s="728"/>
      <c r="P111" s="741"/>
      <c r="Q111" s="729"/>
    </row>
    <row r="112" spans="1:17" ht="14.4" customHeight="1" x14ac:dyDescent="0.3">
      <c r="A112" s="724" t="s">
        <v>552</v>
      </c>
      <c r="B112" s="725" t="s">
        <v>3080</v>
      </c>
      <c r="C112" s="725" t="s">
        <v>3123</v>
      </c>
      <c r="D112" s="725" t="s">
        <v>3223</v>
      </c>
      <c r="E112" s="725" t="s">
        <v>3222</v>
      </c>
      <c r="F112" s="728">
        <v>10</v>
      </c>
      <c r="G112" s="728">
        <v>136680</v>
      </c>
      <c r="H112" s="728">
        <v>1</v>
      </c>
      <c r="I112" s="728">
        <v>13668</v>
      </c>
      <c r="J112" s="728">
        <v>10</v>
      </c>
      <c r="K112" s="728">
        <v>136680</v>
      </c>
      <c r="L112" s="728">
        <v>1</v>
      </c>
      <c r="M112" s="728">
        <v>13668</v>
      </c>
      <c r="N112" s="728"/>
      <c r="O112" s="728"/>
      <c r="P112" s="741"/>
      <c r="Q112" s="729"/>
    </row>
    <row r="113" spans="1:17" ht="14.4" customHeight="1" x14ac:dyDescent="0.3">
      <c r="A113" s="724" t="s">
        <v>552</v>
      </c>
      <c r="B113" s="725" t="s">
        <v>3080</v>
      </c>
      <c r="C113" s="725" t="s">
        <v>3123</v>
      </c>
      <c r="D113" s="725" t="s">
        <v>3224</v>
      </c>
      <c r="E113" s="725" t="s">
        <v>3222</v>
      </c>
      <c r="F113" s="728">
        <v>10</v>
      </c>
      <c r="G113" s="728">
        <v>33526.400000000001</v>
      </c>
      <c r="H113" s="728">
        <v>1</v>
      </c>
      <c r="I113" s="728">
        <v>3352.6400000000003</v>
      </c>
      <c r="J113" s="728">
        <v>10</v>
      </c>
      <c r="K113" s="728">
        <v>33526.400000000001</v>
      </c>
      <c r="L113" s="728">
        <v>1</v>
      </c>
      <c r="M113" s="728">
        <v>3352.6400000000003</v>
      </c>
      <c r="N113" s="728"/>
      <c r="O113" s="728"/>
      <c r="P113" s="741"/>
      <c r="Q113" s="729"/>
    </row>
    <row r="114" spans="1:17" ht="14.4" customHeight="1" x14ac:dyDescent="0.3">
      <c r="A114" s="724" t="s">
        <v>552</v>
      </c>
      <c r="B114" s="725" t="s">
        <v>3080</v>
      </c>
      <c r="C114" s="725" t="s">
        <v>3123</v>
      </c>
      <c r="D114" s="725" t="s">
        <v>3225</v>
      </c>
      <c r="E114" s="725" t="s">
        <v>3222</v>
      </c>
      <c r="F114" s="728">
        <v>14</v>
      </c>
      <c r="G114" s="728">
        <v>44992.639999999999</v>
      </c>
      <c r="H114" s="728">
        <v>1.4</v>
      </c>
      <c r="I114" s="728">
        <v>3213.7599999999998</v>
      </c>
      <c r="J114" s="728">
        <v>10</v>
      </c>
      <c r="K114" s="728">
        <v>32137.600000000002</v>
      </c>
      <c r="L114" s="728">
        <v>1</v>
      </c>
      <c r="M114" s="728">
        <v>3213.76</v>
      </c>
      <c r="N114" s="728"/>
      <c r="O114" s="728"/>
      <c r="P114" s="741"/>
      <c r="Q114" s="729"/>
    </row>
    <row r="115" spans="1:17" ht="14.4" customHeight="1" x14ac:dyDescent="0.3">
      <c r="A115" s="724" t="s">
        <v>552</v>
      </c>
      <c r="B115" s="725" t="s">
        <v>3080</v>
      </c>
      <c r="C115" s="725" t="s">
        <v>3123</v>
      </c>
      <c r="D115" s="725" t="s">
        <v>3226</v>
      </c>
      <c r="E115" s="725" t="s">
        <v>3222</v>
      </c>
      <c r="F115" s="728">
        <v>5</v>
      </c>
      <c r="G115" s="728">
        <v>21426.799999999999</v>
      </c>
      <c r="H115" s="728">
        <v>1.25</v>
      </c>
      <c r="I115" s="728">
        <v>4285.3599999999997</v>
      </c>
      <c r="J115" s="728">
        <v>4</v>
      </c>
      <c r="K115" s="728">
        <v>17141.439999999999</v>
      </c>
      <c r="L115" s="728">
        <v>1</v>
      </c>
      <c r="M115" s="728">
        <v>4285.3599999999997</v>
      </c>
      <c r="N115" s="728"/>
      <c r="O115" s="728"/>
      <c r="P115" s="741"/>
      <c r="Q115" s="729"/>
    </row>
    <row r="116" spans="1:17" ht="14.4" customHeight="1" x14ac:dyDescent="0.3">
      <c r="A116" s="724" t="s">
        <v>552</v>
      </c>
      <c r="B116" s="725" t="s">
        <v>3080</v>
      </c>
      <c r="C116" s="725" t="s">
        <v>3123</v>
      </c>
      <c r="D116" s="725" t="s">
        <v>3227</v>
      </c>
      <c r="E116" s="725" t="s">
        <v>3228</v>
      </c>
      <c r="F116" s="728"/>
      <c r="G116" s="728"/>
      <c r="H116" s="728"/>
      <c r="I116" s="728"/>
      <c r="J116" s="728"/>
      <c r="K116" s="728"/>
      <c r="L116" s="728"/>
      <c r="M116" s="728"/>
      <c r="N116" s="728">
        <v>5</v>
      </c>
      <c r="O116" s="728">
        <v>2373.25</v>
      </c>
      <c r="P116" s="741"/>
      <c r="Q116" s="729">
        <v>474.65</v>
      </c>
    </row>
    <row r="117" spans="1:17" ht="14.4" customHeight="1" x14ac:dyDescent="0.3">
      <c r="A117" s="724" t="s">
        <v>552</v>
      </c>
      <c r="B117" s="725" t="s">
        <v>3080</v>
      </c>
      <c r="C117" s="725" t="s">
        <v>3123</v>
      </c>
      <c r="D117" s="725" t="s">
        <v>3229</v>
      </c>
      <c r="E117" s="725" t="s">
        <v>3230</v>
      </c>
      <c r="F117" s="728">
        <v>47</v>
      </c>
      <c r="G117" s="728">
        <v>153690</v>
      </c>
      <c r="H117" s="728"/>
      <c r="I117" s="728">
        <v>3270</v>
      </c>
      <c r="J117" s="728"/>
      <c r="K117" s="728"/>
      <c r="L117" s="728"/>
      <c r="M117" s="728"/>
      <c r="N117" s="728"/>
      <c r="O117" s="728"/>
      <c r="P117" s="741"/>
      <c r="Q117" s="729"/>
    </row>
    <row r="118" spans="1:17" ht="14.4" customHeight="1" x14ac:dyDescent="0.3">
      <c r="A118" s="724" t="s">
        <v>552</v>
      </c>
      <c r="B118" s="725" t="s">
        <v>3080</v>
      </c>
      <c r="C118" s="725" t="s">
        <v>3123</v>
      </c>
      <c r="D118" s="725" t="s">
        <v>3231</v>
      </c>
      <c r="E118" s="725" t="s">
        <v>3230</v>
      </c>
      <c r="F118" s="728">
        <v>22</v>
      </c>
      <c r="G118" s="728">
        <v>138842</v>
      </c>
      <c r="H118" s="728"/>
      <c r="I118" s="728">
        <v>6311</v>
      </c>
      <c r="J118" s="728"/>
      <c r="K118" s="728"/>
      <c r="L118" s="728"/>
      <c r="M118" s="728"/>
      <c r="N118" s="728"/>
      <c r="O118" s="728"/>
      <c r="P118" s="741"/>
      <c r="Q118" s="729"/>
    </row>
    <row r="119" spans="1:17" ht="14.4" customHeight="1" x14ac:dyDescent="0.3">
      <c r="A119" s="724" t="s">
        <v>552</v>
      </c>
      <c r="B119" s="725" t="s">
        <v>3080</v>
      </c>
      <c r="C119" s="725" t="s">
        <v>3123</v>
      </c>
      <c r="D119" s="725" t="s">
        <v>3232</v>
      </c>
      <c r="E119" s="725" t="s">
        <v>3230</v>
      </c>
      <c r="F119" s="728">
        <v>48</v>
      </c>
      <c r="G119" s="728">
        <v>485760</v>
      </c>
      <c r="H119" s="728"/>
      <c r="I119" s="728">
        <v>10120</v>
      </c>
      <c r="J119" s="728"/>
      <c r="K119" s="728"/>
      <c r="L119" s="728"/>
      <c r="M119" s="728"/>
      <c r="N119" s="728"/>
      <c r="O119" s="728"/>
      <c r="P119" s="741"/>
      <c r="Q119" s="729"/>
    </row>
    <row r="120" spans="1:17" ht="14.4" customHeight="1" x14ac:dyDescent="0.3">
      <c r="A120" s="724" t="s">
        <v>552</v>
      </c>
      <c r="B120" s="725" t="s">
        <v>3080</v>
      </c>
      <c r="C120" s="725" t="s">
        <v>3123</v>
      </c>
      <c r="D120" s="725" t="s">
        <v>3233</v>
      </c>
      <c r="E120" s="725" t="s">
        <v>3234</v>
      </c>
      <c r="F120" s="728">
        <v>9</v>
      </c>
      <c r="G120" s="728">
        <v>256149</v>
      </c>
      <c r="H120" s="728">
        <v>4.5</v>
      </c>
      <c r="I120" s="728">
        <v>28461</v>
      </c>
      <c r="J120" s="728">
        <v>2</v>
      </c>
      <c r="K120" s="728">
        <v>56922</v>
      </c>
      <c r="L120" s="728">
        <v>1</v>
      </c>
      <c r="M120" s="728">
        <v>28461</v>
      </c>
      <c r="N120" s="728"/>
      <c r="O120" s="728"/>
      <c r="P120" s="741"/>
      <c r="Q120" s="729"/>
    </row>
    <row r="121" spans="1:17" ht="14.4" customHeight="1" x14ac:dyDescent="0.3">
      <c r="A121" s="724" t="s">
        <v>552</v>
      </c>
      <c r="B121" s="725" t="s">
        <v>3080</v>
      </c>
      <c r="C121" s="725" t="s">
        <v>3123</v>
      </c>
      <c r="D121" s="725" t="s">
        <v>3235</v>
      </c>
      <c r="E121" s="725" t="s">
        <v>3236</v>
      </c>
      <c r="F121" s="728"/>
      <c r="G121" s="728"/>
      <c r="H121" s="728"/>
      <c r="I121" s="728"/>
      <c r="J121" s="728">
        <v>1</v>
      </c>
      <c r="K121" s="728">
        <v>78391</v>
      </c>
      <c r="L121" s="728">
        <v>1</v>
      </c>
      <c r="M121" s="728">
        <v>78391</v>
      </c>
      <c r="N121" s="728"/>
      <c r="O121" s="728"/>
      <c r="P121" s="741"/>
      <c r="Q121" s="729"/>
    </row>
    <row r="122" spans="1:17" ht="14.4" customHeight="1" x14ac:dyDescent="0.3">
      <c r="A122" s="724" t="s">
        <v>552</v>
      </c>
      <c r="B122" s="725" t="s">
        <v>3080</v>
      </c>
      <c r="C122" s="725" t="s">
        <v>3123</v>
      </c>
      <c r="D122" s="725" t="s">
        <v>3237</v>
      </c>
      <c r="E122" s="725" t="s">
        <v>3238</v>
      </c>
      <c r="F122" s="728">
        <v>2</v>
      </c>
      <c r="G122" s="728">
        <v>119782</v>
      </c>
      <c r="H122" s="728"/>
      <c r="I122" s="728">
        <v>59891</v>
      </c>
      <c r="J122" s="728"/>
      <c r="K122" s="728"/>
      <c r="L122" s="728"/>
      <c r="M122" s="728"/>
      <c r="N122" s="728"/>
      <c r="O122" s="728"/>
      <c r="P122" s="741"/>
      <c r="Q122" s="729"/>
    </row>
    <row r="123" spans="1:17" ht="14.4" customHeight="1" x14ac:dyDescent="0.3">
      <c r="A123" s="724" t="s">
        <v>552</v>
      </c>
      <c r="B123" s="725" t="s">
        <v>3080</v>
      </c>
      <c r="C123" s="725" t="s">
        <v>3123</v>
      </c>
      <c r="D123" s="725" t="s">
        <v>3239</v>
      </c>
      <c r="E123" s="725" t="s">
        <v>3238</v>
      </c>
      <c r="F123" s="728">
        <v>5</v>
      </c>
      <c r="G123" s="728">
        <v>21605</v>
      </c>
      <c r="H123" s="728"/>
      <c r="I123" s="728">
        <v>4321</v>
      </c>
      <c r="J123" s="728"/>
      <c r="K123" s="728"/>
      <c r="L123" s="728"/>
      <c r="M123" s="728"/>
      <c r="N123" s="728"/>
      <c r="O123" s="728"/>
      <c r="P123" s="741"/>
      <c r="Q123" s="729"/>
    </row>
    <row r="124" spans="1:17" ht="14.4" customHeight="1" x14ac:dyDescent="0.3">
      <c r="A124" s="724" t="s">
        <v>552</v>
      </c>
      <c r="B124" s="725" t="s">
        <v>3080</v>
      </c>
      <c r="C124" s="725" t="s">
        <v>3123</v>
      </c>
      <c r="D124" s="725" t="s">
        <v>3240</v>
      </c>
      <c r="E124" s="725" t="s">
        <v>3241</v>
      </c>
      <c r="F124" s="728">
        <v>2</v>
      </c>
      <c r="G124" s="728">
        <v>3235.52</v>
      </c>
      <c r="H124" s="728"/>
      <c r="I124" s="728">
        <v>1617.76</v>
      </c>
      <c r="J124" s="728"/>
      <c r="K124" s="728"/>
      <c r="L124" s="728"/>
      <c r="M124" s="728"/>
      <c r="N124" s="728"/>
      <c r="O124" s="728"/>
      <c r="P124" s="741"/>
      <c r="Q124" s="729"/>
    </row>
    <row r="125" spans="1:17" ht="14.4" customHeight="1" x14ac:dyDescent="0.3">
      <c r="A125" s="724" t="s">
        <v>552</v>
      </c>
      <c r="B125" s="725" t="s">
        <v>3080</v>
      </c>
      <c r="C125" s="725" t="s">
        <v>3123</v>
      </c>
      <c r="D125" s="725" t="s">
        <v>3242</v>
      </c>
      <c r="E125" s="725" t="s">
        <v>3243</v>
      </c>
      <c r="F125" s="728">
        <v>8</v>
      </c>
      <c r="G125" s="728">
        <v>82826.16</v>
      </c>
      <c r="H125" s="728"/>
      <c r="I125" s="728">
        <v>10353.27</v>
      </c>
      <c r="J125" s="728"/>
      <c r="K125" s="728"/>
      <c r="L125" s="728"/>
      <c r="M125" s="728"/>
      <c r="N125" s="728"/>
      <c r="O125" s="728"/>
      <c r="P125" s="741"/>
      <c r="Q125" s="729"/>
    </row>
    <row r="126" spans="1:17" ht="14.4" customHeight="1" x14ac:dyDescent="0.3">
      <c r="A126" s="724" t="s">
        <v>552</v>
      </c>
      <c r="B126" s="725" t="s">
        <v>3080</v>
      </c>
      <c r="C126" s="725" t="s">
        <v>3123</v>
      </c>
      <c r="D126" s="725" t="s">
        <v>3244</v>
      </c>
      <c r="E126" s="725" t="s">
        <v>3245</v>
      </c>
      <c r="F126" s="728">
        <v>2</v>
      </c>
      <c r="G126" s="728">
        <v>119367.64</v>
      </c>
      <c r="H126" s="728">
        <v>2</v>
      </c>
      <c r="I126" s="728">
        <v>59683.82</v>
      </c>
      <c r="J126" s="728">
        <v>1</v>
      </c>
      <c r="K126" s="728">
        <v>59683.82</v>
      </c>
      <c r="L126" s="728">
        <v>1</v>
      </c>
      <c r="M126" s="728">
        <v>59683.82</v>
      </c>
      <c r="N126" s="728">
        <v>2</v>
      </c>
      <c r="O126" s="728">
        <v>119367.64</v>
      </c>
      <c r="P126" s="741">
        <v>2</v>
      </c>
      <c r="Q126" s="729">
        <v>59683.82</v>
      </c>
    </row>
    <row r="127" spans="1:17" ht="14.4" customHeight="1" x14ac:dyDescent="0.3">
      <c r="A127" s="724" t="s">
        <v>552</v>
      </c>
      <c r="B127" s="725" t="s">
        <v>3080</v>
      </c>
      <c r="C127" s="725" t="s">
        <v>3123</v>
      </c>
      <c r="D127" s="725" t="s">
        <v>3246</v>
      </c>
      <c r="E127" s="725" t="s">
        <v>3247</v>
      </c>
      <c r="F127" s="728"/>
      <c r="G127" s="728"/>
      <c r="H127" s="728"/>
      <c r="I127" s="728"/>
      <c r="J127" s="728">
        <v>2</v>
      </c>
      <c r="K127" s="728">
        <v>723602.64</v>
      </c>
      <c r="L127" s="728">
        <v>1</v>
      </c>
      <c r="M127" s="728">
        <v>361801.32</v>
      </c>
      <c r="N127" s="728"/>
      <c r="O127" s="728"/>
      <c r="P127" s="741"/>
      <c r="Q127" s="729"/>
    </row>
    <row r="128" spans="1:17" ht="14.4" customHeight="1" x14ac:dyDescent="0.3">
      <c r="A128" s="724" t="s">
        <v>552</v>
      </c>
      <c r="B128" s="725" t="s">
        <v>3080</v>
      </c>
      <c r="C128" s="725" t="s">
        <v>3123</v>
      </c>
      <c r="D128" s="725" t="s">
        <v>3248</v>
      </c>
      <c r="E128" s="725" t="s">
        <v>3249</v>
      </c>
      <c r="F128" s="728">
        <v>21</v>
      </c>
      <c r="G128" s="728">
        <v>698418</v>
      </c>
      <c r="H128" s="728">
        <v>21</v>
      </c>
      <c r="I128" s="728">
        <v>33258</v>
      </c>
      <c r="J128" s="728">
        <v>1</v>
      </c>
      <c r="K128" s="728">
        <v>33258</v>
      </c>
      <c r="L128" s="728">
        <v>1</v>
      </c>
      <c r="M128" s="728">
        <v>33258</v>
      </c>
      <c r="N128" s="728"/>
      <c r="O128" s="728"/>
      <c r="P128" s="741"/>
      <c r="Q128" s="729"/>
    </row>
    <row r="129" spans="1:17" ht="14.4" customHeight="1" x14ac:dyDescent="0.3">
      <c r="A129" s="724" t="s">
        <v>552</v>
      </c>
      <c r="B129" s="725" t="s">
        <v>3080</v>
      </c>
      <c r="C129" s="725" t="s">
        <v>3123</v>
      </c>
      <c r="D129" s="725" t="s">
        <v>3250</v>
      </c>
      <c r="E129" s="725" t="s">
        <v>3251</v>
      </c>
      <c r="F129" s="728">
        <v>3</v>
      </c>
      <c r="G129" s="728">
        <v>207750</v>
      </c>
      <c r="H129" s="728"/>
      <c r="I129" s="728">
        <v>69250</v>
      </c>
      <c r="J129" s="728"/>
      <c r="K129" s="728"/>
      <c r="L129" s="728"/>
      <c r="M129" s="728"/>
      <c r="N129" s="728"/>
      <c r="O129" s="728"/>
      <c r="P129" s="741"/>
      <c r="Q129" s="729"/>
    </row>
    <row r="130" spans="1:17" ht="14.4" customHeight="1" x14ac:dyDescent="0.3">
      <c r="A130" s="724" t="s">
        <v>552</v>
      </c>
      <c r="B130" s="725" t="s">
        <v>3080</v>
      </c>
      <c r="C130" s="725" t="s">
        <v>3123</v>
      </c>
      <c r="D130" s="725" t="s">
        <v>3252</v>
      </c>
      <c r="E130" s="725" t="s">
        <v>3253</v>
      </c>
      <c r="F130" s="728"/>
      <c r="G130" s="728"/>
      <c r="H130" s="728"/>
      <c r="I130" s="728"/>
      <c r="J130" s="728">
        <v>2</v>
      </c>
      <c r="K130" s="728">
        <v>55955.76</v>
      </c>
      <c r="L130" s="728">
        <v>1</v>
      </c>
      <c r="M130" s="728">
        <v>27977.88</v>
      </c>
      <c r="N130" s="728"/>
      <c r="O130" s="728"/>
      <c r="P130" s="741"/>
      <c r="Q130" s="729"/>
    </row>
    <row r="131" spans="1:17" ht="14.4" customHeight="1" x14ac:dyDescent="0.3">
      <c r="A131" s="724" t="s">
        <v>552</v>
      </c>
      <c r="B131" s="725" t="s">
        <v>3080</v>
      </c>
      <c r="C131" s="725" t="s">
        <v>3123</v>
      </c>
      <c r="D131" s="725" t="s">
        <v>3254</v>
      </c>
      <c r="E131" s="725" t="s">
        <v>3255</v>
      </c>
      <c r="F131" s="728"/>
      <c r="G131" s="728"/>
      <c r="H131" s="728"/>
      <c r="I131" s="728"/>
      <c r="J131" s="728"/>
      <c r="K131" s="728"/>
      <c r="L131" s="728"/>
      <c r="M131" s="728"/>
      <c r="N131" s="728">
        <v>2</v>
      </c>
      <c r="O131" s="728">
        <v>107372</v>
      </c>
      <c r="P131" s="741"/>
      <c r="Q131" s="729">
        <v>53686</v>
      </c>
    </row>
    <row r="132" spans="1:17" ht="14.4" customHeight="1" x14ac:dyDescent="0.3">
      <c r="A132" s="724" t="s">
        <v>552</v>
      </c>
      <c r="B132" s="725" t="s">
        <v>3080</v>
      </c>
      <c r="C132" s="725" t="s">
        <v>3123</v>
      </c>
      <c r="D132" s="725" t="s">
        <v>3256</v>
      </c>
      <c r="E132" s="725" t="s">
        <v>3257</v>
      </c>
      <c r="F132" s="728">
        <v>1</v>
      </c>
      <c r="G132" s="728">
        <v>3480</v>
      </c>
      <c r="H132" s="728"/>
      <c r="I132" s="728">
        <v>3480</v>
      </c>
      <c r="J132" s="728"/>
      <c r="K132" s="728"/>
      <c r="L132" s="728"/>
      <c r="M132" s="728"/>
      <c r="N132" s="728"/>
      <c r="O132" s="728"/>
      <c r="P132" s="741"/>
      <c r="Q132" s="729"/>
    </row>
    <row r="133" spans="1:17" ht="14.4" customHeight="1" x14ac:dyDescent="0.3">
      <c r="A133" s="724" t="s">
        <v>552</v>
      </c>
      <c r="B133" s="725" t="s">
        <v>3080</v>
      </c>
      <c r="C133" s="725" t="s">
        <v>3123</v>
      </c>
      <c r="D133" s="725" t="s">
        <v>3258</v>
      </c>
      <c r="E133" s="725" t="s">
        <v>3171</v>
      </c>
      <c r="F133" s="728">
        <v>1</v>
      </c>
      <c r="G133" s="728">
        <v>4227.33</v>
      </c>
      <c r="H133" s="728">
        <v>1</v>
      </c>
      <c r="I133" s="728">
        <v>4227.33</v>
      </c>
      <c r="J133" s="728">
        <v>1</v>
      </c>
      <c r="K133" s="728">
        <v>4227.33</v>
      </c>
      <c r="L133" s="728">
        <v>1</v>
      </c>
      <c r="M133" s="728">
        <v>4227.33</v>
      </c>
      <c r="N133" s="728">
        <v>3</v>
      </c>
      <c r="O133" s="728">
        <v>12681.99</v>
      </c>
      <c r="P133" s="741">
        <v>3</v>
      </c>
      <c r="Q133" s="729">
        <v>4227.33</v>
      </c>
    </row>
    <row r="134" spans="1:17" ht="14.4" customHeight="1" x14ac:dyDescent="0.3">
      <c r="A134" s="724" t="s">
        <v>552</v>
      </c>
      <c r="B134" s="725" t="s">
        <v>3080</v>
      </c>
      <c r="C134" s="725" t="s">
        <v>3123</v>
      </c>
      <c r="D134" s="725" t="s">
        <v>3259</v>
      </c>
      <c r="E134" s="725" t="s">
        <v>3260</v>
      </c>
      <c r="F134" s="728">
        <v>1</v>
      </c>
      <c r="G134" s="728">
        <v>27378</v>
      </c>
      <c r="H134" s="728"/>
      <c r="I134" s="728">
        <v>27378</v>
      </c>
      <c r="J134" s="728"/>
      <c r="K134" s="728"/>
      <c r="L134" s="728"/>
      <c r="M134" s="728"/>
      <c r="N134" s="728"/>
      <c r="O134" s="728"/>
      <c r="P134" s="741"/>
      <c r="Q134" s="729"/>
    </row>
    <row r="135" spans="1:17" ht="14.4" customHeight="1" x14ac:dyDescent="0.3">
      <c r="A135" s="724" t="s">
        <v>552</v>
      </c>
      <c r="B135" s="725" t="s">
        <v>3080</v>
      </c>
      <c r="C135" s="725" t="s">
        <v>3123</v>
      </c>
      <c r="D135" s="725" t="s">
        <v>3261</v>
      </c>
      <c r="E135" s="725" t="s">
        <v>3262</v>
      </c>
      <c r="F135" s="728">
        <v>1</v>
      </c>
      <c r="G135" s="728">
        <v>4385.37</v>
      </c>
      <c r="H135" s="728"/>
      <c r="I135" s="728">
        <v>4385.37</v>
      </c>
      <c r="J135" s="728"/>
      <c r="K135" s="728"/>
      <c r="L135" s="728"/>
      <c r="M135" s="728"/>
      <c r="N135" s="728"/>
      <c r="O135" s="728"/>
      <c r="P135" s="741"/>
      <c r="Q135" s="729"/>
    </row>
    <row r="136" spans="1:17" ht="14.4" customHeight="1" x14ac:dyDescent="0.3">
      <c r="A136" s="724" t="s">
        <v>552</v>
      </c>
      <c r="B136" s="725" t="s">
        <v>3080</v>
      </c>
      <c r="C136" s="725" t="s">
        <v>3123</v>
      </c>
      <c r="D136" s="725" t="s">
        <v>3263</v>
      </c>
      <c r="E136" s="725" t="s">
        <v>3158</v>
      </c>
      <c r="F136" s="728">
        <v>1</v>
      </c>
      <c r="G136" s="728">
        <v>4577.62</v>
      </c>
      <c r="H136" s="728"/>
      <c r="I136" s="728">
        <v>4577.62</v>
      </c>
      <c r="J136" s="728"/>
      <c r="K136" s="728"/>
      <c r="L136" s="728"/>
      <c r="M136" s="728"/>
      <c r="N136" s="728"/>
      <c r="O136" s="728"/>
      <c r="P136" s="741"/>
      <c r="Q136" s="729"/>
    </row>
    <row r="137" spans="1:17" ht="14.4" customHeight="1" x14ac:dyDescent="0.3">
      <c r="A137" s="724" t="s">
        <v>552</v>
      </c>
      <c r="B137" s="725" t="s">
        <v>3080</v>
      </c>
      <c r="C137" s="725" t="s">
        <v>3123</v>
      </c>
      <c r="D137" s="725" t="s">
        <v>3264</v>
      </c>
      <c r="E137" s="725" t="s">
        <v>3265</v>
      </c>
      <c r="F137" s="728"/>
      <c r="G137" s="728"/>
      <c r="H137" s="728"/>
      <c r="I137" s="728"/>
      <c r="J137" s="728"/>
      <c r="K137" s="728"/>
      <c r="L137" s="728"/>
      <c r="M137" s="728"/>
      <c r="N137" s="728">
        <v>1</v>
      </c>
      <c r="O137" s="728">
        <v>14750.56</v>
      </c>
      <c r="P137" s="741"/>
      <c r="Q137" s="729">
        <v>14750.56</v>
      </c>
    </row>
    <row r="138" spans="1:17" ht="14.4" customHeight="1" x14ac:dyDescent="0.3">
      <c r="A138" s="724" t="s">
        <v>552</v>
      </c>
      <c r="B138" s="725" t="s">
        <v>3080</v>
      </c>
      <c r="C138" s="725" t="s">
        <v>3123</v>
      </c>
      <c r="D138" s="725" t="s">
        <v>3266</v>
      </c>
      <c r="E138" s="725" t="s">
        <v>3267</v>
      </c>
      <c r="F138" s="728"/>
      <c r="G138" s="728"/>
      <c r="H138" s="728"/>
      <c r="I138" s="728"/>
      <c r="J138" s="728">
        <v>1</v>
      </c>
      <c r="K138" s="728">
        <v>4385.37</v>
      </c>
      <c r="L138" s="728">
        <v>1</v>
      </c>
      <c r="M138" s="728">
        <v>4385.37</v>
      </c>
      <c r="N138" s="728"/>
      <c r="O138" s="728"/>
      <c r="P138" s="741"/>
      <c r="Q138" s="729"/>
    </row>
    <row r="139" spans="1:17" ht="14.4" customHeight="1" x14ac:dyDescent="0.3">
      <c r="A139" s="724" t="s">
        <v>552</v>
      </c>
      <c r="B139" s="725" t="s">
        <v>3080</v>
      </c>
      <c r="C139" s="725" t="s">
        <v>3123</v>
      </c>
      <c r="D139" s="725" t="s">
        <v>3268</v>
      </c>
      <c r="E139" s="725" t="s">
        <v>3269</v>
      </c>
      <c r="F139" s="728">
        <v>1</v>
      </c>
      <c r="G139" s="728">
        <v>5255.92</v>
      </c>
      <c r="H139" s="728"/>
      <c r="I139" s="728">
        <v>5255.92</v>
      </c>
      <c r="J139" s="728"/>
      <c r="K139" s="728"/>
      <c r="L139" s="728"/>
      <c r="M139" s="728"/>
      <c r="N139" s="728"/>
      <c r="O139" s="728"/>
      <c r="P139" s="741"/>
      <c r="Q139" s="729"/>
    </row>
    <row r="140" spans="1:17" ht="14.4" customHeight="1" x14ac:dyDescent="0.3">
      <c r="A140" s="724" t="s">
        <v>552</v>
      </c>
      <c r="B140" s="725" t="s">
        <v>3080</v>
      </c>
      <c r="C140" s="725" t="s">
        <v>3123</v>
      </c>
      <c r="D140" s="725" t="s">
        <v>3270</v>
      </c>
      <c r="E140" s="725" t="s">
        <v>3271</v>
      </c>
      <c r="F140" s="728">
        <v>1</v>
      </c>
      <c r="G140" s="728">
        <v>15262.84</v>
      </c>
      <c r="H140" s="728"/>
      <c r="I140" s="728">
        <v>15262.84</v>
      </c>
      <c r="J140" s="728"/>
      <c r="K140" s="728"/>
      <c r="L140" s="728"/>
      <c r="M140" s="728"/>
      <c r="N140" s="728"/>
      <c r="O140" s="728"/>
      <c r="P140" s="741"/>
      <c r="Q140" s="729"/>
    </row>
    <row r="141" spans="1:17" ht="14.4" customHeight="1" x14ac:dyDescent="0.3">
      <c r="A141" s="724" t="s">
        <v>552</v>
      </c>
      <c r="B141" s="725" t="s">
        <v>3080</v>
      </c>
      <c r="C141" s="725" t="s">
        <v>3123</v>
      </c>
      <c r="D141" s="725" t="s">
        <v>3272</v>
      </c>
      <c r="E141" s="725" t="s">
        <v>3273</v>
      </c>
      <c r="F141" s="728">
        <v>10</v>
      </c>
      <c r="G141" s="728">
        <v>95921.7</v>
      </c>
      <c r="H141" s="728">
        <v>2.5</v>
      </c>
      <c r="I141" s="728">
        <v>9592.17</v>
      </c>
      <c r="J141" s="728">
        <v>4</v>
      </c>
      <c r="K141" s="728">
        <v>38368.68</v>
      </c>
      <c r="L141" s="728">
        <v>1</v>
      </c>
      <c r="M141" s="728">
        <v>9592.17</v>
      </c>
      <c r="N141" s="728">
        <v>5</v>
      </c>
      <c r="O141" s="728">
        <v>47960.85</v>
      </c>
      <c r="P141" s="741">
        <v>1.25</v>
      </c>
      <c r="Q141" s="729">
        <v>9592.17</v>
      </c>
    </row>
    <row r="142" spans="1:17" ht="14.4" customHeight="1" x14ac:dyDescent="0.3">
      <c r="A142" s="724" t="s">
        <v>552</v>
      </c>
      <c r="B142" s="725" t="s">
        <v>3080</v>
      </c>
      <c r="C142" s="725" t="s">
        <v>3123</v>
      </c>
      <c r="D142" s="725" t="s">
        <v>3274</v>
      </c>
      <c r="E142" s="725" t="s">
        <v>3275</v>
      </c>
      <c r="F142" s="728">
        <v>4</v>
      </c>
      <c r="G142" s="728">
        <v>243939.28</v>
      </c>
      <c r="H142" s="728">
        <v>2</v>
      </c>
      <c r="I142" s="728">
        <v>60984.82</v>
      </c>
      <c r="J142" s="728">
        <v>2</v>
      </c>
      <c r="K142" s="728">
        <v>121969.64</v>
      </c>
      <c r="L142" s="728">
        <v>1</v>
      </c>
      <c r="M142" s="728">
        <v>60984.82</v>
      </c>
      <c r="N142" s="728"/>
      <c r="O142" s="728"/>
      <c r="P142" s="741"/>
      <c r="Q142" s="729"/>
    </row>
    <row r="143" spans="1:17" ht="14.4" customHeight="1" x14ac:dyDescent="0.3">
      <c r="A143" s="724" t="s">
        <v>552</v>
      </c>
      <c r="B143" s="725" t="s">
        <v>3080</v>
      </c>
      <c r="C143" s="725" t="s">
        <v>3123</v>
      </c>
      <c r="D143" s="725" t="s">
        <v>3276</v>
      </c>
      <c r="E143" s="725" t="s">
        <v>3277</v>
      </c>
      <c r="F143" s="728">
        <v>2</v>
      </c>
      <c r="G143" s="728">
        <v>40304.18</v>
      </c>
      <c r="H143" s="728"/>
      <c r="I143" s="728">
        <v>20152.09</v>
      </c>
      <c r="J143" s="728"/>
      <c r="K143" s="728"/>
      <c r="L143" s="728"/>
      <c r="M143" s="728"/>
      <c r="N143" s="728"/>
      <c r="O143" s="728"/>
      <c r="P143" s="741"/>
      <c r="Q143" s="729"/>
    </row>
    <row r="144" spans="1:17" ht="14.4" customHeight="1" x14ac:dyDescent="0.3">
      <c r="A144" s="724" t="s">
        <v>552</v>
      </c>
      <c r="B144" s="725" t="s">
        <v>3080</v>
      </c>
      <c r="C144" s="725" t="s">
        <v>3123</v>
      </c>
      <c r="D144" s="725" t="s">
        <v>3278</v>
      </c>
      <c r="E144" s="725" t="s">
        <v>3279</v>
      </c>
      <c r="F144" s="728"/>
      <c r="G144" s="728"/>
      <c r="H144" s="728"/>
      <c r="I144" s="728"/>
      <c r="J144" s="728">
        <v>3</v>
      </c>
      <c r="K144" s="728">
        <v>55954.62</v>
      </c>
      <c r="L144" s="728">
        <v>1</v>
      </c>
      <c r="M144" s="728">
        <v>18651.54</v>
      </c>
      <c r="N144" s="728"/>
      <c r="O144" s="728"/>
      <c r="P144" s="741"/>
      <c r="Q144" s="729"/>
    </row>
    <row r="145" spans="1:17" ht="14.4" customHeight="1" x14ac:dyDescent="0.3">
      <c r="A145" s="724" t="s">
        <v>552</v>
      </c>
      <c r="B145" s="725" t="s">
        <v>3080</v>
      </c>
      <c r="C145" s="725" t="s">
        <v>3123</v>
      </c>
      <c r="D145" s="725" t="s">
        <v>3280</v>
      </c>
      <c r="E145" s="725" t="s">
        <v>3281</v>
      </c>
      <c r="F145" s="728"/>
      <c r="G145" s="728"/>
      <c r="H145" s="728"/>
      <c r="I145" s="728"/>
      <c r="J145" s="728">
        <v>1</v>
      </c>
      <c r="K145" s="728">
        <v>32437</v>
      </c>
      <c r="L145" s="728">
        <v>1</v>
      </c>
      <c r="M145" s="728">
        <v>32437</v>
      </c>
      <c r="N145" s="728">
        <v>1</v>
      </c>
      <c r="O145" s="728">
        <v>32437</v>
      </c>
      <c r="P145" s="741">
        <v>1</v>
      </c>
      <c r="Q145" s="729">
        <v>32437</v>
      </c>
    </row>
    <row r="146" spans="1:17" ht="14.4" customHeight="1" x14ac:dyDescent="0.3">
      <c r="A146" s="724" t="s">
        <v>552</v>
      </c>
      <c r="B146" s="725" t="s">
        <v>3080</v>
      </c>
      <c r="C146" s="725" t="s">
        <v>3123</v>
      </c>
      <c r="D146" s="725" t="s">
        <v>3282</v>
      </c>
      <c r="E146" s="725" t="s">
        <v>3283</v>
      </c>
      <c r="F146" s="728"/>
      <c r="G146" s="728"/>
      <c r="H146" s="728"/>
      <c r="I146" s="728"/>
      <c r="J146" s="728">
        <v>109</v>
      </c>
      <c r="K146" s="728">
        <v>964650</v>
      </c>
      <c r="L146" s="728">
        <v>1</v>
      </c>
      <c r="M146" s="728">
        <v>8850</v>
      </c>
      <c r="N146" s="728">
        <v>82</v>
      </c>
      <c r="O146" s="728">
        <v>725700</v>
      </c>
      <c r="P146" s="741">
        <v>0.75229357798165142</v>
      </c>
      <c r="Q146" s="729">
        <v>8850</v>
      </c>
    </row>
    <row r="147" spans="1:17" ht="14.4" customHeight="1" x14ac:dyDescent="0.3">
      <c r="A147" s="724" t="s">
        <v>552</v>
      </c>
      <c r="B147" s="725" t="s">
        <v>3080</v>
      </c>
      <c r="C147" s="725" t="s">
        <v>3123</v>
      </c>
      <c r="D147" s="725" t="s">
        <v>3284</v>
      </c>
      <c r="E147" s="725" t="s">
        <v>3283</v>
      </c>
      <c r="F147" s="728"/>
      <c r="G147" s="728"/>
      <c r="H147" s="728"/>
      <c r="I147" s="728"/>
      <c r="J147" s="728">
        <v>40</v>
      </c>
      <c r="K147" s="728">
        <v>181240</v>
      </c>
      <c r="L147" s="728">
        <v>1</v>
      </c>
      <c r="M147" s="728">
        <v>4531</v>
      </c>
      <c r="N147" s="728">
        <v>12</v>
      </c>
      <c r="O147" s="728">
        <v>54372</v>
      </c>
      <c r="P147" s="741">
        <v>0.3</v>
      </c>
      <c r="Q147" s="729">
        <v>4531</v>
      </c>
    </row>
    <row r="148" spans="1:17" ht="14.4" customHeight="1" x14ac:dyDescent="0.3">
      <c r="A148" s="724" t="s">
        <v>552</v>
      </c>
      <c r="B148" s="725" t="s">
        <v>3080</v>
      </c>
      <c r="C148" s="725" t="s">
        <v>3123</v>
      </c>
      <c r="D148" s="725" t="s">
        <v>3285</v>
      </c>
      <c r="E148" s="725" t="s">
        <v>3286</v>
      </c>
      <c r="F148" s="728"/>
      <c r="G148" s="728"/>
      <c r="H148" s="728"/>
      <c r="I148" s="728"/>
      <c r="J148" s="728">
        <v>20</v>
      </c>
      <c r="K148" s="728">
        <v>365700</v>
      </c>
      <c r="L148" s="728">
        <v>1</v>
      </c>
      <c r="M148" s="728">
        <v>18285</v>
      </c>
      <c r="N148" s="728">
        <v>66</v>
      </c>
      <c r="O148" s="728">
        <v>1206810</v>
      </c>
      <c r="P148" s="741">
        <v>3.3</v>
      </c>
      <c r="Q148" s="729">
        <v>18285</v>
      </c>
    </row>
    <row r="149" spans="1:17" ht="14.4" customHeight="1" x14ac:dyDescent="0.3">
      <c r="A149" s="724" t="s">
        <v>552</v>
      </c>
      <c r="B149" s="725" t="s">
        <v>3080</v>
      </c>
      <c r="C149" s="725" t="s">
        <v>3123</v>
      </c>
      <c r="D149" s="725" t="s">
        <v>3287</v>
      </c>
      <c r="E149" s="725" t="s">
        <v>3283</v>
      </c>
      <c r="F149" s="728"/>
      <c r="G149" s="728"/>
      <c r="H149" s="728"/>
      <c r="I149" s="728"/>
      <c r="J149" s="728">
        <v>106</v>
      </c>
      <c r="K149" s="728">
        <v>211576</v>
      </c>
      <c r="L149" s="728">
        <v>1</v>
      </c>
      <c r="M149" s="728">
        <v>1996</v>
      </c>
      <c r="N149" s="728">
        <v>79</v>
      </c>
      <c r="O149" s="728">
        <v>157684</v>
      </c>
      <c r="P149" s="741">
        <v>0.74528301886792447</v>
      </c>
      <c r="Q149" s="729">
        <v>1996</v>
      </c>
    </row>
    <row r="150" spans="1:17" ht="14.4" customHeight="1" x14ac:dyDescent="0.3">
      <c r="A150" s="724" t="s">
        <v>552</v>
      </c>
      <c r="B150" s="725" t="s">
        <v>3080</v>
      </c>
      <c r="C150" s="725" t="s">
        <v>3123</v>
      </c>
      <c r="D150" s="725" t="s">
        <v>3288</v>
      </c>
      <c r="E150" s="725" t="s">
        <v>3289</v>
      </c>
      <c r="F150" s="728"/>
      <c r="G150" s="728"/>
      <c r="H150" s="728"/>
      <c r="I150" s="728"/>
      <c r="J150" s="728">
        <v>24</v>
      </c>
      <c r="K150" s="728">
        <v>61560</v>
      </c>
      <c r="L150" s="728">
        <v>1</v>
      </c>
      <c r="M150" s="728">
        <v>2565</v>
      </c>
      <c r="N150" s="728">
        <v>4</v>
      </c>
      <c r="O150" s="728">
        <v>10260</v>
      </c>
      <c r="P150" s="741">
        <v>0.16666666666666666</v>
      </c>
      <c r="Q150" s="729">
        <v>2565</v>
      </c>
    </row>
    <row r="151" spans="1:17" ht="14.4" customHeight="1" x14ac:dyDescent="0.3">
      <c r="A151" s="724" t="s">
        <v>552</v>
      </c>
      <c r="B151" s="725" t="s">
        <v>3080</v>
      </c>
      <c r="C151" s="725" t="s">
        <v>3123</v>
      </c>
      <c r="D151" s="725" t="s">
        <v>3290</v>
      </c>
      <c r="E151" s="725" t="s">
        <v>3289</v>
      </c>
      <c r="F151" s="728"/>
      <c r="G151" s="728"/>
      <c r="H151" s="728"/>
      <c r="I151" s="728"/>
      <c r="J151" s="728">
        <v>24</v>
      </c>
      <c r="K151" s="728">
        <v>278760</v>
      </c>
      <c r="L151" s="728">
        <v>1</v>
      </c>
      <c r="M151" s="728">
        <v>11615</v>
      </c>
      <c r="N151" s="728">
        <v>13</v>
      </c>
      <c r="O151" s="728">
        <v>150995</v>
      </c>
      <c r="P151" s="741">
        <v>0.54166666666666663</v>
      </c>
      <c r="Q151" s="729">
        <v>11615</v>
      </c>
    </row>
    <row r="152" spans="1:17" ht="14.4" customHeight="1" x14ac:dyDescent="0.3">
      <c r="A152" s="724" t="s">
        <v>552</v>
      </c>
      <c r="B152" s="725" t="s">
        <v>3080</v>
      </c>
      <c r="C152" s="725" t="s">
        <v>3123</v>
      </c>
      <c r="D152" s="725" t="s">
        <v>3291</v>
      </c>
      <c r="E152" s="725" t="s">
        <v>3289</v>
      </c>
      <c r="F152" s="728"/>
      <c r="G152" s="728"/>
      <c r="H152" s="728"/>
      <c r="I152" s="728"/>
      <c r="J152" s="728">
        <v>24</v>
      </c>
      <c r="K152" s="728">
        <v>59892</v>
      </c>
      <c r="L152" s="728">
        <v>1</v>
      </c>
      <c r="M152" s="728">
        <v>2495.5</v>
      </c>
      <c r="N152" s="728">
        <v>34</v>
      </c>
      <c r="O152" s="728">
        <v>84847</v>
      </c>
      <c r="P152" s="741">
        <v>1.4166666666666667</v>
      </c>
      <c r="Q152" s="729">
        <v>2495.5</v>
      </c>
    </row>
    <row r="153" spans="1:17" ht="14.4" customHeight="1" x14ac:dyDescent="0.3">
      <c r="A153" s="724" t="s">
        <v>552</v>
      </c>
      <c r="B153" s="725" t="s">
        <v>3080</v>
      </c>
      <c r="C153" s="725" t="s">
        <v>3123</v>
      </c>
      <c r="D153" s="725" t="s">
        <v>3292</v>
      </c>
      <c r="E153" s="725" t="s">
        <v>3293</v>
      </c>
      <c r="F153" s="728"/>
      <c r="G153" s="728"/>
      <c r="H153" s="728"/>
      <c r="I153" s="728"/>
      <c r="J153" s="728">
        <v>12</v>
      </c>
      <c r="K153" s="728">
        <v>254544</v>
      </c>
      <c r="L153" s="728">
        <v>1</v>
      </c>
      <c r="M153" s="728">
        <v>21212</v>
      </c>
      <c r="N153" s="728">
        <v>4</v>
      </c>
      <c r="O153" s="728">
        <v>84848</v>
      </c>
      <c r="P153" s="741">
        <v>0.33333333333333331</v>
      </c>
      <c r="Q153" s="729">
        <v>21212</v>
      </c>
    </row>
    <row r="154" spans="1:17" ht="14.4" customHeight="1" x14ac:dyDescent="0.3">
      <c r="A154" s="724" t="s">
        <v>552</v>
      </c>
      <c r="B154" s="725" t="s">
        <v>3080</v>
      </c>
      <c r="C154" s="725" t="s">
        <v>3123</v>
      </c>
      <c r="D154" s="725" t="s">
        <v>3294</v>
      </c>
      <c r="E154" s="725" t="s">
        <v>3200</v>
      </c>
      <c r="F154" s="728"/>
      <c r="G154" s="728"/>
      <c r="H154" s="728"/>
      <c r="I154" s="728"/>
      <c r="J154" s="728">
        <v>1</v>
      </c>
      <c r="K154" s="728">
        <v>3122.56</v>
      </c>
      <c r="L154" s="728">
        <v>1</v>
      </c>
      <c r="M154" s="728">
        <v>3122.56</v>
      </c>
      <c r="N154" s="728">
        <v>1</v>
      </c>
      <c r="O154" s="728">
        <v>3122.56</v>
      </c>
      <c r="P154" s="741">
        <v>1</v>
      </c>
      <c r="Q154" s="729">
        <v>3122.56</v>
      </c>
    </row>
    <row r="155" spans="1:17" ht="14.4" customHeight="1" x14ac:dyDescent="0.3">
      <c r="A155" s="724" t="s">
        <v>552</v>
      </c>
      <c r="B155" s="725" t="s">
        <v>3080</v>
      </c>
      <c r="C155" s="725" t="s">
        <v>3123</v>
      </c>
      <c r="D155" s="725" t="s">
        <v>3295</v>
      </c>
      <c r="E155" s="725" t="s">
        <v>3296</v>
      </c>
      <c r="F155" s="728"/>
      <c r="G155" s="728"/>
      <c r="H155" s="728"/>
      <c r="I155" s="728"/>
      <c r="J155" s="728">
        <v>3</v>
      </c>
      <c r="K155" s="728">
        <v>119970</v>
      </c>
      <c r="L155" s="728">
        <v>1</v>
      </c>
      <c r="M155" s="728">
        <v>39990</v>
      </c>
      <c r="N155" s="728"/>
      <c r="O155" s="728"/>
      <c r="P155" s="741"/>
      <c r="Q155" s="729"/>
    </row>
    <row r="156" spans="1:17" ht="14.4" customHeight="1" x14ac:dyDescent="0.3">
      <c r="A156" s="724" t="s">
        <v>552</v>
      </c>
      <c r="B156" s="725" t="s">
        <v>3080</v>
      </c>
      <c r="C156" s="725" t="s">
        <v>3123</v>
      </c>
      <c r="D156" s="725" t="s">
        <v>3297</v>
      </c>
      <c r="E156" s="725" t="s">
        <v>3298</v>
      </c>
      <c r="F156" s="728"/>
      <c r="G156" s="728"/>
      <c r="H156" s="728"/>
      <c r="I156" s="728"/>
      <c r="J156" s="728"/>
      <c r="K156" s="728"/>
      <c r="L156" s="728"/>
      <c r="M156" s="728"/>
      <c r="N156" s="728">
        <v>1</v>
      </c>
      <c r="O156" s="728">
        <v>64567.3</v>
      </c>
      <c r="P156" s="741"/>
      <c r="Q156" s="729">
        <v>64567.3</v>
      </c>
    </row>
    <row r="157" spans="1:17" ht="14.4" customHeight="1" x14ac:dyDescent="0.3">
      <c r="A157" s="724" t="s">
        <v>552</v>
      </c>
      <c r="B157" s="725" t="s">
        <v>3080</v>
      </c>
      <c r="C157" s="725" t="s">
        <v>3123</v>
      </c>
      <c r="D157" s="725" t="s">
        <v>3299</v>
      </c>
      <c r="E157" s="725" t="s">
        <v>3300</v>
      </c>
      <c r="F157" s="728"/>
      <c r="G157" s="728"/>
      <c r="H157" s="728"/>
      <c r="I157" s="728"/>
      <c r="J157" s="728"/>
      <c r="K157" s="728"/>
      <c r="L157" s="728"/>
      <c r="M157" s="728"/>
      <c r="N157" s="728">
        <v>9</v>
      </c>
      <c r="O157" s="728">
        <v>35086.5</v>
      </c>
      <c r="P157" s="741"/>
      <c r="Q157" s="729">
        <v>3898.5</v>
      </c>
    </row>
    <row r="158" spans="1:17" ht="14.4" customHeight="1" x14ac:dyDescent="0.3">
      <c r="A158" s="724" t="s">
        <v>552</v>
      </c>
      <c r="B158" s="725" t="s">
        <v>3080</v>
      </c>
      <c r="C158" s="725" t="s">
        <v>3123</v>
      </c>
      <c r="D158" s="725" t="s">
        <v>3301</v>
      </c>
      <c r="E158" s="725" t="s">
        <v>3302</v>
      </c>
      <c r="F158" s="728"/>
      <c r="G158" s="728"/>
      <c r="H158" s="728"/>
      <c r="I158" s="728"/>
      <c r="J158" s="728"/>
      <c r="K158" s="728"/>
      <c r="L158" s="728"/>
      <c r="M158" s="728"/>
      <c r="N158" s="728">
        <v>26</v>
      </c>
      <c r="O158" s="728">
        <v>60554</v>
      </c>
      <c r="P158" s="741"/>
      <c r="Q158" s="729">
        <v>2329</v>
      </c>
    </row>
    <row r="159" spans="1:17" ht="14.4" customHeight="1" x14ac:dyDescent="0.3">
      <c r="A159" s="724" t="s">
        <v>552</v>
      </c>
      <c r="B159" s="725" t="s">
        <v>3080</v>
      </c>
      <c r="C159" s="725" t="s">
        <v>3123</v>
      </c>
      <c r="D159" s="725" t="s">
        <v>3303</v>
      </c>
      <c r="E159" s="725" t="s">
        <v>3302</v>
      </c>
      <c r="F159" s="728"/>
      <c r="G159" s="728"/>
      <c r="H159" s="728"/>
      <c r="I159" s="728"/>
      <c r="J159" s="728"/>
      <c r="K159" s="728"/>
      <c r="L159" s="728"/>
      <c r="M159" s="728"/>
      <c r="N159" s="728">
        <v>10</v>
      </c>
      <c r="O159" s="728">
        <v>93510</v>
      </c>
      <c r="P159" s="741"/>
      <c r="Q159" s="729">
        <v>9351</v>
      </c>
    </row>
    <row r="160" spans="1:17" ht="14.4" customHeight="1" x14ac:dyDescent="0.3">
      <c r="A160" s="724" t="s">
        <v>552</v>
      </c>
      <c r="B160" s="725" t="s">
        <v>3080</v>
      </c>
      <c r="C160" s="725" t="s">
        <v>3123</v>
      </c>
      <c r="D160" s="725" t="s">
        <v>3304</v>
      </c>
      <c r="E160" s="725" t="s">
        <v>3283</v>
      </c>
      <c r="F160" s="728"/>
      <c r="G160" s="728"/>
      <c r="H160" s="728"/>
      <c r="I160" s="728"/>
      <c r="J160" s="728"/>
      <c r="K160" s="728"/>
      <c r="L160" s="728"/>
      <c r="M160" s="728"/>
      <c r="N160" s="728">
        <v>1</v>
      </c>
      <c r="O160" s="728">
        <v>9918</v>
      </c>
      <c r="P160" s="741"/>
      <c r="Q160" s="729">
        <v>9918</v>
      </c>
    </row>
    <row r="161" spans="1:17" ht="14.4" customHeight="1" x14ac:dyDescent="0.3">
      <c r="A161" s="724" t="s">
        <v>552</v>
      </c>
      <c r="B161" s="725" t="s">
        <v>3080</v>
      </c>
      <c r="C161" s="725" t="s">
        <v>3123</v>
      </c>
      <c r="D161" s="725" t="s">
        <v>3305</v>
      </c>
      <c r="E161" s="725" t="s">
        <v>3306</v>
      </c>
      <c r="F161" s="728"/>
      <c r="G161" s="728"/>
      <c r="H161" s="728"/>
      <c r="I161" s="728"/>
      <c r="J161" s="728"/>
      <c r="K161" s="728"/>
      <c r="L161" s="728"/>
      <c r="M161" s="728"/>
      <c r="N161" s="728">
        <v>9</v>
      </c>
      <c r="O161" s="728">
        <v>23180.670000000002</v>
      </c>
      <c r="P161" s="741"/>
      <c r="Q161" s="729">
        <v>2575.63</v>
      </c>
    </row>
    <row r="162" spans="1:17" ht="14.4" customHeight="1" x14ac:dyDescent="0.3">
      <c r="A162" s="724" t="s">
        <v>552</v>
      </c>
      <c r="B162" s="725" t="s">
        <v>3080</v>
      </c>
      <c r="C162" s="725" t="s">
        <v>3123</v>
      </c>
      <c r="D162" s="725" t="s">
        <v>3307</v>
      </c>
      <c r="E162" s="725" t="s">
        <v>3289</v>
      </c>
      <c r="F162" s="728"/>
      <c r="G162" s="728"/>
      <c r="H162" s="728"/>
      <c r="I162" s="728"/>
      <c r="J162" s="728"/>
      <c r="K162" s="728"/>
      <c r="L162" s="728"/>
      <c r="M162" s="728"/>
      <c r="N162" s="728">
        <v>1</v>
      </c>
      <c r="O162" s="728">
        <v>11255</v>
      </c>
      <c r="P162" s="741"/>
      <c r="Q162" s="729">
        <v>11255</v>
      </c>
    </row>
    <row r="163" spans="1:17" ht="14.4" customHeight="1" x14ac:dyDescent="0.3">
      <c r="A163" s="724" t="s">
        <v>552</v>
      </c>
      <c r="B163" s="725" t="s">
        <v>3080</v>
      </c>
      <c r="C163" s="725" t="s">
        <v>3123</v>
      </c>
      <c r="D163" s="725" t="s">
        <v>3308</v>
      </c>
      <c r="E163" s="725" t="s">
        <v>3309</v>
      </c>
      <c r="F163" s="728"/>
      <c r="G163" s="728"/>
      <c r="H163" s="728"/>
      <c r="I163" s="728"/>
      <c r="J163" s="728"/>
      <c r="K163" s="728"/>
      <c r="L163" s="728"/>
      <c r="M163" s="728"/>
      <c r="N163" s="728">
        <v>8</v>
      </c>
      <c r="O163" s="728">
        <v>96320</v>
      </c>
      <c r="P163" s="741"/>
      <c r="Q163" s="729">
        <v>12040</v>
      </c>
    </row>
    <row r="164" spans="1:17" ht="14.4" customHeight="1" x14ac:dyDescent="0.3">
      <c r="A164" s="724" t="s">
        <v>552</v>
      </c>
      <c r="B164" s="725" t="s">
        <v>3080</v>
      </c>
      <c r="C164" s="725" t="s">
        <v>3123</v>
      </c>
      <c r="D164" s="725" t="s">
        <v>3310</v>
      </c>
      <c r="E164" s="725" t="s">
        <v>3311</v>
      </c>
      <c r="F164" s="728"/>
      <c r="G164" s="728"/>
      <c r="H164" s="728"/>
      <c r="I164" s="728"/>
      <c r="J164" s="728"/>
      <c r="K164" s="728"/>
      <c r="L164" s="728"/>
      <c r="M164" s="728"/>
      <c r="N164" s="728">
        <v>19</v>
      </c>
      <c r="O164" s="728">
        <v>229551.16</v>
      </c>
      <c r="P164" s="741"/>
      <c r="Q164" s="729">
        <v>12081.64</v>
      </c>
    </row>
    <row r="165" spans="1:17" ht="14.4" customHeight="1" x14ac:dyDescent="0.3">
      <c r="A165" s="724" t="s">
        <v>552</v>
      </c>
      <c r="B165" s="725" t="s">
        <v>3080</v>
      </c>
      <c r="C165" s="725" t="s">
        <v>3123</v>
      </c>
      <c r="D165" s="725" t="s">
        <v>3312</v>
      </c>
      <c r="E165" s="725" t="s">
        <v>3313</v>
      </c>
      <c r="F165" s="728"/>
      <c r="G165" s="728"/>
      <c r="H165" s="728"/>
      <c r="I165" s="728"/>
      <c r="J165" s="728"/>
      <c r="K165" s="728"/>
      <c r="L165" s="728"/>
      <c r="M165" s="728"/>
      <c r="N165" s="728">
        <v>4</v>
      </c>
      <c r="O165" s="728">
        <v>75424</v>
      </c>
      <c r="P165" s="741"/>
      <c r="Q165" s="729">
        <v>18856</v>
      </c>
    </row>
    <row r="166" spans="1:17" ht="14.4" customHeight="1" x14ac:dyDescent="0.3">
      <c r="A166" s="724" t="s">
        <v>552</v>
      </c>
      <c r="B166" s="725" t="s">
        <v>3080</v>
      </c>
      <c r="C166" s="725" t="s">
        <v>3123</v>
      </c>
      <c r="D166" s="725" t="s">
        <v>3314</v>
      </c>
      <c r="E166" s="725" t="s">
        <v>3309</v>
      </c>
      <c r="F166" s="728"/>
      <c r="G166" s="728"/>
      <c r="H166" s="728"/>
      <c r="I166" s="728"/>
      <c r="J166" s="728"/>
      <c r="K166" s="728"/>
      <c r="L166" s="728"/>
      <c r="M166" s="728"/>
      <c r="N166" s="728">
        <v>2</v>
      </c>
      <c r="O166" s="728">
        <v>17294</v>
      </c>
      <c r="P166" s="741"/>
      <c r="Q166" s="729">
        <v>8647</v>
      </c>
    </row>
    <row r="167" spans="1:17" ht="14.4" customHeight="1" x14ac:dyDescent="0.3">
      <c r="A167" s="724" t="s">
        <v>552</v>
      </c>
      <c r="B167" s="725" t="s">
        <v>3080</v>
      </c>
      <c r="C167" s="725" t="s">
        <v>3123</v>
      </c>
      <c r="D167" s="725" t="s">
        <v>3315</v>
      </c>
      <c r="E167" s="725" t="s">
        <v>3316</v>
      </c>
      <c r="F167" s="728">
        <v>1</v>
      </c>
      <c r="G167" s="728">
        <v>499134.49</v>
      </c>
      <c r="H167" s="728"/>
      <c r="I167" s="728">
        <v>499134.49</v>
      </c>
      <c r="J167" s="728"/>
      <c r="K167" s="728"/>
      <c r="L167" s="728"/>
      <c r="M167" s="728"/>
      <c r="N167" s="728"/>
      <c r="O167" s="728"/>
      <c r="P167" s="741"/>
      <c r="Q167" s="729"/>
    </row>
    <row r="168" spans="1:17" ht="14.4" customHeight="1" x14ac:dyDescent="0.3">
      <c r="A168" s="724" t="s">
        <v>552</v>
      </c>
      <c r="B168" s="725" t="s">
        <v>3080</v>
      </c>
      <c r="C168" s="725" t="s">
        <v>3123</v>
      </c>
      <c r="D168" s="725" t="s">
        <v>3317</v>
      </c>
      <c r="E168" s="725" t="s">
        <v>3318</v>
      </c>
      <c r="F168" s="728"/>
      <c r="G168" s="728"/>
      <c r="H168" s="728"/>
      <c r="I168" s="728"/>
      <c r="J168" s="728"/>
      <c r="K168" s="728"/>
      <c r="L168" s="728"/>
      <c r="M168" s="728"/>
      <c r="N168" s="728">
        <v>1</v>
      </c>
      <c r="O168" s="728">
        <v>7199.62</v>
      </c>
      <c r="P168" s="741"/>
      <c r="Q168" s="729">
        <v>7199.62</v>
      </c>
    </row>
    <row r="169" spans="1:17" ht="14.4" customHeight="1" x14ac:dyDescent="0.3">
      <c r="A169" s="724" t="s">
        <v>552</v>
      </c>
      <c r="B169" s="725" t="s">
        <v>3080</v>
      </c>
      <c r="C169" s="725" t="s">
        <v>3123</v>
      </c>
      <c r="D169" s="725" t="s">
        <v>3319</v>
      </c>
      <c r="E169" s="725" t="s">
        <v>3309</v>
      </c>
      <c r="F169" s="728"/>
      <c r="G169" s="728"/>
      <c r="H169" s="728"/>
      <c r="I169" s="728"/>
      <c r="J169" s="728"/>
      <c r="K169" s="728"/>
      <c r="L169" s="728"/>
      <c r="M169" s="728"/>
      <c r="N169" s="728">
        <v>8</v>
      </c>
      <c r="O169" s="728">
        <v>16288</v>
      </c>
      <c r="P169" s="741"/>
      <c r="Q169" s="729">
        <v>2036</v>
      </c>
    </row>
    <row r="170" spans="1:17" ht="14.4" customHeight="1" x14ac:dyDescent="0.3">
      <c r="A170" s="724" t="s">
        <v>552</v>
      </c>
      <c r="B170" s="725" t="s">
        <v>3080</v>
      </c>
      <c r="C170" s="725" t="s">
        <v>3123</v>
      </c>
      <c r="D170" s="725" t="s">
        <v>3320</v>
      </c>
      <c r="E170" s="725" t="s">
        <v>3321</v>
      </c>
      <c r="F170" s="728"/>
      <c r="G170" s="728"/>
      <c r="H170" s="728"/>
      <c r="I170" s="728"/>
      <c r="J170" s="728"/>
      <c r="K170" s="728"/>
      <c r="L170" s="728"/>
      <c r="M170" s="728"/>
      <c r="N170" s="728">
        <v>4</v>
      </c>
      <c r="O170" s="728">
        <v>30980.48</v>
      </c>
      <c r="P170" s="741"/>
      <c r="Q170" s="729">
        <v>7745.12</v>
      </c>
    </row>
    <row r="171" spans="1:17" ht="14.4" customHeight="1" x14ac:dyDescent="0.3">
      <c r="A171" s="724" t="s">
        <v>552</v>
      </c>
      <c r="B171" s="725" t="s">
        <v>3080</v>
      </c>
      <c r="C171" s="725" t="s">
        <v>3123</v>
      </c>
      <c r="D171" s="725" t="s">
        <v>3322</v>
      </c>
      <c r="E171" s="725" t="s">
        <v>3302</v>
      </c>
      <c r="F171" s="728"/>
      <c r="G171" s="728"/>
      <c r="H171" s="728"/>
      <c r="I171" s="728"/>
      <c r="J171" s="728"/>
      <c r="K171" s="728"/>
      <c r="L171" s="728"/>
      <c r="M171" s="728"/>
      <c r="N171" s="728">
        <v>2</v>
      </c>
      <c r="O171" s="728">
        <v>11040</v>
      </c>
      <c r="P171" s="741"/>
      <c r="Q171" s="729">
        <v>5520</v>
      </c>
    </row>
    <row r="172" spans="1:17" ht="14.4" customHeight="1" x14ac:dyDescent="0.3">
      <c r="A172" s="724" t="s">
        <v>552</v>
      </c>
      <c r="B172" s="725" t="s">
        <v>3080</v>
      </c>
      <c r="C172" s="725" t="s">
        <v>3123</v>
      </c>
      <c r="D172" s="725" t="s">
        <v>3323</v>
      </c>
      <c r="E172" s="725" t="s">
        <v>3302</v>
      </c>
      <c r="F172" s="728"/>
      <c r="G172" s="728"/>
      <c r="H172" s="728"/>
      <c r="I172" s="728"/>
      <c r="J172" s="728"/>
      <c r="K172" s="728"/>
      <c r="L172" s="728"/>
      <c r="M172" s="728"/>
      <c r="N172" s="728">
        <v>1</v>
      </c>
      <c r="O172" s="728">
        <v>1920.5</v>
      </c>
      <c r="P172" s="741"/>
      <c r="Q172" s="729">
        <v>1920.5</v>
      </c>
    </row>
    <row r="173" spans="1:17" ht="14.4" customHeight="1" x14ac:dyDescent="0.3">
      <c r="A173" s="724" t="s">
        <v>552</v>
      </c>
      <c r="B173" s="725" t="s">
        <v>3080</v>
      </c>
      <c r="C173" s="725" t="s">
        <v>2989</v>
      </c>
      <c r="D173" s="725" t="s">
        <v>3324</v>
      </c>
      <c r="E173" s="725" t="s">
        <v>3325</v>
      </c>
      <c r="F173" s="728">
        <v>6</v>
      </c>
      <c r="G173" s="728">
        <v>1704</v>
      </c>
      <c r="H173" s="728">
        <v>0.5233415233415234</v>
      </c>
      <c r="I173" s="728">
        <v>284</v>
      </c>
      <c r="J173" s="728">
        <v>11</v>
      </c>
      <c r="K173" s="728">
        <v>3256</v>
      </c>
      <c r="L173" s="728">
        <v>1</v>
      </c>
      <c r="M173" s="728">
        <v>296</v>
      </c>
      <c r="N173" s="728">
        <v>13</v>
      </c>
      <c r="O173" s="728">
        <v>3859</v>
      </c>
      <c r="P173" s="741">
        <v>1.1851965601965602</v>
      </c>
      <c r="Q173" s="729">
        <v>296.84615384615387</v>
      </c>
    </row>
    <row r="174" spans="1:17" ht="14.4" customHeight="1" x14ac:dyDescent="0.3">
      <c r="A174" s="724" t="s">
        <v>552</v>
      </c>
      <c r="B174" s="725" t="s">
        <v>3080</v>
      </c>
      <c r="C174" s="725" t="s">
        <v>2989</v>
      </c>
      <c r="D174" s="725" t="s">
        <v>3326</v>
      </c>
      <c r="E174" s="725" t="s">
        <v>3327</v>
      </c>
      <c r="F174" s="728"/>
      <c r="G174" s="728"/>
      <c r="H174" s="728"/>
      <c r="I174" s="728"/>
      <c r="J174" s="728"/>
      <c r="K174" s="728"/>
      <c r="L174" s="728"/>
      <c r="M174" s="728"/>
      <c r="N174" s="728">
        <v>1</v>
      </c>
      <c r="O174" s="728">
        <v>8689</v>
      </c>
      <c r="P174" s="741"/>
      <c r="Q174" s="729">
        <v>8689</v>
      </c>
    </row>
    <row r="175" spans="1:17" ht="14.4" customHeight="1" x14ac:dyDescent="0.3">
      <c r="A175" s="724" t="s">
        <v>552</v>
      </c>
      <c r="B175" s="725" t="s">
        <v>3080</v>
      </c>
      <c r="C175" s="725" t="s">
        <v>2989</v>
      </c>
      <c r="D175" s="725" t="s">
        <v>3328</v>
      </c>
      <c r="E175" s="725" t="s">
        <v>3329</v>
      </c>
      <c r="F175" s="728">
        <v>17</v>
      </c>
      <c r="G175" s="728">
        <v>93194</v>
      </c>
      <c r="H175" s="728">
        <v>0.77856307435254801</v>
      </c>
      <c r="I175" s="728">
        <v>5482</v>
      </c>
      <c r="J175" s="728">
        <v>21</v>
      </c>
      <c r="K175" s="728">
        <v>119700</v>
      </c>
      <c r="L175" s="728">
        <v>1</v>
      </c>
      <c r="M175" s="728">
        <v>5700</v>
      </c>
      <c r="N175" s="728">
        <v>7</v>
      </c>
      <c r="O175" s="728">
        <v>39930</v>
      </c>
      <c r="P175" s="741">
        <v>0.33358395989974937</v>
      </c>
      <c r="Q175" s="729">
        <v>5704.2857142857147</v>
      </c>
    </row>
    <row r="176" spans="1:17" ht="14.4" customHeight="1" x14ac:dyDescent="0.3">
      <c r="A176" s="724" t="s">
        <v>552</v>
      </c>
      <c r="B176" s="725" t="s">
        <v>3080</v>
      </c>
      <c r="C176" s="725" t="s">
        <v>2989</v>
      </c>
      <c r="D176" s="725" t="s">
        <v>3330</v>
      </c>
      <c r="E176" s="725" t="s">
        <v>3331</v>
      </c>
      <c r="F176" s="728">
        <v>3</v>
      </c>
      <c r="G176" s="728">
        <v>34473</v>
      </c>
      <c r="H176" s="728">
        <v>2.919708647412552</v>
      </c>
      <c r="I176" s="728">
        <v>11491</v>
      </c>
      <c r="J176" s="728">
        <v>1</v>
      </c>
      <c r="K176" s="728">
        <v>11807</v>
      </c>
      <c r="L176" s="728">
        <v>1</v>
      </c>
      <c r="M176" s="728">
        <v>11807</v>
      </c>
      <c r="N176" s="728">
        <v>1</v>
      </c>
      <c r="O176" s="728">
        <v>11815</v>
      </c>
      <c r="P176" s="741">
        <v>1.0006775641568562</v>
      </c>
      <c r="Q176" s="729">
        <v>11815</v>
      </c>
    </row>
    <row r="177" spans="1:17" ht="14.4" customHeight="1" x14ac:dyDescent="0.3">
      <c r="A177" s="724" t="s">
        <v>552</v>
      </c>
      <c r="B177" s="725" t="s">
        <v>3080</v>
      </c>
      <c r="C177" s="725" t="s">
        <v>2989</v>
      </c>
      <c r="D177" s="725" t="s">
        <v>3332</v>
      </c>
      <c r="E177" s="725" t="s">
        <v>3333</v>
      </c>
      <c r="F177" s="728">
        <v>22</v>
      </c>
      <c r="G177" s="728">
        <v>49236</v>
      </c>
      <c r="H177" s="728">
        <v>0.67773372976544433</v>
      </c>
      <c r="I177" s="728">
        <v>2238</v>
      </c>
      <c r="J177" s="728">
        <v>31</v>
      </c>
      <c r="K177" s="728">
        <v>72648</v>
      </c>
      <c r="L177" s="728">
        <v>1</v>
      </c>
      <c r="M177" s="728">
        <v>2343.483870967742</v>
      </c>
      <c r="N177" s="728">
        <v>15</v>
      </c>
      <c r="O177" s="728">
        <v>35219</v>
      </c>
      <c r="P177" s="741">
        <v>0.48478967074110779</v>
      </c>
      <c r="Q177" s="729">
        <v>2347.9333333333334</v>
      </c>
    </row>
    <row r="178" spans="1:17" ht="14.4" customHeight="1" x14ac:dyDescent="0.3">
      <c r="A178" s="724" t="s">
        <v>552</v>
      </c>
      <c r="B178" s="725" t="s">
        <v>3080</v>
      </c>
      <c r="C178" s="725" t="s">
        <v>2989</v>
      </c>
      <c r="D178" s="725" t="s">
        <v>3334</v>
      </c>
      <c r="E178" s="725" t="s">
        <v>3335</v>
      </c>
      <c r="F178" s="728">
        <v>3</v>
      </c>
      <c r="G178" s="728">
        <v>15069</v>
      </c>
      <c r="H178" s="728">
        <v>0.57559205500381971</v>
      </c>
      <c r="I178" s="728">
        <v>5023</v>
      </c>
      <c r="J178" s="728">
        <v>5</v>
      </c>
      <c r="K178" s="728">
        <v>26180</v>
      </c>
      <c r="L178" s="728">
        <v>1</v>
      </c>
      <c r="M178" s="728">
        <v>5236</v>
      </c>
      <c r="N178" s="728">
        <v>8</v>
      </c>
      <c r="O178" s="728">
        <v>41904</v>
      </c>
      <c r="P178" s="741">
        <v>1.60061115355233</v>
      </c>
      <c r="Q178" s="729">
        <v>5238</v>
      </c>
    </row>
    <row r="179" spans="1:17" ht="14.4" customHeight="1" x14ac:dyDescent="0.3">
      <c r="A179" s="724" t="s">
        <v>552</v>
      </c>
      <c r="B179" s="725" t="s">
        <v>3080</v>
      </c>
      <c r="C179" s="725" t="s">
        <v>2989</v>
      </c>
      <c r="D179" s="725" t="s">
        <v>3336</v>
      </c>
      <c r="E179" s="725" t="s">
        <v>3337</v>
      </c>
      <c r="F179" s="728">
        <v>2</v>
      </c>
      <c r="G179" s="728">
        <v>37872</v>
      </c>
      <c r="H179" s="728">
        <v>1.9402633331625596</v>
      </c>
      <c r="I179" s="728">
        <v>18936</v>
      </c>
      <c r="J179" s="728">
        <v>1</v>
      </c>
      <c r="K179" s="728">
        <v>19519</v>
      </c>
      <c r="L179" s="728">
        <v>1</v>
      </c>
      <c r="M179" s="728">
        <v>19519</v>
      </c>
      <c r="N179" s="728">
        <v>2</v>
      </c>
      <c r="O179" s="728">
        <v>39066</v>
      </c>
      <c r="P179" s="741">
        <v>2.0014344997182234</v>
      </c>
      <c r="Q179" s="729">
        <v>19533</v>
      </c>
    </row>
    <row r="180" spans="1:17" ht="14.4" customHeight="1" x14ac:dyDescent="0.3">
      <c r="A180" s="724" t="s">
        <v>552</v>
      </c>
      <c r="B180" s="725" t="s">
        <v>3080</v>
      </c>
      <c r="C180" s="725" t="s">
        <v>2989</v>
      </c>
      <c r="D180" s="725" t="s">
        <v>3338</v>
      </c>
      <c r="E180" s="725" t="s">
        <v>3339</v>
      </c>
      <c r="F180" s="728"/>
      <c r="G180" s="728"/>
      <c r="H180" s="728"/>
      <c r="I180" s="728"/>
      <c r="J180" s="728">
        <v>1</v>
      </c>
      <c r="K180" s="728">
        <v>13023</v>
      </c>
      <c r="L180" s="728">
        <v>1</v>
      </c>
      <c r="M180" s="728">
        <v>13023</v>
      </c>
      <c r="N180" s="728"/>
      <c r="O180" s="728"/>
      <c r="P180" s="741"/>
      <c r="Q180" s="729"/>
    </row>
    <row r="181" spans="1:17" ht="14.4" customHeight="1" x14ac:dyDescent="0.3">
      <c r="A181" s="724" t="s">
        <v>552</v>
      </c>
      <c r="B181" s="725" t="s">
        <v>3080</v>
      </c>
      <c r="C181" s="725" t="s">
        <v>2989</v>
      </c>
      <c r="D181" s="725" t="s">
        <v>3340</v>
      </c>
      <c r="E181" s="725" t="s">
        <v>3341</v>
      </c>
      <c r="F181" s="728">
        <v>4</v>
      </c>
      <c r="G181" s="728">
        <v>15820</v>
      </c>
      <c r="H181" s="728">
        <v>3.8575957083638137</v>
      </c>
      <c r="I181" s="728">
        <v>3955</v>
      </c>
      <c r="J181" s="728">
        <v>1</v>
      </c>
      <c r="K181" s="728">
        <v>4101</v>
      </c>
      <c r="L181" s="728">
        <v>1</v>
      </c>
      <c r="M181" s="728">
        <v>4101</v>
      </c>
      <c r="N181" s="728">
        <v>1</v>
      </c>
      <c r="O181" s="728">
        <v>4105</v>
      </c>
      <c r="P181" s="741">
        <v>1.0009753718605219</v>
      </c>
      <c r="Q181" s="729">
        <v>4105</v>
      </c>
    </row>
    <row r="182" spans="1:17" ht="14.4" customHeight="1" x14ac:dyDescent="0.3">
      <c r="A182" s="724" t="s">
        <v>552</v>
      </c>
      <c r="B182" s="725" t="s">
        <v>3080</v>
      </c>
      <c r="C182" s="725" t="s">
        <v>2989</v>
      </c>
      <c r="D182" s="725" t="s">
        <v>3342</v>
      </c>
      <c r="E182" s="725" t="s">
        <v>3343</v>
      </c>
      <c r="F182" s="728"/>
      <c r="G182" s="728"/>
      <c r="H182" s="728"/>
      <c r="I182" s="728"/>
      <c r="J182" s="728">
        <v>1</v>
      </c>
      <c r="K182" s="728">
        <v>14875</v>
      </c>
      <c r="L182" s="728">
        <v>1</v>
      </c>
      <c r="M182" s="728">
        <v>14875</v>
      </c>
      <c r="N182" s="728">
        <v>1</v>
      </c>
      <c r="O182" s="728">
        <v>14888</v>
      </c>
      <c r="P182" s="741">
        <v>1.000873949579832</v>
      </c>
      <c r="Q182" s="729">
        <v>14888</v>
      </c>
    </row>
    <row r="183" spans="1:17" ht="14.4" customHeight="1" x14ac:dyDescent="0.3">
      <c r="A183" s="724" t="s">
        <v>552</v>
      </c>
      <c r="B183" s="725" t="s">
        <v>3080</v>
      </c>
      <c r="C183" s="725" t="s">
        <v>2989</v>
      </c>
      <c r="D183" s="725" t="s">
        <v>3344</v>
      </c>
      <c r="E183" s="725" t="s">
        <v>3345</v>
      </c>
      <c r="F183" s="728">
        <v>16</v>
      </c>
      <c r="G183" s="728">
        <v>39568</v>
      </c>
      <c r="H183" s="728">
        <v>1.1083473389355742</v>
      </c>
      <c r="I183" s="728">
        <v>2473</v>
      </c>
      <c r="J183" s="728">
        <v>14</v>
      </c>
      <c r="K183" s="728">
        <v>35700</v>
      </c>
      <c r="L183" s="728">
        <v>1</v>
      </c>
      <c r="M183" s="728">
        <v>2550</v>
      </c>
      <c r="N183" s="728">
        <v>14</v>
      </c>
      <c r="O183" s="728">
        <v>35756</v>
      </c>
      <c r="P183" s="741">
        <v>1.0015686274509803</v>
      </c>
      <c r="Q183" s="729">
        <v>2554</v>
      </c>
    </row>
    <row r="184" spans="1:17" ht="14.4" customHeight="1" x14ac:dyDescent="0.3">
      <c r="A184" s="724" t="s">
        <v>552</v>
      </c>
      <c r="B184" s="725" t="s">
        <v>3080</v>
      </c>
      <c r="C184" s="725" t="s">
        <v>2989</v>
      </c>
      <c r="D184" s="725" t="s">
        <v>3346</v>
      </c>
      <c r="E184" s="725" t="s">
        <v>3347</v>
      </c>
      <c r="F184" s="728">
        <v>2</v>
      </c>
      <c r="G184" s="728">
        <v>11492</v>
      </c>
      <c r="H184" s="728">
        <v>1.9191716766867069</v>
      </c>
      <c r="I184" s="728">
        <v>5746</v>
      </c>
      <c r="J184" s="728">
        <v>1</v>
      </c>
      <c r="K184" s="728">
        <v>5988</v>
      </c>
      <c r="L184" s="728">
        <v>1</v>
      </c>
      <c r="M184" s="728">
        <v>5988</v>
      </c>
      <c r="N184" s="728"/>
      <c r="O184" s="728"/>
      <c r="P184" s="741"/>
      <c r="Q184" s="729"/>
    </row>
    <row r="185" spans="1:17" ht="14.4" customHeight="1" x14ac:dyDescent="0.3">
      <c r="A185" s="724" t="s">
        <v>552</v>
      </c>
      <c r="B185" s="725" t="s">
        <v>3080</v>
      </c>
      <c r="C185" s="725" t="s">
        <v>2989</v>
      </c>
      <c r="D185" s="725" t="s">
        <v>3348</v>
      </c>
      <c r="E185" s="725" t="s">
        <v>3349</v>
      </c>
      <c r="F185" s="728">
        <v>817</v>
      </c>
      <c r="G185" s="728">
        <v>142152</v>
      </c>
      <c r="H185" s="728">
        <v>0.89188375244692064</v>
      </c>
      <c r="I185" s="728">
        <v>173.99265605875152</v>
      </c>
      <c r="J185" s="728">
        <v>916</v>
      </c>
      <c r="K185" s="728">
        <v>159384</v>
      </c>
      <c r="L185" s="728">
        <v>1</v>
      </c>
      <c r="M185" s="728">
        <v>174</v>
      </c>
      <c r="N185" s="728">
        <v>1125</v>
      </c>
      <c r="O185" s="728">
        <v>195750</v>
      </c>
      <c r="P185" s="741">
        <v>1.2281659388646289</v>
      </c>
      <c r="Q185" s="729">
        <v>174</v>
      </c>
    </row>
    <row r="186" spans="1:17" ht="14.4" customHeight="1" x14ac:dyDescent="0.3">
      <c r="A186" s="724" t="s">
        <v>552</v>
      </c>
      <c r="B186" s="725" t="s">
        <v>3080</v>
      </c>
      <c r="C186" s="725" t="s">
        <v>2989</v>
      </c>
      <c r="D186" s="725" t="s">
        <v>3350</v>
      </c>
      <c r="E186" s="725" t="s">
        <v>3351</v>
      </c>
      <c r="F186" s="728"/>
      <c r="G186" s="728"/>
      <c r="H186" s="728"/>
      <c r="I186" s="728"/>
      <c r="J186" s="728">
        <v>3</v>
      </c>
      <c r="K186" s="728">
        <v>4494</v>
      </c>
      <c r="L186" s="728">
        <v>1</v>
      </c>
      <c r="M186" s="728">
        <v>1498</v>
      </c>
      <c r="N186" s="728">
        <v>5</v>
      </c>
      <c r="O186" s="728">
        <v>7495</v>
      </c>
      <c r="P186" s="741">
        <v>1.6677792612372051</v>
      </c>
      <c r="Q186" s="729">
        <v>1499</v>
      </c>
    </row>
    <row r="187" spans="1:17" ht="14.4" customHeight="1" x14ac:dyDescent="0.3">
      <c r="A187" s="724" t="s">
        <v>552</v>
      </c>
      <c r="B187" s="725" t="s">
        <v>3080</v>
      </c>
      <c r="C187" s="725" t="s">
        <v>2989</v>
      </c>
      <c r="D187" s="725" t="s">
        <v>3352</v>
      </c>
      <c r="E187" s="725" t="s">
        <v>3353</v>
      </c>
      <c r="F187" s="728">
        <v>14</v>
      </c>
      <c r="G187" s="728">
        <v>74410</v>
      </c>
      <c r="H187" s="728">
        <v>0.69921724504082916</v>
      </c>
      <c r="I187" s="728">
        <v>5315</v>
      </c>
      <c r="J187" s="728">
        <v>19</v>
      </c>
      <c r="K187" s="728">
        <v>106419</v>
      </c>
      <c r="L187" s="728">
        <v>1</v>
      </c>
      <c r="M187" s="728">
        <v>5601</v>
      </c>
      <c r="N187" s="728">
        <v>7</v>
      </c>
      <c r="O187" s="728">
        <v>39237</v>
      </c>
      <c r="P187" s="741">
        <v>0.36870295717869928</v>
      </c>
      <c r="Q187" s="729">
        <v>5605.2857142857147</v>
      </c>
    </row>
    <row r="188" spans="1:17" ht="14.4" customHeight="1" x14ac:dyDescent="0.3">
      <c r="A188" s="724" t="s">
        <v>552</v>
      </c>
      <c r="B188" s="725" t="s">
        <v>3080</v>
      </c>
      <c r="C188" s="725" t="s">
        <v>2989</v>
      </c>
      <c r="D188" s="725" t="s">
        <v>3354</v>
      </c>
      <c r="E188" s="725" t="s">
        <v>3355</v>
      </c>
      <c r="F188" s="728">
        <v>391</v>
      </c>
      <c r="G188" s="728">
        <v>1418903</v>
      </c>
      <c r="H188" s="728">
        <v>1.4160906439810537</v>
      </c>
      <c r="I188" s="728">
        <v>3628.9079283887468</v>
      </c>
      <c r="J188" s="728">
        <v>263</v>
      </c>
      <c r="K188" s="728">
        <v>1001986</v>
      </c>
      <c r="L188" s="728">
        <v>1</v>
      </c>
      <c r="M188" s="728">
        <v>3809.832699619772</v>
      </c>
      <c r="N188" s="728">
        <v>348</v>
      </c>
      <c r="O188" s="728">
        <v>1330728</v>
      </c>
      <c r="P188" s="741">
        <v>1.3280904124408923</v>
      </c>
      <c r="Q188" s="729">
        <v>3823.9310344827586</v>
      </c>
    </row>
    <row r="189" spans="1:17" ht="14.4" customHeight="1" x14ac:dyDescent="0.3">
      <c r="A189" s="724" t="s">
        <v>552</v>
      </c>
      <c r="B189" s="725" t="s">
        <v>3080</v>
      </c>
      <c r="C189" s="725" t="s">
        <v>2989</v>
      </c>
      <c r="D189" s="725" t="s">
        <v>3356</v>
      </c>
      <c r="E189" s="725" t="s">
        <v>3357</v>
      </c>
      <c r="F189" s="728">
        <v>159</v>
      </c>
      <c r="G189" s="728">
        <v>240408</v>
      </c>
      <c r="H189" s="728">
        <v>1.0653360748723766</v>
      </c>
      <c r="I189" s="728">
        <v>1512</v>
      </c>
      <c r="J189" s="728">
        <v>142</v>
      </c>
      <c r="K189" s="728">
        <v>225664</v>
      </c>
      <c r="L189" s="728">
        <v>1</v>
      </c>
      <c r="M189" s="728">
        <v>1589.1830985915492</v>
      </c>
      <c r="N189" s="728">
        <v>157</v>
      </c>
      <c r="O189" s="728">
        <v>250258</v>
      </c>
      <c r="P189" s="741">
        <v>1.1089850397050482</v>
      </c>
      <c r="Q189" s="729">
        <v>1594</v>
      </c>
    </row>
    <row r="190" spans="1:17" ht="14.4" customHeight="1" x14ac:dyDescent="0.3">
      <c r="A190" s="724" t="s">
        <v>552</v>
      </c>
      <c r="B190" s="725" t="s">
        <v>3080</v>
      </c>
      <c r="C190" s="725" t="s">
        <v>2989</v>
      </c>
      <c r="D190" s="725" t="s">
        <v>3358</v>
      </c>
      <c r="E190" s="725" t="s">
        <v>3359</v>
      </c>
      <c r="F190" s="728">
        <v>73</v>
      </c>
      <c r="G190" s="728">
        <v>198706</v>
      </c>
      <c r="H190" s="728">
        <v>1.477236231711669</v>
      </c>
      <c r="I190" s="728">
        <v>2722</v>
      </c>
      <c r="J190" s="728">
        <v>47</v>
      </c>
      <c r="K190" s="728">
        <v>134512</v>
      </c>
      <c r="L190" s="728">
        <v>1</v>
      </c>
      <c r="M190" s="728">
        <v>2861.9574468085107</v>
      </c>
      <c r="N190" s="728">
        <v>59</v>
      </c>
      <c r="O190" s="728">
        <v>169212</v>
      </c>
      <c r="P190" s="741">
        <v>1.2579695491852028</v>
      </c>
      <c r="Q190" s="729">
        <v>2868</v>
      </c>
    </row>
    <row r="191" spans="1:17" ht="14.4" customHeight="1" x14ac:dyDescent="0.3">
      <c r="A191" s="724" t="s">
        <v>552</v>
      </c>
      <c r="B191" s="725" t="s">
        <v>3080</v>
      </c>
      <c r="C191" s="725" t="s">
        <v>2989</v>
      </c>
      <c r="D191" s="725" t="s">
        <v>3360</v>
      </c>
      <c r="E191" s="725" t="s">
        <v>3361</v>
      </c>
      <c r="F191" s="728">
        <v>81</v>
      </c>
      <c r="G191" s="728">
        <v>91368</v>
      </c>
      <c r="H191" s="728">
        <v>1.3272515979081929</v>
      </c>
      <c r="I191" s="728">
        <v>1128</v>
      </c>
      <c r="J191" s="728">
        <v>58</v>
      </c>
      <c r="K191" s="728">
        <v>68840</v>
      </c>
      <c r="L191" s="728">
        <v>1</v>
      </c>
      <c r="M191" s="728">
        <v>1186.8965517241379</v>
      </c>
      <c r="N191" s="728">
        <v>74</v>
      </c>
      <c r="O191" s="728">
        <v>88134</v>
      </c>
      <c r="P191" s="741">
        <v>1.2802730970366065</v>
      </c>
      <c r="Q191" s="729">
        <v>1191</v>
      </c>
    </row>
    <row r="192" spans="1:17" ht="14.4" customHeight="1" x14ac:dyDescent="0.3">
      <c r="A192" s="724" t="s">
        <v>552</v>
      </c>
      <c r="B192" s="725" t="s">
        <v>3080</v>
      </c>
      <c r="C192" s="725" t="s">
        <v>2989</v>
      </c>
      <c r="D192" s="725" t="s">
        <v>3362</v>
      </c>
      <c r="E192" s="725" t="s">
        <v>3363</v>
      </c>
      <c r="F192" s="728">
        <v>10</v>
      </c>
      <c r="G192" s="728">
        <v>61780</v>
      </c>
      <c r="H192" s="728">
        <v>1.6045919692483508</v>
      </c>
      <c r="I192" s="728">
        <v>6178</v>
      </c>
      <c r="J192" s="728">
        <v>6</v>
      </c>
      <c r="K192" s="728">
        <v>38502</v>
      </c>
      <c r="L192" s="728">
        <v>1</v>
      </c>
      <c r="M192" s="728">
        <v>6417</v>
      </c>
      <c r="N192" s="728">
        <v>12</v>
      </c>
      <c r="O192" s="728">
        <v>77064</v>
      </c>
      <c r="P192" s="741">
        <v>2.0015583606046441</v>
      </c>
      <c r="Q192" s="729">
        <v>6422</v>
      </c>
    </row>
    <row r="193" spans="1:17" ht="14.4" customHeight="1" x14ac:dyDescent="0.3">
      <c r="A193" s="724" t="s">
        <v>552</v>
      </c>
      <c r="B193" s="725" t="s">
        <v>3080</v>
      </c>
      <c r="C193" s="725" t="s">
        <v>2989</v>
      </c>
      <c r="D193" s="725" t="s">
        <v>3364</v>
      </c>
      <c r="E193" s="725" t="s">
        <v>3365</v>
      </c>
      <c r="F193" s="728">
        <v>154</v>
      </c>
      <c r="G193" s="728">
        <v>594132</v>
      </c>
      <c r="H193" s="728">
        <v>0.97709275878571389</v>
      </c>
      <c r="I193" s="728">
        <v>3858</v>
      </c>
      <c r="J193" s="728">
        <v>153</v>
      </c>
      <c r="K193" s="728">
        <v>608061</v>
      </c>
      <c r="L193" s="728">
        <v>1</v>
      </c>
      <c r="M193" s="728">
        <v>3974.2549019607845</v>
      </c>
      <c r="N193" s="728">
        <v>145</v>
      </c>
      <c r="O193" s="728">
        <v>577384</v>
      </c>
      <c r="P193" s="741">
        <v>0.94954946954335173</v>
      </c>
      <c r="Q193" s="729">
        <v>3981.9586206896552</v>
      </c>
    </row>
    <row r="194" spans="1:17" ht="14.4" customHeight="1" x14ac:dyDescent="0.3">
      <c r="A194" s="724" t="s">
        <v>552</v>
      </c>
      <c r="B194" s="725" t="s">
        <v>3080</v>
      </c>
      <c r="C194" s="725" t="s">
        <v>2989</v>
      </c>
      <c r="D194" s="725" t="s">
        <v>3366</v>
      </c>
      <c r="E194" s="725" t="s">
        <v>3367</v>
      </c>
      <c r="F194" s="728"/>
      <c r="G194" s="728"/>
      <c r="H194" s="728"/>
      <c r="I194" s="728"/>
      <c r="J194" s="728">
        <v>1</v>
      </c>
      <c r="K194" s="728">
        <v>4395</v>
      </c>
      <c r="L194" s="728">
        <v>1</v>
      </c>
      <c r="M194" s="728">
        <v>4395</v>
      </c>
      <c r="N194" s="728"/>
      <c r="O194" s="728"/>
      <c r="P194" s="741"/>
      <c r="Q194" s="729"/>
    </row>
    <row r="195" spans="1:17" ht="14.4" customHeight="1" x14ac:dyDescent="0.3">
      <c r="A195" s="724" t="s">
        <v>552</v>
      </c>
      <c r="B195" s="725" t="s">
        <v>3080</v>
      </c>
      <c r="C195" s="725" t="s">
        <v>2989</v>
      </c>
      <c r="D195" s="725" t="s">
        <v>3368</v>
      </c>
      <c r="E195" s="725" t="s">
        <v>3369</v>
      </c>
      <c r="F195" s="728">
        <v>1</v>
      </c>
      <c r="G195" s="728">
        <v>2017</v>
      </c>
      <c r="H195" s="728"/>
      <c r="I195" s="728">
        <v>2017</v>
      </c>
      <c r="J195" s="728"/>
      <c r="K195" s="728"/>
      <c r="L195" s="728"/>
      <c r="M195" s="728"/>
      <c r="N195" s="728"/>
      <c r="O195" s="728"/>
      <c r="P195" s="741"/>
      <c r="Q195" s="729"/>
    </row>
    <row r="196" spans="1:17" ht="14.4" customHeight="1" x14ac:dyDescent="0.3">
      <c r="A196" s="724" t="s">
        <v>552</v>
      </c>
      <c r="B196" s="725" t="s">
        <v>3080</v>
      </c>
      <c r="C196" s="725" t="s">
        <v>2989</v>
      </c>
      <c r="D196" s="725" t="s">
        <v>3370</v>
      </c>
      <c r="E196" s="725" t="s">
        <v>3371</v>
      </c>
      <c r="F196" s="728">
        <v>0</v>
      </c>
      <c r="G196" s="728">
        <v>0</v>
      </c>
      <c r="H196" s="728"/>
      <c r="I196" s="728"/>
      <c r="J196" s="728">
        <v>0</v>
      </c>
      <c r="K196" s="728">
        <v>0</v>
      </c>
      <c r="L196" s="728"/>
      <c r="M196" s="728"/>
      <c r="N196" s="728">
        <v>0</v>
      </c>
      <c r="O196" s="728">
        <v>0</v>
      </c>
      <c r="P196" s="741"/>
      <c r="Q196" s="729"/>
    </row>
    <row r="197" spans="1:17" ht="14.4" customHeight="1" x14ac:dyDescent="0.3">
      <c r="A197" s="724" t="s">
        <v>552</v>
      </c>
      <c r="B197" s="725" t="s">
        <v>3080</v>
      </c>
      <c r="C197" s="725" t="s">
        <v>2989</v>
      </c>
      <c r="D197" s="725" t="s">
        <v>3372</v>
      </c>
      <c r="E197" s="725" t="s">
        <v>3373</v>
      </c>
      <c r="F197" s="728">
        <v>329</v>
      </c>
      <c r="G197" s="728">
        <v>0</v>
      </c>
      <c r="H197" s="728"/>
      <c r="I197" s="728">
        <v>0</v>
      </c>
      <c r="J197" s="728">
        <v>298</v>
      </c>
      <c r="K197" s="728">
        <v>0</v>
      </c>
      <c r="L197" s="728"/>
      <c r="M197" s="728">
        <v>0</v>
      </c>
      <c r="N197" s="728">
        <v>349</v>
      </c>
      <c r="O197" s="728">
        <v>0</v>
      </c>
      <c r="P197" s="741"/>
      <c r="Q197" s="729">
        <v>0</v>
      </c>
    </row>
    <row r="198" spans="1:17" ht="14.4" customHeight="1" x14ac:dyDescent="0.3">
      <c r="A198" s="724" t="s">
        <v>552</v>
      </c>
      <c r="B198" s="725" t="s">
        <v>3080</v>
      </c>
      <c r="C198" s="725" t="s">
        <v>2989</v>
      </c>
      <c r="D198" s="725" t="s">
        <v>3374</v>
      </c>
      <c r="E198" s="725" t="s">
        <v>3375</v>
      </c>
      <c r="F198" s="728">
        <v>13</v>
      </c>
      <c r="G198" s="728">
        <v>0</v>
      </c>
      <c r="H198" s="728"/>
      <c r="I198" s="728">
        <v>0</v>
      </c>
      <c r="J198" s="728">
        <v>12</v>
      </c>
      <c r="K198" s="728">
        <v>0</v>
      </c>
      <c r="L198" s="728"/>
      <c r="M198" s="728">
        <v>0</v>
      </c>
      <c r="N198" s="728">
        <v>23</v>
      </c>
      <c r="O198" s="728">
        <v>0</v>
      </c>
      <c r="P198" s="741"/>
      <c r="Q198" s="729">
        <v>0</v>
      </c>
    </row>
    <row r="199" spans="1:17" ht="14.4" customHeight="1" x14ac:dyDescent="0.3">
      <c r="A199" s="724" t="s">
        <v>552</v>
      </c>
      <c r="B199" s="725" t="s">
        <v>3080</v>
      </c>
      <c r="C199" s="725" t="s">
        <v>2989</v>
      </c>
      <c r="D199" s="725" t="s">
        <v>3376</v>
      </c>
      <c r="E199" s="725" t="s">
        <v>3377</v>
      </c>
      <c r="F199" s="728"/>
      <c r="G199" s="728"/>
      <c r="H199" s="728"/>
      <c r="I199" s="728"/>
      <c r="J199" s="728">
        <v>2</v>
      </c>
      <c r="K199" s="728">
        <v>22864</v>
      </c>
      <c r="L199" s="728">
        <v>1</v>
      </c>
      <c r="M199" s="728">
        <v>11432</v>
      </c>
      <c r="N199" s="728"/>
      <c r="O199" s="728"/>
      <c r="P199" s="741"/>
      <c r="Q199" s="729"/>
    </row>
    <row r="200" spans="1:17" ht="14.4" customHeight="1" x14ac:dyDescent="0.3">
      <c r="A200" s="724" t="s">
        <v>552</v>
      </c>
      <c r="B200" s="725" t="s">
        <v>3080</v>
      </c>
      <c r="C200" s="725" t="s">
        <v>2989</v>
      </c>
      <c r="D200" s="725" t="s">
        <v>3012</v>
      </c>
      <c r="E200" s="725" t="s">
        <v>3013</v>
      </c>
      <c r="F200" s="728">
        <v>349</v>
      </c>
      <c r="G200" s="728">
        <v>82015</v>
      </c>
      <c r="H200" s="728">
        <v>1.0472852181019512</v>
      </c>
      <c r="I200" s="728">
        <v>235</v>
      </c>
      <c r="J200" s="728">
        <v>312</v>
      </c>
      <c r="K200" s="728">
        <v>78312</v>
      </c>
      <c r="L200" s="728">
        <v>1</v>
      </c>
      <c r="M200" s="728">
        <v>251</v>
      </c>
      <c r="N200" s="728">
        <v>338</v>
      </c>
      <c r="O200" s="728">
        <v>84838</v>
      </c>
      <c r="P200" s="741">
        <v>1.0833333333333333</v>
      </c>
      <c r="Q200" s="729">
        <v>251</v>
      </c>
    </row>
    <row r="201" spans="1:17" ht="14.4" customHeight="1" x14ac:dyDescent="0.3">
      <c r="A201" s="724" t="s">
        <v>552</v>
      </c>
      <c r="B201" s="725" t="s">
        <v>3080</v>
      </c>
      <c r="C201" s="725" t="s">
        <v>2989</v>
      </c>
      <c r="D201" s="725" t="s">
        <v>3378</v>
      </c>
      <c r="E201" s="725" t="s">
        <v>3379</v>
      </c>
      <c r="F201" s="728">
        <v>52</v>
      </c>
      <c r="G201" s="728">
        <v>278512</v>
      </c>
      <c r="H201" s="728">
        <v>1.3213021737686563</v>
      </c>
      <c r="I201" s="728">
        <v>5356</v>
      </c>
      <c r="J201" s="728">
        <v>38</v>
      </c>
      <c r="K201" s="728">
        <v>210786</v>
      </c>
      <c r="L201" s="728">
        <v>1</v>
      </c>
      <c r="M201" s="728">
        <v>5547</v>
      </c>
      <c r="N201" s="728">
        <v>45</v>
      </c>
      <c r="O201" s="728">
        <v>249795</v>
      </c>
      <c r="P201" s="741">
        <v>1.1850644729725883</v>
      </c>
      <c r="Q201" s="729">
        <v>5551</v>
      </c>
    </row>
    <row r="202" spans="1:17" ht="14.4" customHeight="1" x14ac:dyDescent="0.3">
      <c r="A202" s="724" t="s">
        <v>552</v>
      </c>
      <c r="B202" s="725" t="s">
        <v>3080</v>
      </c>
      <c r="C202" s="725" t="s">
        <v>2989</v>
      </c>
      <c r="D202" s="725" t="s">
        <v>3380</v>
      </c>
      <c r="E202" s="725" t="s">
        <v>3381</v>
      </c>
      <c r="F202" s="728">
        <v>1501</v>
      </c>
      <c r="G202" s="728">
        <v>1686512</v>
      </c>
      <c r="H202" s="728">
        <v>1.0656132555911917</v>
      </c>
      <c r="I202" s="728">
        <v>1123.5922718187874</v>
      </c>
      <c r="J202" s="728">
        <v>1422</v>
      </c>
      <c r="K202" s="728">
        <v>1582668</v>
      </c>
      <c r="L202" s="728">
        <v>1</v>
      </c>
      <c r="M202" s="728">
        <v>1112.9873417721519</v>
      </c>
      <c r="N202" s="728">
        <v>1534</v>
      </c>
      <c r="O202" s="728">
        <v>1694966</v>
      </c>
      <c r="P202" s="741">
        <v>1.070954868614264</v>
      </c>
      <c r="Q202" s="729">
        <v>1104.9322033898304</v>
      </c>
    </row>
    <row r="203" spans="1:17" ht="14.4" customHeight="1" x14ac:dyDescent="0.3">
      <c r="A203" s="724" t="s">
        <v>552</v>
      </c>
      <c r="B203" s="725" t="s">
        <v>3080</v>
      </c>
      <c r="C203" s="725" t="s">
        <v>2989</v>
      </c>
      <c r="D203" s="725" t="s">
        <v>3382</v>
      </c>
      <c r="E203" s="725" t="s">
        <v>3383</v>
      </c>
      <c r="F203" s="728">
        <v>314</v>
      </c>
      <c r="G203" s="728">
        <v>395314</v>
      </c>
      <c r="H203" s="728">
        <v>1.3211836423672847</v>
      </c>
      <c r="I203" s="728">
        <v>1258.9617834394905</v>
      </c>
      <c r="J203" s="728">
        <v>227</v>
      </c>
      <c r="K203" s="728">
        <v>299212</v>
      </c>
      <c r="L203" s="728">
        <v>1</v>
      </c>
      <c r="M203" s="728">
        <v>1318.1145374449338</v>
      </c>
      <c r="N203" s="728">
        <v>239</v>
      </c>
      <c r="O203" s="728">
        <v>316432</v>
      </c>
      <c r="P203" s="741">
        <v>1.0575511677339144</v>
      </c>
      <c r="Q203" s="729">
        <v>1323.9832635983264</v>
      </c>
    </row>
    <row r="204" spans="1:17" ht="14.4" customHeight="1" x14ac:dyDescent="0.3">
      <c r="A204" s="724" t="s">
        <v>552</v>
      </c>
      <c r="B204" s="725" t="s">
        <v>3080</v>
      </c>
      <c r="C204" s="725" t="s">
        <v>2989</v>
      </c>
      <c r="D204" s="725" t="s">
        <v>3384</v>
      </c>
      <c r="E204" s="725" t="s">
        <v>3385</v>
      </c>
      <c r="F204" s="728">
        <v>145</v>
      </c>
      <c r="G204" s="728">
        <v>65395</v>
      </c>
      <c r="H204" s="728">
        <v>1.313073509627934</v>
      </c>
      <c r="I204" s="728">
        <v>451</v>
      </c>
      <c r="J204" s="728">
        <v>105</v>
      </c>
      <c r="K204" s="728">
        <v>49803</v>
      </c>
      <c r="L204" s="728">
        <v>1</v>
      </c>
      <c r="M204" s="728">
        <v>474.31428571428569</v>
      </c>
      <c r="N204" s="728">
        <v>128</v>
      </c>
      <c r="O204" s="728">
        <v>60928</v>
      </c>
      <c r="P204" s="741">
        <v>1.2233801176635946</v>
      </c>
      <c r="Q204" s="729">
        <v>476</v>
      </c>
    </row>
    <row r="205" spans="1:17" ht="14.4" customHeight="1" x14ac:dyDescent="0.3">
      <c r="A205" s="724" t="s">
        <v>552</v>
      </c>
      <c r="B205" s="725" t="s">
        <v>3080</v>
      </c>
      <c r="C205" s="725" t="s">
        <v>2989</v>
      </c>
      <c r="D205" s="725" t="s">
        <v>3386</v>
      </c>
      <c r="E205" s="725" t="s">
        <v>3387</v>
      </c>
      <c r="F205" s="728">
        <v>8</v>
      </c>
      <c r="G205" s="728">
        <v>34840</v>
      </c>
      <c r="H205" s="728">
        <v>0.58336961253809316</v>
      </c>
      <c r="I205" s="728">
        <v>4355</v>
      </c>
      <c r="J205" s="728">
        <v>13</v>
      </c>
      <c r="K205" s="728">
        <v>59722</v>
      </c>
      <c r="L205" s="728">
        <v>1</v>
      </c>
      <c r="M205" s="728">
        <v>4594</v>
      </c>
      <c r="N205" s="728">
        <v>1</v>
      </c>
      <c r="O205" s="728">
        <v>4599</v>
      </c>
      <c r="P205" s="741">
        <v>7.7006798164830387E-2</v>
      </c>
      <c r="Q205" s="729">
        <v>4599</v>
      </c>
    </row>
    <row r="206" spans="1:17" ht="14.4" customHeight="1" x14ac:dyDescent="0.3">
      <c r="A206" s="724" t="s">
        <v>552</v>
      </c>
      <c r="B206" s="725" t="s">
        <v>3080</v>
      </c>
      <c r="C206" s="725" t="s">
        <v>2989</v>
      </c>
      <c r="D206" s="725" t="s">
        <v>3388</v>
      </c>
      <c r="E206" s="725" t="s">
        <v>3389</v>
      </c>
      <c r="F206" s="728">
        <v>30</v>
      </c>
      <c r="G206" s="728">
        <v>119010</v>
      </c>
      <c r="H206" s="728">
        <v>0.96473735408560313</v>
      </c>
      <c r="I206" s="728">
        <v>3967</v>
      </c>
      <c r="J206" s="728">
        <v>30</v>
      </c>
      <c r="K206" s="728">
        <v>123360</v>
      </c>
      <c r="L206" s="728">
        <v>1</v>
      </c>
      <c r="M206" s="728">
        <v>4112</v>
      </c>
      <c r="N206" s="728">
        <v>27</v>
      </c>
      <c r="O206" s="728">
        <v>111076</v>
      </c>
      <c r="P206" s="741">
        <v>0.90042153047989626</v>
      </c>
      <c r="Q206" s="729">
        <v>4113.9259259259261</v>
      </c>
    </row>
    <row r="207" spans="1:17" ht="14.4" customHeight="1" x14ac:dyDescent="0.3">
      <c r="A207" s="724" t="s">
        <v>552</v>
      </c>
      <c r="B207" s="725" t="s">
        <v>3080</v>
      </c>
      <c r="C207" s="725" t="s">
        <v>2989</v>
      </c>
      <c r="D207" s="725" t="s">
        <v>3390</v>
      </c>
      <c r="E207" s="725" t="s">
        <v>3391</v>
      </c>
      <c r="F207" s="728">
        <v>7</v>
      </c>
      <c r="G207" s="728">
        <v>70448</v>
      </c>
      <c r="H207" s="728">
        <v>1.712854676748766</v>
      </c>
      <c r="I207" s="728">
        <v>10064</v>
      </c>
      <c r="J207" s="728">
        <v>4</v>
      </c>
      <c r="K207" s="728">
        <v>41129</v>
      </c>
      <c r="L207" s="728">
        <v>1</v>
      </c>
      <c r="M207" s="728">
        <v>10282.25</v>
      </c>
      <c r="N207" s="728">
        <v>1</v>
      </c>
      <c r="O207" s="728">
        <v>10363</v>
      </c>
      <c r="P207" s="741">
        <v>0.25196333487320383</v>
      </c>
      <c r="Q207" s="729">
        <v>10363</v>
      </c>
    </row>
    <row r="208" spans="1:17" ht="14.4" customHeight="1" x14ac:dyDescent="0.3">
      <c r="A208" s="724" t="s">
        <v>552</v>
      </c>
      <c r="B208" s="725" t="s">
        <v>3080</v>
      </c>
      <c r="C208" s="725" t="s">
        <v>2989</v>
      </c>
      <c r="D208" s="725" t="s">
        <v>3392</v>
      </c>
      <c r="E208" s="725" t="s">
        <v>3393</v>
      </c>
      <c r="F208" s="728">
        <v>251</v>
      </c>
      <c r="G208" s="728">
        <v>84838</v>
      </c>
      <c r="H208" s="728">
        <v>0.9683266181959298</v>
      </c>
      <c r="I208" s="728">
        <v>338</v>
      </c>
      <c r="J208" s="728">
        <v>246</v>
      </c>
      <c r="K208" s="728">
        <v>87613</v>
      </c>
      <c r="L208" s="728">
        <v>1</v>
      </c>
      <c r="M208" s="728">
        <v>356.15040650406502</v>
      </c>
      <c r="N208" s="728">
        <v>233</v>
      </c>
      <c r="O208" s="728">
        <v>83181</v>
      </c>
      <c r="P208" s="741">
        <v>0.94941389976373369</v>
      </c>
      <c r="Q208" s="729">
        <v>357</v>
      </c>
    </row>
    <row r="209" spans="1:17" ht="14.4" customHeight="1" x14ac:dyDescent="0.3">
      <c r="A209" s="724" t="s">
        <v>552</v>
      </c>
      <c r="B209" s="725" t="s">
        <v>3080</v>
      </c>
      <c r="C209" s="725" t="s">
        <v>2989</v>
      </c>
      <c r="D209" s="725" t="s">
        <v>3394</v>
      </c>
      <c r="E209" s="725" t="s">
        <v>3395</v>
      </c>
      <c r="F209" s="728">
        <v>3</v>
      </c>
      <c r="G209" s="728">
        <v>14502</v>
      </c>
      <c r="H209" s="728">
        <v>1.4358415841584158</v>
      </c>
      <c r="I209" s="728">
        <v>4834</v>
      </c>
      <c r="J209" s="728">
        <v>2</v>
      </c>
      <c r="K209" s="728">
        <v>10100</v>
      </c>
      <c r="L209" s="728">
        <v>1</v>
      </c>
      <c r="M209" s="728">
        <v>5050</v>
      </c>
      <c r="N209" s="728">
        <v>2</v>
      </c>
      <c r="O209" s="728">
        <v>10108</v>
      </c>
      <c r="P209" s="741">
        <v>1.0007920792079208</v>
      </c>
      <c r="Q209" s="729">
        <v>5054</v>
      </c>
    </row>
    <row r="210" spans="1:17" ht="14.4" customHeight="1" x14ac:dyDescent="0.3">
      <c r="A210" s="724" t="s">
        <v>552</v>
      </c>
      <c r="B210" s="725" t="s">
        <v>3080</v>
      </c>
      <c r="C210" s="725" t="s">
        <v>2989</v>
      </c>
      <c r="D210" s="725" t="s">
        <v>3028</v>
      </c>
      <c r="E210" s="725" t="s">
        <v>3029</v>
      </c>
      <c r="F210" s="728">
        <v>321</v>
      </c>
      <c r="G210" s="728">
        <v>112029</v>
      </c>
      <c r="H210" s="728">
        <v>1.0578254095651762</v>
      </c>
      <c r="I210" s="728">
        <v>349</v>
      </c>
      <c r="J210" s="728">
        <v>285</v>
      </c>
      <c r="K210" s="728">
        <v>105905</v>
      </c>
      <c r="L210" s="728">
        <v>1</v>
      </c>
      <c r="M210" s="728">
        <v>371.59649122807019</v>
      </c>
      <c r="N210" s="728">
        <v>312</v>
      </c>
      <c r="O210" s="728">
        <v>116371</v>
      </c>
      <c r="P210" s="741">
        <v>1.0988244181105709</v>
      </c>
      <c r="Q210" s="729">
        <v>372.98397435897436</v>
      </c>
    </row>
    <row r="211" spans="1:17" ht="14.4" customHeight="1" x14ac:dyDescent="0.3">
      <c r="A211" s="724" t="s">
        <v>552</v>
      </c>
      <c r="B211" s="725" t="s">
        <v>3080</v>
      </c>
      <c r="C211" s="725" t="s">
        <v>2989</v>
      </c>
      <c r="D211" s="725" t="s">
        <v>3396</v>
      </c>
      <c r="E211" s="725" t="s">
        <v>3397</v>
      </c>
      <c r="F211" s="728">
        <v>54</v>
      </c>
      <c r="G211" s="728">
        <v>16362</v>
      </c>
      <c r="H211" s="728">
        <v>1.7823529411764707</v>
      </c>
      <c r="I211" s="728">
        <v>303</v>
      </c>
      <c r="J211" s="728">
        <v>60</v>
      </c>
      <c r="K211" s="728">
        <v>9180</v>
      </c>
      <c r="L211" s="728">
        <v>1</v>
      </c>
      <c r="M211" s="728">
        <v>153</v>
      </c>
      <c r="N211" s="728">
        <v>82</v>
      </c>
      <c r="O211" s="728">
        <v>12546</v>
      </c>
      <c r="P211" s="741">
        <v>1.3666666666666667</v>
      </c>
      <c r="Q211" s="729">
        <v>153</v>
      </c>
    </row>
    <row r="212" spans="1:17" ht="14.4" customHeight="1" x14ac:dyDescent="0.3">
      <c r="A212" s="724" t="s">
        <v>552</v>
      </c>
      <c r="B212" s="725" t="s">
        <v>3080</v>
      </c>
      <c r="C212" s="725" t="s">
        <v>2989</v>
      </c>
      <c r="D212" s="725" t="s">
        <v>3398</v>
      </c>
      <c r="E212" s="725" t="s">
        <v>3399</v>
      </c>
      <c r="F212" s="728">
        <v>1</v>
      </c>
      <c r="G212" s="728">
        <v>11425</v>
      </c>
      <c r="H212" s="728">
        <v>0.4865428839110808</v>
      </c>
      <c r="I212" s="728">
        <v>11425</v>
      </c>
      <c r="J212" s="728">
        <v>2</v>
      </c>
      <c r="K212" s="728">
        <v>23482</v>
      </c>
      <c r="L212" s="728">
        <v>1</v>
      </c>
      <c r="M212" s="728">
        <v>11741</v>
      </c>
      <c r="N212" s="728">
        <v>2</v>
      </c>
      <c r="O212" s="728">
        <v>23498</v>
      </c>
      <c r="P212" s="741">
        <v>1.0006813729665276</v>
      </c>
      <c r="Q212" s="729">
        <v>11749</v>
      </c>
    </row>
    <row r="213" spans="1:17" ht="14.4" customHeight="1" x14ac:dyDescent="0.3">
      <c r="A213" s="724" t="s">
        <v>552</v>
      </c>
      <c r="B213" s="725" t="s">
        <v>3080</v>
      </c>
      <c r="C213" s="725" t="s">
        <v>2989</v>
      </c>
      <c r="D213" s="725" t="s">
        <v>3400</v>
      </c>
      <c r="E213" s="725" t="s">
        <v>3401</v>
      </c>
      <c r="F213" s="728">
        <v>19</v>
      </c>
      <c r="G213" s="728">
        <v>81036</v>
      </c>
      <c r="H213" s="728">
        <v>3.6160642570281123</v>
      </c>
      <c r="I213" s="728">
        <v>4265.0526315789475</v>
      </c>
      <c r="J213" s="728">
        <v>5</v>
      </c>
      <c r="K213" s="728">
        <v>22410</v>
      </c>
      <c r="L213" s="728">
        <v>1</v>
      </c>
      <c r="M213" s="728">
        <v>4482</v>
      </c>
      <c r="N213" s="728">
        <v>7</v>
      </c>
      <c r="O213" s="728">
        <v>31402</v>
      </c>
      <c r="P213" s="741">
        <v>1.4012494422132977</v>
      </c>
      <c r="Q213" s="729">
        <v>4486</v>
      </c>
    </row>
    <row r="214" spans="1:17" ht="14.4" customHeight="1" x14ac:dyDescent="0.3">
      <c r="A214" s="724" t="s">
        <v>552</v>
      </c>
      <c r="B214" s="725" t="s">
        <v>3080</v>
      </c>
      <c r="C214" s="725" t="s">
        <v>2989</v>
      </c>
      <c r="D214" s="725" t="s">
        <v>3402</v>
      </c>
      <c r="E214" s="725" t="s">
        <v>3403</v>
      </c>
      <c r="F214" s="728">
        <v>33</v>
      </c>
      <c r="G214" s="728">
        <v>413775</v>
      </c>
      <c r="H214" s="728">
        <v>0.76417822791542933</v>
      </c>
      <c r="I214" s="728">
        <v>12538.636363636364</v>
      </c>
      <c r="J214" s="728">
        <v>42</v>
      </c>
      <c r="K214" s="728">
        <v>541464</v>
      </c>
      <c r="L214" s="728">
        <v>1</v>
      </c>
      <c r="M214" s="728">
        <v>12892</v>
      </c>
      <c r="N214" s="728">
        <v>46</v>
      </c>
      <c r="O214" s="728">
        <v>593446</v>
      </c>
      <c r="P214" s="741">
        <v>1.0960026890061019</v>
      </c>
      <c r="Q214" s="729">
        <v>12901</v>
      </c>
    </row>
    <row r="215" spans="1:17" ht="14.4" customHeight="1" x14ac:dyDescent="0.3">
      <c r="A215" s="724" t="s">
        <v>552</v>
      </c>
      <c r="B215" s="725" t="s">
        <v>3080</v>
      </c>
      <c r="C215" s="725" t="s">
        <v>2989</v>
      </c>
      <c r="D215" s="725" t="s">
        <v>3404</v>
      </c>
      <c r="E215" s="725" t="s">
        <v>3405</v>
      </c>
      <c r="F215" s="728">
        <v>72</v>
      </c>
      <c r="G215" s="728">
        <v>171576</v>
      </c>
      <c r="H215" s="728">
        <v>1.1120646072877642</v>
      </c>
      <c r="I215" s="728">
        <v>2383</v>
      </c>
      <c r="J215" s="728">
        <v>62</v>
      </c>
      <c r="K215" s="728">
        <v>154286</v>
      </c>
      <c r="L215" s="728">
        <v>1</v>
      </c>
      <c r="M215" s="728">
        <v>2488.483870967742</v>
      </c>
      <c r="N215" s="728">
        <v>66</v>
      </c>
      <c r="O215" s="728">
        <v>164661</v>
      </c>
      <c r="P215" s="741">
        <v>1.0672452458421373</v>
      </c>
      <c r="Q215" s="729">
        <v>2494.8636363636365</v>
      </c>
    </row>
    <row r="216" spans="1:17" ht="14.4" customHeight="1" x14ac:dyDescent="0.3">
      <c r="A216" s="724" t="s">
        <v>552</v>
      </c>
      <c r="B216" s="725" t="s">
        <v>3080</v>
      </c>
      <c r="C216" s="725" t="s">
        <v>2989</v>
      </c>
      <c r="D216" s="725" t="s">
        <v>3406</v>
      </c>
      <c r="E216" s="725" t="s">
        <v>3407</v>
      </c>
      <c r="F216" s="728">
        <v>2</v>
      </c>
      <c r="G216" s="728">
        <v>11092</v>
      </c>
      <c r="H216" s="728"/>
      <c r="I216" s="728">
        <v>5546</v>
      </c>
      <c r="J216" s="728"/>
      <c r="K216" s="728"/>
      <c r="L216" s="728"/>
      <c r="M216" s="728"/>
      <c r="N216" s="728">
        <v>1</v>
      </c>
      <c r="O216" s="728">
        <v>5794</v>
      </c>
      <c r="P216" s="741"/>
      <c r="Q216" s="729">
        <v>5794</v>
      </c>
    </row>
    <row r="217" spans="1:17" ht="14.4" customHeight="1" x14ac:dyDescent="0.3">
      <c r="A217" s="724" t="s">
        <v>552</v>
      </c>
      <c r="B217" s="725" t="s">
        <v>3080</v>
      </c>
      <c r="C217" s="725" t="s">
        <v>2989</v>
      </c>
      <c r="D217" s="725" t="s">
        <v>3408</v>
      </c>
      <c r="E217" s="725" t="s">
        <v>3409</v>
      </c>
      <c r="F217" s="728">
        <v>43</v>
      </c>
      <c r="G217" s="728">
        <v>29111</v>
      </c>
      <c r="H217" s="728">
        <v>0.93220827462533629</v>
      </c>
      <c r="I217" s="728">
        <v>677</v>
      </c>
      <c r="J217" s="728">
        <v>44</v>
      </c>
      <c r="K217" s="728">
        <v>31228</v>
      </c>
      <c r="L217" s="728">
        <v>1</v>
      </c>
      <c r="M217" s="728">
        <v>709.72727272727275</v>
      </c>
      <c r="N217" s="728">
        <v>35</v>
      </c>
      <c r="O217" s="728">
        <v>24989</v>
      </c>
      <c r="P217" s="741">
        <v>0.80021134878954781</v>
      </c>
      <c r="Q217" s="729">
        <v>713.97142857142853</v>
      </c>
    </row>
    <row r="218" spans="1:17" ht="14.4" customHeight="1" x14ac:dyDescent="0.3">
      <c r="A218" s="724" t="s">
        <v>552</v>
      </c>
      <c r="B218" s="725" t="s">
        <v>3080</v>
      </c>
      <c r="C218" s="725" t="s">
        <v>2989</v>
      </c>
      <c r="D218" s="725" t="s">
        <v>3410</v>
      </c>
      <c r="E218" s="725" t="s">
        <v>3411</v>
      </c>
      <c r="F218" s="728"/>
      <c r="G218" s="728"/>
      <c r="H218" s="728"/>
      <c r="I218" s="728"/>
      <c r="J218" s="728">
        <v>1</v>
      </c>
      <c r="K218" s="728">
        <v>0</v>
      </c>
      <c r="L218" s="728"/>
      <c r="M218" s="728">
        <v>0</v>
      </c>
      <c r="N218" s="728">
        <v>1</v>
      </c>
      <c r="O218" s="728">
        <v>0</v>
      </c>
      <c r="P218" s="741"/>
      <c r="Q218" s="729">
        <v>0</v>
      </c>
    </row>
    <row r="219" spans="1:17" ht="14.4" customHeight="1" x14ac:dyDescent="0.3">
      <c r="A219" s="724" t="s">
        <v>552</v>
      </c>
      <c r="B219" s="725" t="s">
        <v>3080</v>
      </c>
      <c r="C219" s="725" t="s">
        <v>2989</v>
      </c>
      <c r="D219" s="725" t="s">
        <v>3412</v>
      </c>
      <c r="E219" s="725" t="s">
        <v>3413</v>
      </c>
      <c r="F219" s="728">
        <v>122</v>
      </c>
      <c r="G219" s="728">
        <v>167506</v>
      </c>
      <c r="H219" s="728">
        <v>1.0753280435508308</v>
      </c>
      <c r="I219" s="728">
        <v>1373</v>
      </c>
      <c r="J219" s="728">
        <v>108</v>
      </c>
      <c r="K219" s="728">
        <v>155772</v>
      </c>
      <c r="L219" s="728">
        <v>1</v>
      </c>
      <c r="M219" s="728">
        <v>1442.3333333333333</v>
      </c>
      <c r="N219" s="728">
        <v>98</v>
      </c>
      <c r="O219" s="728">
        <v>141707</v>
      </c>
      <c r="P219" s="741">
        <v>0.90970777803456337</v>
      </c>
      <c r="Q219" s="729">
        <v>1445.9897959183672</v>
      </c>
    </row>
    <row r="220" spans="1:17" ht="14.4" customHeight="1" x14ac:dyDescent="0.3">
      <c r="A220" s="724" t="s">
        <v>552</v>
      </c>
      <c r="B220" s="725" t="s">
        <v>3080</v>
      </c>
      <c r="C220" s="725" t="s">
        <v>2989</v>
      </c>
      <c r="D220" s="725" t="s">
        <v>3414</v>
      </c>
      <c r="E220" s="725" t="s">
        <v>3415</v>
      </c>
      <c r="F220" s="728">
        <v>11</v>
      </c>
      <c r="G220" s="728">
        <v>58564</v>
      </c>
      <c r="H220" s="728">
        <v>1.0521739130434782</v>
      </c>
      <c r="I220" s="728">
        <v>5324</v>
      </c>
      <c r="J220" s="728">
        <v>10</v>
      </c>
      <c r="K220" s="728">
        <v>55660</v>
      </c>
      <c r="L220" s="728">
        <v>1</v>
      </c>
      <c r="M220" s="728">
        <v>5566</v>
      </c>
      <c r="N220" s="728">
        <v>5</v>
      </c>
      <c r="O220" s="728">
        <v>27850</v>
      </c>
      <c r="P220" s="741">
        <v>0.50035932446999642</v>
      </c>
      <c r="Q220" s="729">
        <v>5570</v>
      </c>
    </row>
    <row r="221" spans="1:17" ht="14.4" customHeight="1" x14ac:dyDescent="0.3">
      <c r="A221" s="724" t="s">
        <v>552</v>
      </c>
      <c r="B221" s="725" t="s">
        <v>3080</v>
      </c>
      <c r="C221" s="725" t="s">
        <v>2989</v>
      </c>
      <c r="D221" s="725" t="s">
        <v>3416</v>
      </c>
      <c r="E221" s="725" t="s">
        <v>3417</v>
      </c>
      <c r="F221" s="728">
        <v>3</v>
      </c>
      <c r="G221" s="728">
        <v>31329</v>
      </c>
      <c r="H221" s="728">
        <v>0.97397873531057644</v>
      </c>
      <c r="I221" s="728">
        <v>10443</v>
      </c>
      <c r="J221" s="728">
        <v>3</v>
      </c>
      <c r="K221" s="728">
        <v>32166</v>
      </c>
      <c r="L221" s="728">
        <v>1</v>
      </c>
      <c r="M221" s="728">
        <v>10722</v>
      </c>
      <c r="N221" s="728">
        <v>6</v>
      </c>
      <c r="O221" s="728">
        <v>64380</v>
      </c>
      <c r="P221" s="741">
        <v>2.0014922589069202</v>
      </c>
      <c r="Q221" s="729">
        <v>10730</v>
      </c>
    </row>
    <row r="222" spans="1:17" ht="14.4" customHeight="1" x14ac:dyDescent="0.3">
      <c r="A222" s="724" t="s">
        <v>552</v>
      </c>
      <c r="B222" s="725" t="s">
        <v>3080</v>
      </c>
      <c r="C222" s="725" t="s">
        <v>2989</v>
      </c>
      <c r="D222" s="725" t="s">
        <v>3418</v>
      </c>
      <c r="E222" s="725" t="s">
        <v>3419</v>
      </c>
      <c r="F222" s="728">
        <v>4</v>
      </c>
      <c r="G222" s="728">
        <v>12636</v>
      </c>
      <c r="H222" s="728">
        <v>0.94298507462686565</v>
      </c>
      <c r="I222" s="728">
        <v>3159</v>
      </c>
      <c r="J222" s="728">
        <v>4</v>
      </c>
      <c r="K222" s="728">
        <v>13400</v>
      </c>
      <c r="L222" s="728">
        <v>1</v>
      </c>
      <c r="M222" s="728">
        <v>3350</v>
      </c>
      <c r="N222" s="728"/>
      <c r="O222" s="728"/>
      <c r="P222" s="741"/>
      <c r="Q222" s="729"/>
    </row>
    <row r="223" spans="1:17" ht="14.4" customHeight="1" x14ac:dyDescent="0.3">
      <c r="A223" s="724" t="s">
        <v>552</v>
      </c>
      <c r="B223" s="725" t="s">
        <v>3080</v>
      </c>
      <c r="C223" s="725" t="s">
        <v>2989</v>
      </c>
      <c r="D223" s="725" t="s">
        <v>3420</v>
      </c>
      <c r="E223" s="725" t="s">
        <v>3421</v>
      </c>
      <c r="F223" s="728"/>
      <c r="G223" s="728"/>
      <c r="H223" s="728"/>
      <c r="I223" s="728"/>
      <c r="J223" s="728">
        <v>5</v>
      </c>
      <c r="K223" s="728">
        <v>40955</v>
      </c>
      <c r="L223" s="728">
        <v>1</v>
      </c>
      <c r="M223" s="728">
        <v>8191</v>
      </c>
      <c r="N223" s="728">
        <v>6</v>
      </c>
      <c r="O223" s="728">
        <v>49182</v>
      </c>
      <c r="P223" s="741">
        <v>1.2008790135514589</v>
      </c>
      <c r="Q223" s="729">
        <v>8197</v>
      </c>
    </row>
    <row r="224" spans="1:17" ht="14.4" customHeight="1" x14ac:dyDescent="0.3">
      <c r="A224" s="724" t="s">
        <v>552</v>
      </c>
      <c r="B224" s="725" t="s">
        <v>3080</v>
      </c>
      <c r="C224" s="725" t="s">
        <v>2989</v>
      </c>
      <c r="D224" s="725" t="s">
        <v>3422</v>
      </c>
      <c r="E224" s="725" t="s">
        <v>3377</v>
      </c>
      <c r="F224" s="728">
        <v>4</v>
      </c>
      <c r="G224" s="728">
        <v>38540</v>
      </c>
      <c r="H224" s="728">
        <v>3.8729775901919403</v>
      </c>
      <c r="I224" s="728">
        <v>9635</v>
      </c>
      <c r="J224" s="728">
        <v>1</v>
      </c>
      <c r="K224" s="728">
        <v>9951</v>
      </c>
      <c r="L224" s="728">
        <v>1</v>
      </c>
      <c r="M224" s="728">
        <v>9951</v>
      </c>
      <c r="N224" s="728"/>
      <c r="O224" s="728"/>
      <c r="P224" s="741"/>
      <c r="Q224" s="729"/>
    </row>
    <row r="225" spans="1:17" ht="14.4" customHeight="1" x14ac:dyDescent="0.3">
      <c r="A225" s="724" t="s">
        <v>552</v>
      </c>
      <c r="B225" s="725" t="s">
        <v>3080</v>
      </c>
      <c r="C225" s="725" t="s">
        <v>2989</v>
      </c>
      <c r="D225" s="725" t="s">
        <v>3423</v>
      </c>
      <c r="E225" s="725" t="s">
        <v>3424</v>
      </c>
      <c r="F225" s="728">
        <v>12</v>
      </c>
      <c r="G225" s="728">
        <v>53220</v>
      </c>
      <c r="H225" s="728">
        <v>0.30419772280396906</v>
      </c>
      <c r="I225" s="728">
        <v>4435</v>
      </c>
      <c r="J225" s="728">
        <v>38</v>
      </c>
      <c r="K225" s="728">
        <v>174952</v>
      </c>
      <c r="L225" s="728">
        <v>1</v>
      </c>
      <c r="M225" s="728">
        <v>4604</v>
      </c>
      <c r="N225" s="728">
        <v>20</v>
      </c>
      <c r="O225" s="728">
        <v>92175</v>
      </c>
      <c r="P225" s="741">
        <v>0.52685879555535231</v>
      </c>
      <c r="Q225" s="729">
        <v>4608.75</v>
      </c>
    </row>
    <row r="226" spans="1:17" ht="14.4" customHeight="1" x14ac:dyDescent="0.3">
      <c r="A226" s="724" t="s">
        <v>552</v>
      </c>
      <c r="B226" s="725" t="s">
        <v>3080</v>
      </c>
      <c r="C226" s="725" t="s">
        <v>2989</v>
      </c>
      <c r="D226" s="725" t="s">
        <v>3425</v>
      </c>
      <c r="E226" s="725" t="s">
        <v>3426</v>
      </c>
      <c r="F226" s="728">
        <v>2</v>
      </c>
      <c r="G226" s="728">
        <v>7258</v>
      </c>
      <c r="H226" s="728"/>
      <c r="I226" s="728">
        <v>3629</v>
      </c>
      <c r="J226" s="728"/>
      <c r="K226" s="728"/>
      <c r="L226" s="728"/>
      <c r="M226" s="728"/>
      <c r="N226" s="728">
        <v>4</v>
      </c>
      <c r="O226" s="728">
        <v>15296</v>
      </c>
      <c r="P226" s="741"/>
      <c r="Q226" s="729">
        <v>3824</v>
      </c>
    </row>
    <row r="227" spans="1:17" ht="14.4" customHeight="1" x14ac:dyDescent="0.3">
      <c r="A227" s="724" t="s">
        <v>552</v>
      </c>
      <c r="B227" s="725" t="s">
        <v>3080</v>
      </c>
      <c r="C227" s="725" t="s">
        <v>2989</v>
      </c>
      <c r="D227" s="725" t="s">
        <v>3427</v>
      </c>
      <c r="E227" s="725" t="s">
        <v>3428</v>
      </c>
      <c r="F227" s="728">
        <v>2</v>
      </c>
      <c r="G227" s="728">
        <v>4524</v>
      </c>
      <c r="H227" s="728"/>
      <c r="I227" s="728">
        <v>2262</v>
      </c>
      <c r="J227" s="728"/>
      <c r="K227" s="728"/>
      <c r="L227" s="728"/>
      <c r="M227" s="728"/>
      <c r="N227" s="728">
        <v>1</v>
      </c>
      <c r="O227" s="728">
        <v>2364</v>
      </c>
      <c r="P227" s="741"/>
      <c r="Q227" s="729">
        <v>2364</v>
      </c>
    </row>
    <row r="228" spans="1:17" ht="14.4" customHeight="1" x14ac:dyDescent="0.3">
      <c r="A228" s="724" t="s">
        <v>552</v>
      </c>
      <c r="B228" s="725" t="s">
        <v>3080</v>
      </c>
      <c r="C228" s="725" t="s">
        <v>2989</v>
      </c>
      <c r="D228" s="725" t="s">
        <v>3429</v>
      </c>
      <c r="E228" s="725" t="s">
        <v>3430</v>
      </c>
      <c r="F228" s="728"/>
      <c r="G228" s="728"/>
      <c r="H228" s="728"/>
      <c r="I228" s="728"/>
      <c r="J228" s="728">
        <v>1</v>
      </c>
      <c r="K228" s="728">
        <v>1265</v>
      </c>
      <c r="L228" s="728">
        <v>1</v>
      </c>
      <c r="M228" s="728">
        <v>1265</v>
      </c>
      <c r="N228" s="728"/>
      <c r="O228" s="728"/>
      <c r="P228" s="741"/>
      <c r="Q228" s="729"/>
    </row>
    <row r="229" spans="1:17" ht="14.4" customHeight="1" x14ac:dyDescent="0.3">
      <c r="A229" s="724" t="s">
        <v>552</v>
      </c>
      <c r="B229" s="725" t="s">
        <v>3080</v>
      </c>
      <c r="C229" s="725" t="s">
        <v>2989</v>
      </c>
      <c r="D229" s="725" t="s">
        <v>3431</v>
      </c>
      <c r="E229" s="725" t="s">
        <v>3432</v>
      </c>
      <c r="F229" s="728">
        <v>3</v>
      </c>
      <c r="G229" s="728">
        <v>4623</v>
      </c>
      <c r="H229" s="728">
        <v>0.96553884711779447</v>
      </c>
      <c r="I229" s="728">
        <v>1541</v>
      </c>
      <c r="J229" s="728">
        <v>3</v>
      </c>
      <c r="K229" s="728">
        <v>4788</v>
      </c>
      <c r="L229" s="728">
        <v>1</v>
      </c>
      <c r="M229" s="728">
        <v>1596</v>
      </c>
      <c r="N229" s="728">
        <v>1</v>
      </c>
      <c r="O229" s="728">
        <v>1597</v>
      </c>
      <c r="P229" s="741">
        <v>0.3335421888053467</v>
      </c>
      <c r="Q229" s="729">
        <v>1597</v>
      </c>
    </row>
    <row r="230" spans="1:17" ht="14.4" customHeight="1" x14ac:dyDescent="0.3">
      <c r="A230" s="724" t="s">
        <v>552</v>
      </c>
      <c r="B230" s="725" t="s">
        <v>3080</v>
      </c>
      <c r="C230" s="725" t="s">
        <v>2989</v>
      </c>
      <c r="D230" s="725" t="s">
        <v>3433</v>
      </c>
      <c r="E230" s="725" t="s">
        <v>3434</v>
      </c>
      <c r="F230" s="728">
        <v>3</v>
      </c>
      <c r="G230" s="728">
        <v>29799</v>
      </c>
      <c r="H230" s="728"/>
      <c r="I230" s="728">
        <v>9933</v>
      </c>
      <c r="J230" s="728"/>
      <c r="K230" s="728"/>
      <c r="L230" s="728"/>
      <c r="M230" s="728"/>
      <c r="N230" s="728">
        <v>3</v>
      </c>
      <c r="O230" s="728">
        <v>30585</v>
      </c>
      <c r="P230" s="741"/>
      <c r="Q230" s="729">
        <v>10195</v>
      </c>
    </row>
    <row r="231" spans="1:17" ht="14.4" customHeight="1" x14ac:dyDescent="0.3">
      <c r="A231" s="724" t="s">
        <v>552</v>
      </c>
      <c r="B231" s="725" t="s">
        <v>3080</v>
      </c>
      <c r="C231" s="725" t="s">
        <v>2989</v>
      </c>
      <c r="D231" s="725" t="s">
        <v>3435</v>
      </c>
      <c r="E231" s="725" t="s">
        <v>3436</v>
      </c>
      <c r="F231" s="728">
        <v>5</v>
      </c>
      <c r="G231" s="728">
        <v>22395</v>
      </c>
      <c r="H231" s="728">
        <v>0.81306273598605872</v>
      </c>
      <c r="I231" s="728">
        <v>4479</v>
      </c>
      <c r="J231" s="728">
        <v>6</v>
      </c>
      <c r="K231" s="728">
        <v>27544</v>
      </c>
      <c r="L231" s="728">
        <v>1</v>
      </c>
      <c r="M231" s="728">
        <v>4590.666666666667</v>
      </c>
      <c r="N231" s="728">
        <v>3</v>
      </c>
      <c r="O231" s="728">
        <v>13851</v>
      </c>
      <c r="P231" s="741">
        <v>0.50286813825152488</v>
      </c>
      <c r="Q231" s="729">
        <v>4617</v>
      </c>
    </row>
    <row r="232" spans="1:17" ht="14.4" customHeight="1" x14ac:dyDescent="0.3">
      <c r="A232" s="724" t="s">
        <v>552</v>
      </c>
      <c r="B232" s="725" t="s">
        <v>3080</v>
      </c>
      <c r="C232" s="725" t="s">
        <v>2989</v>
      </c>
      <c r="D232" s="725" t="s">
        <v>3437</v>
      </c>
      <c r="E232" s="725" t="s">
        <v>3438</v>
      </c>
      <c r="F232" s="728">
        <v>1</v>
      </c>
      <c r="G232" s="728">
        <v>6799</v>
      </c>
      <c r="H232" s="728"/>
      <c r="I232" s="728">
        <v>6799</v>
      </c>
      <c r="J232" s="728"/>
      <c r="K232" s="728"/>
      <c r="L232" s="728"/>
      <c r="M232" s="728"/>
      <c r="N232" s="728"/>
      <c r="O232" s="728"/>
      <c r="P232" s="741"/>
      <c r="Q232" s="729"/>
    </row>
    <row r="233" spans="1:17" ht="14.4" customHeight="1" x14ac:dyDescent="0.3">
      <c r="A233" s="724" t="s">
        <v>552</v>
      </c>
      <c r="B233" s="725" t="s">
        <v>3080</v>
      </c>
      <c r="C233" s="725" t="s">
        <v>2989</v>
      </c>
      <c r="D233" s="725" t="s">
        <v>3439</v>
      </c>
      <c r="E233" s="725" t="s">
        <v>3440</v>
      </c>
      <c r="F233" s="728"/>
      <c r="G233" s="728"/>
      <c r="H233" s="728"/>
      <c r="I233" s="728"/>
      <c r="J233" s="728">
        <v>2</v>
      </c>
      <c r="K233" s="728">
        <v>3558</v>
      </c>
      <c r="L233" s="728">
        <v>1</v>
      </c>
      <c r="M233" s="728">
        <v>1779</v>
      </c>
      <c r="N233" s="728">
        <v>1</v>
      </c>
      <c r="O233" s="728">
        <v>1779</v>
      </c>
      <c r="P233" s="741">
        <v>0.5</v>
      </c>
      <c r="Q233" s="729">
        <v>1779</v>
      </c>
    </row>
    <row r="234" spans="1:17" ht="14.4" customHeight="1" x14ac:dyDescent="0.3">
      <c r="A234" s="724" t="s">
        <v>552</v>
      </c>
      <c r="B234" s="725" t="s">
        <v>3080</v>
      </c>
      <c r="C234" s="725" t="s">
        <v>2989</v>
      </c>
      <c r="D234" s="725" t="s">
        <v>3441</v>
      </c>
      <c r="E234" s="725" t="s">
        <v>3442</v>
      </c>
      <c r="F234" s="728">
        <v>3</v>
      </c>
      <c r="G234" s="728">
        <v>42450</v>
      </c>
      <c r="H234" s="728"/>
      <c r="I234" s="728">
        <v>14150</v>
      </c>
      <c r="J234" s="728"/>
      <c r="K234" s="728"/>
      <c r="L234" s="728"/>
      <c r="M234" s="728"/>
      <c r="N234" s="728">
        <v>1</v>
      </c>
      <c r="O234" s="728">
        <v>14673</v>
      </c>
      <c r="P234" s="741"/>
      <c r="Q234" s="729">
        <v>14673</v>
      </c>
    </row>
    <row r="235" spans="1:17" ht="14.4" customHeight="1" x14ac:dyDescent="0.3">
      <c r="A235" s="724" t="s">
        <v>552</v>
      </c>
      <c r="B235" s="725" t="s">
        <v>3080</v>
      </c>
      <c r="C235" s="725" t="s">
        <v>2989</v>
      </c>
      <c r="D235" s="725" t="s">
        <v>3443</v>
      </c>
      <c r="E235" s="725" t="s">
        <v>3444</v>
      </c>
      <c r="F235" s="728">
        <v>3</v>
      </c>
      <c r="G235" s="728">
        <v>15915</v>
      </c>
      <c r="H235" s="728"/>
      <c r="I235" s="728">
        <v>5305</v>
      </c>
      <c r="J235" s="728"/>
      <c r="K235" s="728"/>
      <c r="L235" s="728"/>
      <c r="M235" s="728"/>
      <c r="N235" s="728">
        <v>1</v>
      </c>
      <c r="O235" s="728">
        <v>5528</v>
      </c>
      <c r="P235" s="741"/>
      <c r="Q235" s="729">
        <v>5528</v>
      </c>
    </row>
    <row r="236" spans="1:17" ht="14.4" customHeight="1" x14ac:dyDescent="0.3">
      <c r="A236" s="724" t="s">
        <v>552</v>
      </c>
      <c r="B236" s="725" t="s">
        <v>3080</v>
      </c>
      <c r="C236" s="725" t="s">
        <v>2989</v>
      </c>
      <c r="D236" s="725" t="s">
        <v>3445</v>
      </c>
      <c r="E236" s="725" t="s">
        <v>3446</v>
      </c>
      <c r="F236" s="728"/>
      <c r="G236" s="728"/>
      <c r="H236" s="728"/>
      <c r="I236" s="728"/>
      <c r="J236" s="728">
        <v>31</v>
      </c>
      <c r="K236" s="728">
        <v>3472</v>
      </c>
      <c r="L236" s="728">
        <v>1</v>
      </c>
      <c r="M236" s="728">
        <v>112</v>
      </c>
      <c r="N236" s="728">
        <v>55</v>
      </c>
      <c r="O236" s="728">
        <v>6160</v>
      </c>
      <c r="P236" s="741">
        <v>1.7741935483870968</v>
      </c>
      <c r="Q236" s="729">
        <v>112</v>
      </c>
    </row>
    <row r="237" spans="1:17" ht="14.4" customHeight="1" x14ac:dyDescent="0.3">
      <c r="A237" s="724" t="s">
        <v>552</v>
      </c>
      <c r="B237" s="725" t="s">
        <v>3080</v>
      </c>
      <c r="C237" s="725" t="s">
        <v>2989</v>
      </c>
      <c r="D237" s="725" t="s">
        <v>3447</v>
      </c>
      <c r="E237" s="725" t="s">
        <v>3442</v>
      </c>
      <c r="F237" s="728">
        <v>1</v>
      </c>
      <c r="G237" s="728">
        <v>14381</v>
      </c>
      <c r="H237" s="728"/>
      <c r="I237" s="728">
        <v>14381</v>
      </c>
      <c r="J237" s="728"/>
      <c r="K237" s="728"/>
      <c r="L237" s="728"/>
      <c r="M237" s="728"/>
      <c r="N237" s="728"/>
      <c r="O237" s="728"/>
      <c r="P237" s="741"/>
      <c r="Q237" s="729"/>
    </row>
    <row r="238" spans="1:17" ht="14.4" customHeight="1" x14ac:dyDescent="0.3">
      <c r="A238" s="724" t="s">
        <v>552</v>
      </c>
      <c r="B238" s="725" t="s">
        <v>3080</v>
      </c>
      <c r="C238" s="725" t="s">
        <v>2989</v>
      </c>
      <c r="D238" s="725" t="s">
        <v>3448</v>
      </c>
      <c r="E238" s="725" t="s">
        <v>3449</v>
      </c>
      <c r="F238" s="728">
        <v>1</v>
      </c>
      <c r="G238" s="728">
        <v>23902</v>
      </c>
      <c r="H238" s="728"/>
      <c r="I238" s="728">
        <v>23902</v>
      </c>
      <c r="J238" s="728"/>
      <c r="K238" s="728"/>
      <c r="L238" s="728"/>
      <c r="M238" s="728"/>
      <c r="N238" s="728"/>
      <c r="O238" s="728"/>
      <c r="P238" s="741"/>
      <c r="Q238" s="729"/>
    </row>
    <row r="239" spans="1:17" ht="14.4" customHeight="1" x14ac:dyDescent="0.3">
      <c r="A239" s="724" t="s">
        <v>552</v>
      </c>
      <c r="B239" s="725" t="s">
        <v>3080</v>
      </c>
      <c r="C239" s="725" t="s">
        <v>2989</v>
      </c>
      <c r="D239" s="725" t="s">
        <v>3450</v>
      </c>
      <c r="E239" s="725" t="s">
        <v>3451</v>
      </c>
      <c r="F239" s="728"/>
      <c r="G239" s="728"/>
      <c r="H239" s="728"/>
      <c r="I239" s="728"/>
      <c r="J239" s="728"/>
      <c r="K239" s="728"/>
      <c r="L239" s="728"/>
      <c r="M239" s="728"/>
      <c r="N239" s="728">
        <v>1</v>
      </c>
      <c r="O239" s="728">
        <v>3025</v>
      </c>
      <c r="P239" s="741"/>
      <c r="Q239" s="729">
        <v>3025</v>
      </c>
    </row>
    <row r="240" spans="1:17" ht="14.4" customHeight="1" x14ac:dyDescent="0.3">
      <c r="A240" s="724" t="s">
        <v>552</v>
      </c>
      <c r="B240" s="725" t="s">
        <v>3452</v>
      </c>
      <c r="C240" s="725" t="s">
        <v>2983</v>
      </c>
      <c r="D240" s="725" t="s">
        <v>3081</v>
      </c>
      <c r="E240" s="725" t="s">
        <v>2078</v>
      </c>
      <c r="F240" s="728">
        <v>58</v>
      </c>
      <c r="G240" s="728">
        <v>6544.14</v>
      </c>
      <c r="H240" s="728">
        <v>76.557557323350494</v>
      </c>
      <c r="I240" s="728">
        <v>112.83000000000001</v>
      </c>
      <c r="J240" s="728">
        <v>1</v>
      </c>
      <c r="K240" s="728">
        <v>85.48</v>
      </c>
      <c r="L240" s="728">
        <v>1</v>
      </c>
      <c r="M240" s="728">
        <v>85.48</v>
      </c>
      <c r="N240" s="728">
        <v>18</v>
      </c>
      <c r="O240" s="728">
        <v>1441.44</v>
      </c>
      <c r="P240" s="741">
        <v>16.862891904539072</v>
      </c>
      <c r="Q240" s="729">
        <v>80.08</v>
      </c>
    </row>
    <row r="241" spans="1:17" ht="14.4" customHeight="1" x14ac:dyDescent="0.3">
      <c r="A241" s="724" t="s">
        <v>552</v>
      </c>
      <c r="B241" s="725" t="s">
        <v>3452</v>
      </c>
      <c r="C241" s="725" t="s">
        <v>2983</v>
      </c>
      <c r="D241" s="725" t="s">
        <v>3082</v>
      </c>
      <c r="E241" s="725" t="s">
        <v>2078</v>
      </c>
      <c r="F241" s="728"/>
      <c r="G241" s="728"/>
      <c r="H241" s="728"/>
      <c r="I241" s="728"/>
      <c r="J241" s="728"/>
      <c r="K241" s="728"/>
      <c r="L241" s="728"/>
      <c r="M241" s="728"/>
      <c r="N241" s="728">
        <v>17</v>
      </c>
      <c r="O241" s="728">
        <v>1294.21</v>
      </c>
      <c r="P241" s="741"/>
      <c r="Q241" s="729">
        <v>76.13</v>
      </c>
    </row>
    <row r="242" spans="1:17" ht="14.4" customHeight="1" x14ac:dyDescent="0.3">
      <c r="A242" s="724" t="s">
        <v>552</v>
      </c>
      <c r="B242" s="725" t="s">
        <v>3452</v>
      </c>
      <c r="C242" s="725" t="s">
        <v>2983</v>
      </c>
      <c r="D242" s="725" t="s">
        <v>3083</v>
      </c>
      <c r="E242" s="725" t="s">
        <v>3084</v>
      </c>
      <c r="F242" s="728"/>
      <c r="G242" s="728"/>
      <c r="H242" s="728"/>
      <c r="I242" s="728"/>
      <c r="J242" s="728">
        <v>3.1</v>
      </c>
      <c r="K242" s="728">
        <v>1367.87</v>
      </c>
      <c r="L242" s="728">
        <v>1</v>
      </c>
      <c r="M242" s="728">
        <v>441.24838709677414</v>
      </c>
      <c r="N242" s="728">
        <v>0.3</v>
      </c>
      <c r="O242" s="728">
        <v>132.37</v>
      </c>
      <c r="P242" s="741">
        <v>9.6770891970728218E-2</v>
      </c>
      <c r="Q242" s="729">
        <v>441.23333333333335</v>
      </c>
    </row>
    <row r="243" spans="1:17" ht="14.4" customHeight="1" x14ac:dyDescent="0.3">
      <c r="A243" s="724" t="s">
        <v>552</v>
      </c>
      <c r="B243" s="725" t="s">
        <v>3452</v>
      </c>
      <c r="C243" s="725" t="s">
        <v>2983</v>
      </c>
      <c r="D243" s="725" t="s">
        <v>3453</v>
      </c>
      <c r="E243" s="725" t="s">
        <v>3454</v>
      </c>
      <c r="F243" s="728"/>
      <c r="G243" s="728"/>
      <c r="H243" s="728"/>
      <c r="I243" s="728"/>
      <c r="J243" s="728">
        <v>10</v>
      </c>
      <c r="K243" s="728">
        <v>804.3</v>
      </c>
      <c r="L243" s="728">
        <v>1</v>
      </c>
      <c r="M243" s="728">
        <v>80.429999999999993</v>
      </c>
      <c r="N243" s="728"/>
      <c r="O243" s="728"/>
      <c r="P243" s="741"/>
      <c r="Q243" s="729"/>
    </row>
    <row r="244" spans="1:17" ht="14.4" customHeight="1" x14ac:dyDescent="0.3">
      <c r="A244" s="724" t="s">
        <v>552</v>
      </c>
      <c r="B244" s="725" t="s">
        <v>3452</v>
      </c>
      <c r="C244" s="725" t="s">
        <v>2983</v>
      </c>
      <c r="D244" s="725" t="s">
        <v>3085</v>
      </c>
      <c r="E244" s="725" t="s">
        <v>1066</v>
      </c>
      <c r="F244" s="728">
        <v>49</v>
      </c>
      <c r="G244" s="728">
        <v>2861.6</v>
      </c>
      <c r="H244" s="728">
        <v>0.46666666666666667</v>
      </c>
      <c r="I244" s="728">
        <v>58.4</v>
      </c>
      <c r="J244" s="728">
        <v>105</v>
      </c>
      <c r="K244" s="728">
        <v>6132</v>
      </c>
      <c r="L244" s="728">
        <v>1</v>
      </c>
      <c r="M244" s="728">
        <v>58.4</v>
      </c>
      <c r="N244" s="728">
        <v>50</v>
      </c>
      <c r="O244" s="728">
        <v>2920</v>
      </c>
      <c r="P244" s="741">
        <v>0.47619047619047616</v>
      </c>
      <c r="Q244" s="729">
        <v>58.4</v>
      </c>
    </row>
    <row r="245" spans="1:17" ht="14.4" customHeight="1" x14ac:dyDescent="0.3">
      <c r="A245" s="724" t="s">
        <v>552</v>
      </c>
      <c r="B245" s="725" t="s">
        <v>3452</v>
      </c>
      <c r="C245" s="725" t="s">
        <v>2983</v>
      </c>
      <c r="D245" s="725" t="s">
        <v>3455</v>
      </c>
      <c r="E245" s="725" t="s">
        <v>3456</v>
      </c>
      <c r="F245" s="728"/>
      <c r="G245" s="728"/>
      <c r="H245" s="728"/>
      <c r="I245" s="728"/>
      <c r="J245" s="728">
        <v>23.65</v>
      </c>
      <c r="K245" s="728">
        <v>16372.54</v>
      </c>
      <c r="L245" s="728">
        <v>1</v>
      </c>
      <c r="M245" s="728">
        <v>692.28498942917554</v>
      </c>
      <c r="N245" s="728">
        <v>136</v>
      </c>
      <c r="O245" s="728">
        <v>94151.150000000009</v>
      </c>
      <c r="P245" s="741">
        <v>5.7505524494061397</v>
      </c>
      <c r="Q245" s="729">
        <v>692.28786764705887</v>
      </c>
    </row>
    <row r="246" spans="1:17" ht="14.4" customHeight="1" x14ac:dyDescent="0.3">
      <c r="A246" s="724" t="s">
        <v>552</v>
      </c>
      <c r="B246" s="725" t="s">
        <v>3452</v>
      </c>
      <c r="C246" s="725" t="s">
        <v>2983</v>
      </c>
      <c r="D246" s="725" t="s">
        <v>3457</v>
      </c>
      <c r="E246" s="725" t="s">
        <v>1837</v>
      </c>
      <c r="F246" s="728"/>
      <c r="G246" s="728"/>
      <c r="H246" s="728"/>
      <c r="I246" s="728"/>
      <c r="J246" s="728">
        <v>1.7</v>
      </c>
      <c r="K246" s="728">
        <v>20422.78</v>
      </c>
      <c r="L246" s="728">
        <v>1</v>
      </c>
      <c r="M246" s="728">
        <v>12013.4</v>
      </c>
      <c r="N246" s="728">
        <v>6.8</v>
      </c>
      <c r="O246" s="728">
        <v>81691.12</v>
      </c>
      <c r="P246" s="741">
        <v>4</v>
      </c>
      <c r="Q246" s="729">
        <v>12013.4</v>
      </c>
    </row>
    <row r="247" spans="1:17" ht="14.4" customHeight="1" x14ac:dyDescent="0.3">
      <c r="A247" s="724" t="s">
        <v>552</v>
      </c>
      <c r="B247" s="725" t="s">
        <v>3452</v>
      </c>
      <c r="C247" s="725" t="s">
        <v>2983</v>
      </c>
      <c r="D247" s="725" t="s">
        <v>3458</v>
      </c>
      <c r="E247" s="725" t="s">
        <v>1357</v>
      </c>
      <c r="F247" s="728">
        <v>54.1</v>
      </c>
      <c r="G247" s="728">
        <v>8417.39</v>
      </c>
      <c r="H247" s="728">
        <v>0.36355237749301716</v>
      </c>
      <c r="I247" s="728">
        <v>155.58946395563768</v>
      </c>
      <c r="J247" s="728">
        <v>148.81</v>
      </c>
      <c r="K247" s="728">
        <v>23153.17</v>
      </c>
      <c r="L247" s="728">
        <v>1</v>
      </c>
      <c r="M247" s="728">
        <v>155.58880451582553</v>
      </c>
      <c r="N247" s="728">
        <v>43.3</v>
      </c>
      <c r="O247" s="728">
        <v>6736.9699999999993</v>
      </c>
      <c r="P247" s="741">
        <v>0.2909739789411126</v>
      </c>
      <c r="Q247" s="729">
        <v>155.58822170900692</v>
      </c>
    </row>
    <row r="248" spans="1:17" ht="14.4" customHeight="1" x14ac:dyDescent="0.3">
      <c r="A248" s="724" t="s">
        <v>552</v>
      </c>
      <c r="B248" s="725" t="s">
        <v>3452</v>
      </c>
      <c r="C248" s="725" t="s">
        <v>2983</v>
      </c>
      <c r="D248" s="725" t="s">
        <v>3459</v>
      </c>
      <c r="E248" s="725" t="s">
        <v>3460</v>
      </c>
      <c r="F248" s="728">
        <v>72</v>
      </c>
      <c r="G248" s="728">
        <v>2779.92</v>
      </c>
      <c r="H248" s="728"/>
      <c r="I248" s="728">
        <v>38.61</v>
      </c>
      <c r="J248" s="728"/>
      <c r="K248" s="728"/>
      <c r="L248" s="728"/>
      <c r="M248" s="728"/>
      <c r="N248" s="728"/>
      <c r="O248" s="728"/>
      <c r="P248" s="741"/>
      <c r="Q248" s="729"/>
    </row>
    <row r="249" spans="1:17" ht="14.4" customHeight="1" x14ac:dyDescent="0.3">
      <c r="A249" s="724" t="s">
        <v>552</v>
      </c>
      <c r="B249" s="725" t="s">
        <v>3452</v>
      </c>
      <c r="C249" s="725" t="s">
        <v>2983</v>
      </c>
      <c r="D249" s="725" t="s">
        <v>3086</v>
      </c>
      <c r="E249" s="725" t="s">
        <v>3087</v>
      </c>
      <c r="F249" s="728">
        <v>17</v>
      </c>
      <c r="G249" s="728">
        <v>772.31000000000006</v>
      </c>
      <c r="H249" s="728">
        <v>18.010960820895523</v>
      </c>
      <c r="I249" s="728">
        <v>45.430000000000007</v>
      </c>
      <c r="J249" s="728">
        <v>1</v>
      </c>
      <c r="K249" s="728">
        <v>42.88</v>
      </c>
      <c r="L249" s="728">
        <v>1</v>
      </c>
      <c r="M249" s="728">
        <v>42.88</v>
      </c>
      <c r="N249" s="728">
        <v>2</v>
      </c>
      <c r="O249" s="728">
        <v>85.76</v>
      </c>
      <c r="P249" s="741">
        <v>2</v>
      </c>
      <c r="Q249" s="729">
        <v>42.88</v>
      </c>
    </row>
    <row r="250" spans="1:17" ht="14.4" customHeight="1" x14ac:dyDescent="0.3">
      <c r="A250" s="724" t="s">
        <v>552</v>
      </c>
      <c r="B250" s="725" t="s">
        <v>3452</v>
      </c>
      <c r="C250" s="725" t="s">
        <v>2983</v>
      </c>
      <c r="D250" s="725" t="s">
        <v>3088</v>
      </c>
      <c r="E250" s="725" t="s">
        <v>3089</v>
      </c>
      <c r="F250" s="728"/>
      <c r="G250" s="728"/>
      <c r="H250" s="728"/>
      <c r="I250" s="728"/>
      <c r="J250" s="728">
        <v>43</v>
      </c>
      <c r="K250" s="728">
        <v>3320.46</v>
      </c>
      <c r="L250" s="728">
        <v>1</v>
      </c>
      <c r="M250" s="728">
        <v>77.22</v>
      </c>
      <c r="N250" s="728">
        <v>14</v>
      </c>
      <c r="O250" s="728">
        <v>1081.08</v>
      </c>
      <c r="P250" s="741">
        <v>0.32558139534883718</v>
      </c>
      <c r="Q250" s="729">
        <v>77.22</v>
      </c>
    </row>
    <row r="251" spans="1:17" ht="14.4" customHeight="1" x14ac:dyDescent="0.3">
      <c r="A251" s="724" t="s">
        <v>552</v>
      </c>
      <c r="B251" s="725" t="s">
        <v>3452</v>
      </c>
      <c r="C251" s="725" t="s">
        <v>2983</v>
      </c>
      <c r="D251" s="725" t="s">
        <v>3090</v>
      </c>
      <c r="E251" s="725" t="s">
        <v>3091</v>
      </c>
      <c r="F251" s="728">
        <v>28</v>
      </c>
      <c r="G251" s="728">
        <v>10171</v>
      </c>
      <c r="H251" s="728">
        <v>0.69062921203355709</v>
      </c>
      <c r="I251" s="728">
        <v>363.25</v>
      </c>
      <c r="J251" s="728">
        <v>54.199999999999996</v>
      </c>
      <c r="K251" s="728">
        <v>14727.15</v>
      </c>
      <c r="L251" s="728">
        <v>1</v>
      </c>
      <c r="M251" s="728">
        <v>271.71863468634689</v>
      </c>
      <c r="N251" s="728">
        <v>51.300000000000004</v>
      </c>
      <c r="O251" s="728">
        <v>13939.380000000001</v>
      </c>
      <c r="P251" s="741">
        <v>0.94650899868610028</v>
      </c>
      <c r="Q251" s="729">
        <v>271.72280701754386</v>
      </c>
    </row>
    <row r="252" spans="1:17" ht="14.4" customHeight="1" x14ac:dyDescent="0.3">
      <c r="A252" s="724" t="s">
        <v>552</v>
      </c>
      <c r="B252" s="725" t="s">
        <v>3452</v>
      </c>
      <c r="C252" s="725" t="s">
        <v>2983</v>
      </c>
      <c r="D252" s="725" t="s">
        <v>3092</v>
      </c>
      <c r="E252" s="725" t="s">
        <v>3093</v>
      </c>
      <c r="F252" s="728">
        <v>48</v>
      </c>
      <c r="G252" s="728">
        <v>2576.9700000000003</v>
      </c>
      <c r="H252" s="728"/>
      <c r="I252" s="728">
        <v>53.686875000000008</v>
      </c>
      <c r="J252" s="728"/>
      <c r="K252" s="728"/>
      <c r="L252" s="728"/>
      <c r="M252" s="728"/>
      <c r="N252" s="728"/>
      <c r="O252" s="728"/>
      <c r="P252" s="741"/>
      <c r="Q252" s="729"/>
    </row>
    <row r="253" spans="1:17" ht="14.4" customHeight="1" x14ac:dyDescent="0.3">
      <c r="A253" s="724" t="s">
        <v>552</v>
      </c>
      <c r="B253" s="725" t="s">
        <v>3452</v>
      </c>
      <c r="C253" s="725" t="s">
        <v>2983</v>
      </c>
      <c r="D253" s="725" t="s">
        <v>3461</v>
      </c>
      <c r="E253" s="725" t="s">
        <v>1059</v>
      </c>
      <c r="F253" s="728">
        <v>8</v>
      </c>
      <c r="G253" s="728">
        <v>526</v>
      </c>
      <c r="H253" s="728"/>
      <c r="I253" s="728">
        <v>65.75</v>
      </c>
      <c r="J253" s="728"/>
      <c r="K253" s="728"/>
      <c r="L253" s="728"/>
      <c r="M253" s="728"/>
      <c r="N253" s="728"/>
      <c r="O253" s="728"/>
      <c r="P253" s="741"/>
      <c r="Q253" s="729"/>
    </row>
    <row r="254" spans="1:17" ht="14.4" customHeight="1" x14ac:dyDescent="0.3">
      <c r="A254" s="724" t="s">
        <v>552</v>
      </c>
      <c r="B254" s="725" t="s">
        <v>3452</v>
      </c>
      <c r="C254" s="725" t="s">
        <v>2983</v>
      </c>
      <c r="D254" s="725" t="s">
        <v>3462</v>
      </c>
      <c r="E254" s="725" t="s">
        <v>3463</v>
      </c>
      <c r="F254" s="728">
        <v>0.5</v>
      </c>
      <c r="G254" s="728">
        <v>1877.6</v>
      </c>
      <c r="H254" s="728"/>
      <c r="I254" s="728">
        <v>3755.2</v>
      </c>
      <c r="J254" s="728"/>
      <c r="K254" s="728"/>
      <c r="L254" s="728"/>
      <c r="M254" s="728"/>
      <c r="N254" s="728">
        <v>3.3</v>
      </c>
      <c r="O254" s="728">
        <v>10770.32</v>
      </c>
      <c r="P254" s="741"/>
      <c r="Q254" s="729">
        <v>3263.7333333333336</v>
      </c>
    </row>
    <row r="255" spans="1:17" ht="14.4" customHeight="1" x14ac:dyDescent="0.3">
      <c r="A255" s="724" t="s">
        <v>552</v>
      </c>
      <c r="B255" s="725" t="s">
        <v>3452</v>
      </c>
      <c r="C255" s="725" t="s">
        <v>2983</v>
      </c>
      <c r="D255" s="725" t="s">
        <v>3464</v>
      </c>
      <c r="E255" s="725" t="s">
        <v>3465</v>
      </c>
      <c r="F255" s="728"/>
      <c r="G255" s="728"/>
      <c r="H255" s="728"/>
      <c r="I255" s="728"/>
      <c r="J255" s="728">
        <v>24</v>
      </c>
      <c r="K255" s="728">
        <v>5260.8</v>
      </c>
      <c r="L255" s="728">
        <v>1</v>
      </c>
      <c r="M255" s="728">
        <v>219.20000000000002</v>
      </c>
      <c r="N255" s="728">
        <v>16</v>
      </c>
      <c r="O255" s="728">
        <v>3507.2</v>
      </c>
      <c r="P255" s="741">
        <v>0.66666666666666663</v>
      </c>
      <c r="Q255" s="729">
        <v>219.2</v>
      </c>
    </row>
    <row r="256" spans="1:17" ht="14.4" customHeight="1" x14ac:dyDescent="0.3">
      <c r="A256" s="724" t="s">
        <v>552</v>
      </c>
      <c r="B256" s="725" t="s">
        <v>3452</v>
      </c>
      <c r="C256" s="725" t="s">
        <v>2983</v>
      </c>
      <c r="D256" s="725" t="s">
        <v>3094</v>
      </c>
      <c r="E256" s="725" t="s">
        <v>1840</v>
      </c>
      <c r="F256" s="728">
        <v>340</v>
      </c>
      <c r="G256" s="728">
        <v>22355</v>
      </c>
      <c r="H256" s="728">
        <v>4</v>
      </c>
      <c r="I256" s="728">
        <v>65.75</v>
      </c>
      <c r="J256" s="728">
        <v>85</v>
      </c>
      <c r="K256" s="728">
        <v>5588.75</v>
      </c>
      <c r="L256" s="728">
        <v>1</v>
      </c>
      <c r="M256" s="728">
        <v>65.75</v>
      </c>
      <c r="N256" s="728">
        <v>91</v>
      </c>
      <c r="O256" s="728">
        <v>5805.59</v>
      </c>
      <c r="P256" s="741">
        <v>1.0387993737418921</v>
      </c>
      <c r="Q256" s="729">
        <v>63.797692307692309</v>
      </c>
    </row>
    <row r="257" spans="1:17" ht="14.4" customHeight="1" x14ac:dyDescent="0.3">
      <c r="A257" s="724" t="s">
        <v>552</v>
      </c>
      <c r="B257" s="725" t="s">
        <v>3452</v>
      </c>
      <c r="C257" s="725" t="s">
        <v>2983</v>
      </c>
      <c r="D257" s="725" t="s">
        <v>3095</v>
      </c>
      <c r="E257" s="725" t="s">
        <v>3096</v>
      </c>
      <c r="F257" s="728">
        <v>7.5</v>
      </c>
      <c r="G257" s="728">
        <v>347.75</v>
      </c>
      <c r="H257" s="728">
        <v>18.756742179072276</v>
      </c>
      <c r="I257" s="728">
        <v>46.366666666666667</v>
      </c>
      <c r="J257" s="728">
        <v>0.4</v>
      </c>
      <c r="K257" s="728">
        <v>18.54</v>
      </c>
      <c r="L257" s="728">
        <v>1</v>
      </c>
      <c r="M257" s="728">
        <v>46.349999999999994</v>
      </c>
      <c r="N257" s="728"/>
      <c r="O257" s="728"/>
      <c r="P257" s="741"/>
      <c r="Q257" s="729"/>
    </row>
    <row r="258" spans="1:17" ht="14.4" customHeight="1" x14ac:dyDescent="0.3">
      <c r="A258" s="724" t="s">
        <v>552</v>
      </c>
      <c r="B258" s="725" t="s">
        <v>3452</v>
      </c>
      <c r="C258" s="725" t="s">
        <v>2983</v>
      </c>
      <c r="D258" s="725" t="s">
        <v>3097</v>
      </c>
      <c r="E258" s="725" t="s">
        <v>1062</v>
      </c>
      <c r="F258" s="728">
        <v>7.9</v>
      </c>
      <c r="G258" s="728">
        <v>732.58999999999992</v>
      </c>
      <c r="H258" s="728">
        <v>0.66404706223599996</v>
      </c>
      <c r="I258" s="728">
        <v>92.732911392405043</v>
      </c>
      <c r="J258" s="728">
        <v>14</v>
      </c>
      <c r="K258" s="728">
        <v>1103.22</v>
      </c>
      <c r="L258" s="728">
        <v>1</v>
      </c>
      <c r="M258" s="728">
        <v>78.801428571428573</v>
      </c>
      <c r="N258" s="728">
        <v>21.2</v>
      </c>
      <c r="O258" s="728">
        <v>1670.6599999999999</v>
      </c>
      <c r="P258" s="741">
        <v>1.514348905929914</v>
      </c>
      <c r="Q258" s="729">
        <v>78.804716981132074</v>
      </c>
    </row>
    <row r="259" spans="1:17" ht="14.4" customHeight="1" x14ac:dyDescent="0.3">
      <c r="A259" s="724" t="s">
        <v>552</v>
      </c>
      <c r="B259" s="725" t="s">
        <v>3452</v>
      </c>
      <c r="C259" s="725" t="s">
        <v>2983</v>
      </c>
      <c r="D259" s="725" t="s">
        <v>3098</v>
      </c>
      <c r="E259" s="725" t="s">
        <v>1799</v>
      </c>
      <c r="F259" s="728">
        <v>17</v>
      </c>
      <c r="G259" s="728">
        <v>1147.8499999999999</v>
      </c>
      <c r="H259" s="728">
        <v>0.45452205591193479</v>
      </c>
      <c r="I259" s="728">
        <v>67.520588235294113</v>
      </c>
      <c r="J259" s="728">
        <v>36</v>
      </c>
      <c r="K259" s="728">
        <v>2525.3999999999996</v>
      </c>
      <c r="L259" s="728">
        <v>1</v>
      </c>
      <c r="M259" s="728">
        <v>70.149999999999991</v>
      </c>
      <c r="N259" s="728">
        <v>85</v>
      </c>
      <c r="O259" s="728">
        <v>5728.57</v>
      </c>
      <c r="P259" s="741">
        <v>2.2683812465352027</v>
      </c>
      <c r="Q259" s="729">
        <v>67.394941176470581</v>
      </c>
    </row>
    <row r="260" spans="1:17" ht="14.4" customHeight="1" x14ac:dyDescent="0.3">
      <c r="A260" s="724" t="s">
        <v>552</v>
      </c>
      <c r="B260" s="725" t="s">
        <v>3452</v>
      </c>
      <c r="C260" s="725" t="s">
        <v>2983</v>
      </c>
      <c r="D260" s="725" t="s">
        <v>3466</v>
      </c>
      <c r="E260" s="725" t="s">
        <v>3467</v>
      </c>
      <c r="F260" s="728"/>
      <c r="G260" s="728"/>
      <c r="H260" s="728"/>
      <c r="I260" s="728"/>
      <c r="J260" s="728"/>
      <c r="K260" s="728"/>
      <c r="L260" s="728"/>
      <c r="M260" s="728"/>
      <c r="N260" s="728">
        <v>0.6</v>
      </c>
      <c r="O260" s="728">
        <v>359.88</v>
      </c>
      <c r="P260" s="741"/>
      <c r="Q260" s="729">
        <v>599.80000000000007</v>
      </c>
    </row>
    <row r="261" spans="1:17" ht="14.4" customHeight="1" x14ac:dyDescent="0.3">
      <c r="A261" s="724" t="s">
        <v>552</v>
      </c>
      <c r="B261" s="725" t="s">
        <v>3452</v>
      </c>
      <c r="C261" s="725" t="s">
        <v>2983</v>
      </c>
      <c r="D261" s="725" t="s">
        <v>3468</v>
      </c>
      <c r="E261" s="725" t="s">
        <v>3467</v>
      </c>
      <c r="F261" s="728">
        <v>2.5</v>
      </c>
      <c r="G261" s="728">
        <v>1999.3700000000001</v>
      </c>
      <c r="H261" s="728">
        <v>0.73527875845837021</v>
      </c>
      <c r="I261" s="728">
        <v>799.74800000000005</v>
      </c>
      <c r="J261" s="728">
        <v>3.4</v>
      </c>
      <c r="K261" s="728">
        <v>2719.2</v>
      </c>
      <c r="L261" s="728">
        <v>1</v>
      </c>
      <c r="M261" s="728">
        <v>799.76470588235293</v>
      </c>
      <c r="N261" s="728">
        <v>3.1</v>
      </c>
      <c r="O261" s="728">
        <v>2479.2600000000002</v>
      </c>
      <c r="P261" s="741">
        <v>0.91176081200353054</v>
      </c>
      <c r="Q261" s="729">
        <v>799.76129032258075</v>
      </c>
    </row>
    <row r="262" spans="1:17" ht="14.4" customHeight="1" x14ac:dyDescent="0.3">
      <c r="A262" s="724" t="s">
        <v>552</v>
      </c>
      <c r="B262" s="725" t="s">
        <v>3452</v>
      </c>
      <c r="C262" s="725" t="s">
        <v>2983</v>
      </c>
      <c r="D262" s="725" t="s">
        <v>3469</v>
      </c>
      <c r="E262" s="725" t="s">
        <v>3470</v>
      </c>
      <c r="F262" s="728">
        <v>16</v>
      </c>
      <c r="G262" s="728">
        <v>1479.84</v>
      </c>
      <c r="H262" s="728"/>
      <c r="I262" s="728">
        <v>92.49</v>
      </c>
      <c r="J262" s="728"/>
      <c r="K262" s="728"/>
      <c r="L262" s="728"/>
      <c r="M262" s="728"/>
      <c r="N262" s="728"/>
      <c r="O262" s="728"/>
      <c r="P262" s="741"/>
      <c r="Q262" s="729"/>
    </row>
    <row r="263" spans="1:17" ht="14.4" customHeight="1" x14ac:dyDescent="0.3">
      <c r="A263" s="724" t="s">
        <v>552</v>
      </c>
      <c r="B263" s="725" t="s">
        <v>3452</v>
      </c>
      <c r="C263" s="725" t="s">
        <v>2983</v>
      </c>
      <c r="D263" s="725" t="s">
        <v>3099</v>
      </c>
      <c r="E263" s="725" t="s">
        <v>3100</v>
      </c>
      <c r="F263" s="728">
        <v>7</v>
      </c>
      <c r="G263" s="728">
        <v>2747.91</v>
      </c>
      <c r="H263" s="728">
        <v>1.4922452836336382</v>
      </c>
      <c r="I263" s="728">
        <v>392.55857142857138</v>
      </c>
      <c r="J263" s="728">
        <v>4.6999999999999993</v>
      </c>
      <c r="K263" s="728">
        <v>1841.4600000000003</v>
      </c>
      <c r="L263" s="728">
        <v>1</v>
      </c>
      <c r="M263" s="728">
        <v>391.80000000000013</v>
      </c>
      <c r="N263" s="728">
        <v>3.2</v>
      </c>
      <c r="O263" s="728">
        <v>1253.7600000000002</v>
      </c>
      <c r="P263" s="741">
        <v>0.68085106382978722</v>
      </c>
      <c r="Q263" s="729">
        <v>391.80000000000007</v>
      </c>
    </row>
    <row r="264" spans="1:17" ht="14.4" customHeight="1" x14ac:dyDescent="0.3">
      <c r="A264" s="724" t="s">
        <v>552</v>
      </c>
      <c r="B264" s="725" t="s">
        <v>3452</v>
      </c>
      <c r="C264" s="725" t="s">
        <v>2983</v>
      </c>
      <c r="D264" s="725" t="s">
        <v>3471</v>
      </c>
      <c r="E264" s="725" t="s">
        <v>3102</v>
      </c>
      <c r="F264" s="728"/>
      <c r="G264" s="728"/>
      <c r="H264" s="728"/>
      <c r="I264" s="728"/>
      <c r="J264" s="728"/>
      <c r="K264" s="728"/>
      <c r="L264" s="728"/>
      <c r="M264" s="728"/>
      <c r="N264" s="728">
        <v>3</v>
      </c>
      <c r="O264" s="728">
        <v>328.8</v>
      </c>
      <c r="P264" s="741"/>
      <c r="Q264" s="729">
        <v>109.60000000000001</v>
      </c>
    </row>
    <row r="265" spans="1:17" ht="14.4" customHeight="1" x14ac:dyDescent="0.3">
      <c r="A265" s="724" t="s">
        <v>552</v>
      </c>
      <c r="B265" s="725" t="s">
        <v>3452</v>
      </c>
      <c r="C265" s="725" t="s">
        <v>2983</v>
      </c>
      <c r="D265" s="725" t="s">
        <v>3101</v>
      </c>
      <c r="E265" s="725" t="s">
        <v>3102</v>
      </c>
      <c r="F265" s="728"/>
      <c r="G265" s="728"/>
      <c r="H265" s="728"/>
      <c r="I265" s="728"/>
      <c r="J265" s="728">
        <v>21</v>
      </c>
      <c r="K265" s="728">
        <v>4603.2</v>
      </c>
      <c r="L265" s="728">
        <v>1</v>
      </c>
      <c r="M265" s="728">
        <v>219.2</v>
      </c>
      <c r="N265" s="728">
        <v>3</v>
      </c>
      <c r="O265" s="728">
        <v>657.6</v>
      </c>
      <c r="P265" s="741">
        <v>0.14285714285714288</v>
      </c>
      <c r="Q265" s="729">
        <v>219.20000000000002</v>
      </c>
    </row>
    <row r="266" spans="1:17" ht="14.4" customHeight="1" x14ac:dyDescent="0.3">
      <c r="A266" s="724" t="s">
        <v>552</v>
      </c>
      <c r="B266" s="725" t="s">
        <v>3452</v>
      </c>
      <c r="C266" s="725" t="s">
        <v>2983</v>
      </c>
      <c r="D266" s="725" t="s">
        <v>3472</v>
      </c>
      <c r="E266" s="725" t="s">
        <v>1580</v>
      </c>
      <c r="F266" s="728">
        <v>1.7</v>
      </c>
      <c r="G266" s="728">
        <v>656.32</v>
      </c>
      <c r="H266" s="728"/>
      <c r="I266" s="728">
        <v>386.07058823529417</v>
      </c>
      <c r="J266" s="728"/>
      <c r="K266" s="728"/>
      <c r="L266" s="728"/>
      <c r="M266" s="728"/>
      <c r="N266" s="728"/>
      <c r="O266" s="728"/>
      <c r="P266" s="741"/>
      <c r="Q266" s="729"/>
    </row>
    <row r="267" spans="1:17" ht="14.4" customHeight="1" x14ac:dyDescent="0.3">
      <c r="A267" s="724" t="s">
        <v>552</v>
      </c>
      <c r="B267" s="725" t="s">
        <v>3452</v>
      </c>
      <c r="C267" s="725" t="s">
        <v>2983</v>
      </c>
      <c r="D267" s="725" t="s">
        <v>3473</v>
      </c>
      <c r="E267" s="725" t="s">
        <v>3474</v>
      </c>
      <c r="F267" s="728"/>
      <c r="G267" s="728"/>
      <c r="H267" s="728"/>
      <c r="I267" s="728"/>
      <c r="J267" s="728">
        <v>0.3</v>
      </c>
      <c r="K267" s="728">
        <v>231.63</v>
      </c>
      <c r="L267" s="728">
        <v>1</v>
      </c>
      <c r="M267" s="728">
        <v>772.1</v>
      </c>
      <c r="N267" s="728"/>
      <c r="O267" s="728"/>
      <c r="P267" s="741"/>
      <c r="Q267" s="729"/>
    </row>
    <row r="268" spans="1:17" ht="14.4" customHeight="1" x14ac:dyDescent="0.3">
      <c r="A268" s="724" t="s">
        <v>552</v>
      </c>
      <c r="B268" s="725" t="s">
        <v>3452</v>
      </c>
      <c r="C268" s="725" t="s">
        <v>2983</v>
      </c>
      <c r="D268" s="725" t="s">
        <v>3103</v>
      </c>
      <c r="E268" s="725" t="s">
        <v>3104</v>
      </c>
      <c r="F268" s="728">
        <v>2.58</v>
      </c>
      <c r="G268" s="728">
        <v>8953.42</v>
      </c>
      <c r="H268" s="728">
        <v>1.5195712203011846</v>
      </c>
      <c r="I268" s="728">
        <v>3470.3178294573645</v>
      </c>
      <c r="J268" s="728">
        <v>2.31</v>
      </c>
      <c r="K268" s="728">
        <v>5892.07</v>
      </c>
      <c r="L268" s="728">
        <v>1</v>
      </c>
      <c r="M268" s="728">
        <v>2550.6796536796537</v>
      </c>
      <c r="N268" s="728"/>
      <c r="O268" s="728"/>
      <c r="P268" s="741"/>
      <c r="Q268" s="729"/>
    </row>
    <row r="269" spans="1:17" ht="14.4" customHeight="1" x14ac:dyDescent="0.3">
      <c r="A269" s="724" t="s">
        <v>552</v>
      </c>
      <c r="B269" s="725" t="s">
        <v>3452</v>
      </c>
      <c r="C269" s="725" t="s">
        <v>2983</v>
      </c>
      <c r="D269" s="725" t="s">
        <v>3105</v>
      </c>
      <c r="E269" s="725" t="s">
        <v>1846</v>
      </c>
      <c r="F269" s="728">
        <v>0.6</v>
      </c>
      <c r="G269" s="728">
        <v>257.22000000000003</v>
      </c>
      <c r="H269" s="728">
        <v>0.21321816689738643</v>
      </c>
      <c r="I269" s="728">
        <v>428.70000000000005</v>
      </c>
      <c r="J269" s="728">
        <v>2.9</v>
      </c>
      <c r="K269" s="728">
        <v>1206.3699999999999</v>
      </c>
      <c r="L269" s="728">
        <v>1</v>
      </c>
      <c r="M269" s="728">
        <v>415.98965517241379</v>
      </c>
      <c r="N269" s="728">
        <v>5.2</v>
      </c>
      <c r="O269" s="728">
        <v>1989.52</v>
      </c>
      <c r="P269" s="741">
        <v>1.6491789417840299</v>
      </c>
      <c r="Q269" s="729">
        <v>382.59999999999997</v>
      </c>
    </row>
    <row r="270" spans="1:17" ht="14.4" customHeight="1" x14ac:dyDescent="0.3">
      <c r="A270" s="724" t="s">
        <v>552</v>
      </c>
      <c r="B270" s="725" t="s">
        <v>3452</v>
      </c>
      <c r="C270" s="725" t="s">
        <v>2983</v>
      </c>
      <c r="D270" s="725" t="s">
        <v>3475</v>
      </c>
      <c r="E270" s="725" t="s">
        <v>3476</v>
      </c>
      <c r="F270" s="728"/>
      <c r="G270" s="728"/>
      <c r="H270" s="728"/>
      <c r="I270" s="728"/>
      <c r="J270" s="728"/>
      <c r="K270" s="728"/>
      <c r="L270" s="728"/>
      <c r="M270" s="728"/>
      <c r="N270" s="728">
        <v>5</v>
      </c>
      <c r="O270" s="728">
        <v>51647.45</v>
      </c>
      <c r="P270" s="741"/>
      <c r="Q270" s="729">
        <v>10329.49</v>
      </c>
    </row>
    <row r="271" spans="1:17" ht="14.4" customHeight="1" x14ac:dyDescent="0.3">
      <c r="A271" s="724" t="s">
        <v>552</v>
      </c>
      <c r="B271" s="725" t="s">
        <v>3452</v>
      </c>
      <c r="C271" s="725" t="s">
        <v>2983</v>
      </c>
      <c r="D271" s="725" t="s">
        <v>3477</v>
      </c>
      <c r="E271" s="725" t="s">
        <v>1846</v>
      </c>
      <c r="F271" s="728"/>
      <c r="G271" s="728"/>
      <c r="H271" s="728"/>
      <c r="I271" s="728"/>
      <c r="J271" s="728">
        <v>5.2</v>
      </c>
      <c r="K271" s="728">
        <v>4459.24</v>
      </c>
      <c r="L271" s="728">
        <v>1</v>
      </c>
      <c r="M271" s="728">
        <v>857.54615384615374</v>
      </c>
      <c r="N271" s="728">
        <v>12.4</v>
      </c>
      <c r="O271" s="728">
        <v>9894.7800000000007</v>
      </c>
      <c r="P271" s="741">
        <v>2.2189386532234194</v>
      </c>
      <c r="Q271" s="729">
        <v>797.9661290322581</v>
      </c>
    </row>
    <row r="272" spans="1:17" ht="14.4" customHeight="1" x14ac:dyDescent="0.3">
      <c r="A272" s="724" t="s">
        <v>552</v>
      </c>
      <c r="B272" s="725" t="s">
        <v>3452</v>
      </c>
      <c r="C272" s="725" t="s">
        <v>2983</v>
      </c>
      <c r="D272" s="725" t="s">
        <v>3478</v>
      </c>
      <c r="E272" s="725" t="s">
        <v>1059</v>
      </c>
      <c r="F272" s="728"/>
      <c r="G272" s="728"/>
      <c r="H272" s="728"/>
      <c r="I272" s="728"/>
      <c r="J272" s="728">
        <v>171</v>
      </c>
      <c r="K272" s="728">
        <v>11243.25</v>
      </c>
      <c r="L272" s="728">
        <v>1</v>
      </c>
      <c r="M272" s="728">
        <v>65.75</v>
      </c>
      <c r="N272" s="728"/>
      <c r="O272" s="728"/>
      <c r="P272" s="741"/>
      <c r="Q272" s="729"/>
    </row>
    <row r="273" spans="1:17" ht="14.4" customHeight="1" x14ac:dyDescent="0.3">
      <c r="A273" s="724" t="s">
        <v>552</v>
      </c>
      <c r="B273" s="725" t="s">
        <v>3452</v>
      </c>
      <c r="C273" s="725" t="s">
        <v>2983</v>
      </c>
      <c r="D273" s="725" t="s">
        <v>3479</v>
      </c>
      <c r="E273" s="725" t="s">
        <v>1793</v>
      </c>
      <c r="F273" s="728"/>
      <c r="G273" s="728"/>
      <c r="H273" s="728"/>
      <c r="I273" s="728"/>
      <c r="J273" s="728"/>
      <c r="K273" s="728"/>
      <c r="L273" s="728"/>
      <c r="M273" s="728"/>
      <c r="N273" s="728">
        <v>30</v>
      </c>
      <c r="O273" s="728">
        <v>1972.5</v>
      </c>
      <c r="P273" s="741"/>
      <c r="Q273" s="729">
        <v>65.75</v>
      </c>
    </row>
    <row r="274" spans="1:17" ht="14.4" customHeight="1" x14ac:dyDescent="0.3">
      <c r="A274" s="724" t="s">
        <v>552</v>
      </c>
      <c r="B274" s="725" t="s">
        <v>3452</v>
      </c>
      <c r="C274" s="725" t="s">
        <v>2983</v>
      </c>
      <c r="D274" s="725" t="s">
        <v>3480</v>
      </c>
      <c r="E274" s="725" t="s">
        <v>3481</v>
      </c>
      <c r="F274" s="728">
        <v>1.9</v>
      </c>
      <c r="G274" s="728">
        <v>1032.58</v>
      </c>
      <c r="H274" s="728"/>
      <c r="I274" s="728">
        <v>543.46315789473681</v>
      </c>
      <c r="J274" s="728"/>
      <c r="K274" s="728"/>
      <c r="L274" s="728"/>
      <c r="M274" s="728"/>
      <c r="N274" s="728"/>
      <c r="O274" s="728"/>
      <c r="P274" s="741"/>
      <c r="Q274" s="729"/>
    </row>
    <row r="275" spans="1:17" ht="14.4" customHeight="1" x14ac:dyDescent="0.3">
      <c r="A275" s="724" t="s">
        <v>552</v>
      </c>
      <c r="B275" s="725" t="s">
        <v>3452</v>
      </c>
      <c r="C275" s="725" t="s">
        <v>2983</v>
      </c>
      <c r="D275" s="725" t="s">
        <v>3106</v>
      </c>
      <c r="E275" s="725" t="s">
        <v>3107</v>
      </c>
      <c r="F275" s="728"/>
      <c r="G275" s="728"/>
      <c r="H275" s="728"/>
      <c r="I275" s="728"/>
      <c r="J275" s="728">
        <v>0.9</v>
      </c>
      <c r="K275" s="728">
        <v>1913.04</v>
      </c>
      <c r="L275" s="728">
        <v>1</v>
      </c>
      <c r="M275" s="728">
        <v>2125.6</v>
      </c>
      <c r="N275" s="728">
        <v>4.3</v>
      </c>
      <c r="O275" s="728">
        <v>9140.08</v>
      </c>
      <c r="P275" s="741">
        <v>4.7777777777777777</v>
      </c>
      <c r="Q275" s="729">
        <v>2125.6</v>
      </c>
    </row>
    <row r="276" spans="1:17" ht="14.4" customHeight="1" x14ac:dyDescent="0.3">
      <c r="A276" s="724" t="s">
        <v>552</v>
      </c>
      <c r="B276" s="725" t="s">
        <v>3452</v>
      </c>
      <c r="C276" s="725" t="s">
        <v>2983</v>
      </c>
      <c r="D276" s="725" t="s">
        <v>3110</v>
      </c>
      <c r="E276" s="725" t="s">
        <v>3109</v>
      </c>
      <c r="F276" s="728">
        <v>1.8</v>
      </c>
      <c r="G276" s="728">
        <v>2061.08</v>
      </c>
      <c r="H276" s="728">
        <v>1.2857321089929135</v>
      </c>
      <c r="I276" s="728">
        <v>1145.0444444444445</v>
      </c>
      <c r="J276" s="728">
        <v>1.4</v>
      </c>
      <c r="K276" s="728">
        <v>1603.04</v>
      </c>
      <c r="L276" s="728">
        <v>1</v>
      </c>
      <c r="M276" s="728">
        <v>1145.0285714285715</v>
      </c>
      <c r="N276" s="728"/>
      <c r="O276" s="728"/>
      <c r="P276" s="741"/>
      <c r="Q276" s="729"/>
    </row>
    <row r="277" spans="1:17" ht="14.4" customHeight="1" x14ac:dyDescent="0.3">
      <c r="A277" s="724" t="s">
        <v>552</v>
      </c>
      <c r="B277" s="725" t="s">
        <v>3452</v>
      </c>
      <c r="C277" s="725" t="s">
        <v>2983</v>
      </c>
      <c r="D277" s="725" t="s">
        <v>3482</v>
      </c>
      <c r="E277" s="725" t="s">
        <v>3483</v>
      </c>
      <c r="F277" s="728"/>
      <c r="G277" s="728"/>
      <c r="H277" s="728"/>
      <c r="I277" s="728"/>
      <c r="J277" s="728"/>
      <c r="K277" s="728"/>
      <c r="L277" s="728"/>
      <c r="M277" s="728"/>
      <c r="N277" s="728">
        <v>11.8</v>
      </c>
      <c r="O277" s="728">
        <v>25082.080000000002</v>
      </c>
      <c r="P277" s="741"/>
      <c r="Q277" s="729">
        <v>2125.6</v>
      </c>
    </row>
    <row r="278" spans="1:17" ht="14.4" customHeight="1" x14ac:dyDescent="0.3">
      <c r="A278" s="724" t="s">
        <v>552</v>
      </c>
      <c r="B278" s="725" t="s">
        <v>3452</v>
      </c>
      <c r="C278" s="725" t="s">
        <v>2983</v>
      </c>
      <c r="D278" s="725" t="s">
        <v>3484</v>
      </c>
      <c r="E278" s="725" t="s">
        <v>3485</v>
      </c>
      <c r="F278" s="728"/>
      <c r="G278" s="728"/>
      <c r="H278" s="728"/>
      <c r="I278" s="728"/>
      <c r="J278" s="728"/>
      <c r="K278" s="728"/>
      <c r="L278" s="728"/>
      <c r="M278" s="728"/>
      <c r="N278" s="728">
        <v>29</v>
      </c>
      <c r="O278" s="728">
        <v>6164.24</v>
      </c>
      <c r="P278" s="741"/>
      <c r="Q278" s="729">
        <v>212.56</v>
      </c>
    </row>
    <row r="279" spans="1:17" ht="14.4" customHeight="1" x14ac:dyDescent="0.3">
      <c r="A279" s="724" t="s">
        <v>552</v>
      </c>
      <c r="B279" s="725" t="s">
        <v>3452</v>
      </c>
      <c r="C279" s="725" t="s">
        <v>2983</v>
      </c>
      <c r="D279" s="725" t="s">
        <v>3113</v>
      </c>
      <c r="E279" s="725" t="s">
        <v>1843</v>
      </c>
      <c r="F279" s="728"/>
      <c r="G279" s="728"/>
      <c r="H279" s="728"/>
      <c r="I279" s="728"/>
      <c r="J279" s="728"/>
      <c r="K279" s="728"/>
      <c r="L279" s="728"/>
      <c r="M279" s="728"/>
      <c r="N279" s="728">
        <v>5.6</v>
      </c>
      <c r="O279" s="728">
        <v>18276.97</v>
      </c>
      <c r="P279" s="741"/>
      <c r="Q279" s="729">
        <v>3263.7446428571434</v>
      </c>
    </row>
    <row r="280" spans="1:17" ht="14.4" customHeight="1" x14ac:dyDescent="0.3">
      <c r="A280" s="724" t="s">
        <v>552</v>
      </c>
      <c r="B280" s="725" t="s">
        <v>3452</v>
      </c>
      <c r="C280" s="725" t="s">
        <v>3116</v>
      </c>
      <c r="D280" s="725" t="s">
        <v>3486</v>
      </c>
      <c r="E280" s="725" t="s">
        <v>3487</v>
      </c>
      <c r="F280" s="728"/>
      <c r="G280" s="728"/>
      <c r="H280" s="728"/>
      <c r="I280" s="728"/>
      <c r="J280" s="728">
        <v>3</v>
      </c>
      <c r="K280" s="728">
        <v>3913.76</v>
      </c>
      <c r="L280" s="728">
        <v>1</v>
      </c>
      <c r="M280" s="728">
        <v>1304.5866666666668</v>
      </c>
      <c r="N280" s="728"/>
      <c r="O280" s="728"/>
      <c r="P280" s="741"/>
      <c r="Q280" s="729"/>
    </row>
    <row r="281" spans="1:17" ht="14.4" customHeight="1" x14ac:dyDescent="0.3">
      <c r="A281" s="724" t="s">
        <v>552</v>
      </c>
      <c r="B281" s="725" t="s">
        <v>3452</v>
      </c>
      <c r="C281" s="725" t="s">
        <v>3116</v>
      </c>
      <c r="D281" s="725" t="s">
        <v>3117</v>
      </c>
      <c r="E281" s="725" t="s">
        <v>3118</v>
      </c>
      <c r="F281" s="728">
        <v>64</v>
      </c>
      <c r="G281" s="728">
        <v>119397.12</v>
      </c>
      <c r="H281" s="728">
        <v>0.91602565700916538</v>
      </c>
      <c r="I281" s="728">
        <v>1865.58</v>
      </c>
      <c r="J281" s="728">
        <v>65</v>
      </c>
      <c r="K281" s="728">
        <v>130342.55</v>
      </c>
      <c r="L281" s="728">
        <v>1</v>
      </c>
      <c r="M281" s="728">
        <v>2005.27</v>
      </c>
      <c r="N281" s="728">
        <v>46</v>
      </c>
      <c r="O281" s="728">
        <v>98574.92</v>
      </c>
      <c r="P281" s="741">
        <v>0.75627582857631681</v>
      </c>
      <c r="Q281" s="729">
        <v>2142.933043478261</v>
      </c>
    </row>
    <row r="282" spans="1:17" ht="14.4" customHeight="1" x14ac:dyDescent="0.3">
      <c r="A282" s="724" t="s">
        <v>552</v>
      </c>
      <c r="B282" s="725" t="s">
        <v>3452</v>
      </c>
      <c r="C282" s="725" t="s">
        <v>3116</v>
      </c>
      <c r="D282" s="725" t="s">
        <v>3488</v>
      </c>
      <c r="E282" s="725" t="s">
        <v>3489</v>
      </c>
      <c r="F282" s="728">
        <v>3</v>
      </c>
      <c r="G282" s="728">
        <v>8186.13</v>
      </c>
      <c r="H282" s="728">
        <v>3.3264916351401324</v>
      </c>
      <c r="I282" s="728">
        <v>2728.71</v>
      </c>
      <c r="J282" s="728">
        <v>1</v>
      </c>
      <c r="K282" s="728">
        <v>2460.89</v>
      </c>
      <c r="L282" s="728">
        <v>1</v>
      </c>
      <c r="M282" s="728">
        <v>2460.89</v>
      </c>
      <c r="N282" s="728">
        <v>4</v>
      </c>
      <c r="O282" s="728">
        <v>10564.6</v>
      </c>
      <c r="P282" s="741">
        <v>4.2929996871050724</v>
      </c>
      <c r="Q282" s="729">
        <v>2641.15</v>
      </c>
    </row>
    <row r="283" spans="1:17" ht="14.4" customHeight="1" x14ac:dyDescent="0.3">
      <c r="A283" s="724" t="s">
        <v>552</v>
      </c>
      <c r="B283" s="725" t="s">
        <v>3452</v>
      </c>
      <c r="C283" s="725" t="s">
        <v>3116</v>
      </c>
      <c r="D283" s="725" t="s">
        <v>3490</v>
      </c>
      <c r="E283" s="725" t="s">
        <v>3491</v>
      </c>
      <c r="F283" s="728"/>
      <c r="G283" s="728"/>
      <c r="H283" s="728"/>
      <c r="I283" s="728"/>
      <c r="J283" s="728">
        <v>1</v>
      </c>
      <c r="K283" s="728">
        <v>8292.09</v>
      </c>
      <c r="L283" s="728">
        <v>1</v>
      </c>
      <c r="M283" s="728">
        <v>8292.09</v>
      </c>
      <c r="N283" s="728"/>
      <c r="O283" s="728"/>
      <c r="P283" s="741"/>
      <c r="Q283" s="729"/>
    </row>
    <row r="284" spans="1:17" ht="14.4" customHeight="1" x14ac:dyDescent="0.3">
      <c r="A284" s="724" t="s">
        <v>552</v>
      </c>
      <c r="B284" s="725" t="s">
        <v>3452</v>
      </c>
      <c r="C284" s="725" t="s">
        <v>3116</v>
      </c>
      <c r="D284" s="725" t="s">
        <v>3119</v>
      </c>
      <c r="E284" s="725" t="s">
        <v>3120</v>
      </c>
      <c r="F284" s="728">
        <v>1</v>
      </c>
      <c r="G284" s="728">
        <v>9686.1</v>
      </c>
      <c r="H284" s="728"/>
      <c r="I284" s="728">
        <v>9686.1</v>
      </c>
      <c r="J284" s="728"/>
      <c r="K284" s="728"/>
      <c r="L284" s="728"/>
      <c r="M284" s="728"/>
      <c r="N284" s="728">
        <v>1</v>
      </c>
      <c r="O284" s="728">
        <v>10309.15</v>
      </c>
      <c r="P284" s="741"/>
      <c r="Q284" s="729">
        <v>10309.15</v>
      </c>
    </row>
    <row r="285" spans="1:17" ht="14.4" customHeight="1" x14ac:dyDescent="0.3">
      <c r="A285" s="724" t="s">
        <v>552</v>
      </c>
      <c r="B285" s="725" t="s">
        <v>3452</v>
      </c>
      <c r="C285" s="725" t="s">
        <v>3116</v>
      </c>
      <c r="D285" s="725" t="s">
        <v>3121</v>
      </c>
      <c r="E285" s="725" t="s">
        <v>3122</v>
      </c>
      <c r="F285" s="728">
        <v>46</v>
      </c>
      <c r="G285" s="728">
        <v>42576.22</v>
      </c>
      <c r="H285" s="728">
        <v>1.0543577343807846</v>
      </c>
      <c r="I285" s="728">
        <v>925.57</v>
      </c>
      <c r="J285" s="728">
        <v>38</v>
      </c>
      <c r="K285" s="728">
        <v>40381.19</v>
      </c>
      <c r="L285" s="728">
        <v>1</v>
      </c>
      <c r="M285" s="728">
        <v>1062.6628947368422</v>
      </c>
      <c r="N285" s="728">
        <v>28</v>
      </c>
      <c r="O285" s="728">
        <v>33330.76</v>
      </c>
      <c r="P285" s="741">
        <v>0.82540311466799265</v>
      </c>
      <c r="Q285" s="729">
        <v>1190.3842857142859</v>
      </c>
    </row>
    <row r="286" spans="1:17" ht="14.4" customHeight="1" x14ac:dyDescent="0.3">
      <c r="A286" s="724" t="s">
        <v>552</v>
      </c>
      <c r="B286" s="725" t="s">
        <v>3452</v>
      </c>
      <c r="C286" s="725" t="s">
        <v>3123</v>
      </c>
      <c r="D286" s="725" t="s">
        <v>3124</v>
      </c>
      <c r="E286" s="725" t="s">
        <v>3125</v>
      </c>
      <c r="F286" s="728">
        <v>16</v>
      </c>
      <c r="G286" s="728">
        <v>10992</v>
      </c>
      <c r="H286" s="728">
        <v>0.59259259259259256</v>
      </c>
      <c r="I286" s="728">
        <v>687</v>
      </c>
      <c r="J286" s="728">
        <v>27</v>
      </c>
      <c r="K286" s="728">
        <v>18549</v>
      </c>
      <c r="L286" s="728">
        <v>1</v>
      </c>
      <c r="M286" s="728">
        <v>687</v>
      </c>
      <c r="N286" s="728">
        <v>17</v>
      </c>
      <c r="O286" s="728">
        <v>11679</v>
      </c>
      <c r="P286" s="741">
        <v>0.62962962962962965</v>
      </c>
      <c r="Q286" s="729">
        <v>687</v>
      </c>
    </row>
    <row r="287" spans="1:17" ht="14.4" customHeight="1" x14ac:dyDescent="0.3">
      <c r="A287" s="724" t="s">
        <v>552</v>
      </c>
      <c r="B287" s="725" t="s">
        <v>3452</v>
      </c>
      <c r="C287" s="725" t="s">
        <v>3123</v>
      </c>
      <c r="D287" s="725" t="s">
        <v>3126</v>
      </c>
      <c r="E287" s="725" t="s">
        <v>3127</v>
      </c>
      <c r="F287" s="728">
        <v>70</v>
      </c>
      <c r="G287" s="728">
        <v>16800</v>
      </c>
      <c r="H287" s="728">
        <v>0.59829059829059827</v>
      </c>
      <c r="I287" s="728">
        <v>240</v>
      </c>
      <c r="J287" s="728">
        <v>117</v>
      </c>
      <c r="K287" s="728">
        <v>28080</v>
      </c>
      <c r="L287" s="728">
        <v>1</v>
      </c>
      <c r="M287" s="728">
        <v>240</v>
      </c>
      <c r="N287" s="728">
        <v>70</v>
      </c>
      <c r="O287" s="728">
        <v>16800</v>
      </c>
      <c r="P287" s="741">
        <v>0.59829059829059827</v>
      </c>
      <c r="Q287" s="729">
        <v>240</v>
      </c>
    </row>
    <row r="288" spans="1:17" ht="14.4" customHeight="1" x14ac:dyDescent="0.3">
      <c r="A288" s="724" t="s">
        <v>552</v>
      </c>
      <c r="B288" s="725" t="s">
        <v>3452</v>
      </c>
      <c r="C288" s="725" t="s">
        <v>3123</v>
      </c>
      <c r="D288" s="725" t="s">
        <v>3129</v>
      </c>
      <c r="E288" s="725" t="s">
        <v>3127</v>
      </c>
      <c r="F288" s="728">
        <v>3.3</v>
      </c>
      <c r="G288" s="728">
        <v>4012.8</v>
      </c>
      <c r="H288" s="728">
        <v>0.55847044120389577</v>
      </c>
      <c r="I288" s="728">
        <v>1216.0000000000002</v>
      </c>
      <c r="J288" s="728">
        <v>5.91</v>
      </c>
      <c r="K288" s="728">
        <v>7185.34</v>
      </c>
      <c r="L288" s="728">
        <v>1</v>
      </c>
      <c r="M288" s="728">
        <v>1215.7935702199661</v>
      </c>
      <c r="N288" s="728">
        <v>3.6999999999999997</v>
      </c>
      <c r="O288" s="728">
        <v>4499.2</v>
      </c>
      <c r="P288" s="741">
        <v>0.62616382801648907</v>
      </c>
      <c r="Q288" s="729">
        <v>1216</v>
      </c>
    </row>
    <row r="289" spans="1:17" ht="14.4" customHeight="1" x14ac:dyDescent="0.3">
      <c r="A289" s="724" t="s">
        <v>552</v>
      </c>
      <c r="B289" s="725" t="s">
        <v>3452</v>
      </c>
      <c r="C289" s="725" t="s">
        <v>3123</v>
      </c>
      <c r="D289" s="725" t="s">
        <v>3492</v>
      </c>
      <c r="E289" s="725" t="s">
        <v>3493</v>
      </c>
      <c r="F289" s="728">
        <v>7</v>
      </c>
      <c r="G289" s="728">
        <v>3939.6</v>
      </c>
      <c r="H289" s="728">
        <v>0.77777777777777779</v>
      </c>
      <c r="I289" s="728">
        <v>562.79999999999995</v>
      </c>
      <c r="J289" s="728">
        <v>9</v>
      </c>
      <c r="K289" s="728">
        <v>5065.2</v>
      </c>
      <c r="L289" s="728">
        <v>1</v>
      </c>
      <c r="M289" s="728">
        <v>562.79999999999995</v>
      </c>
      <c r="N289" s="728">
        <v>13</v>
      </c>
      <c r="O289" s="728">
        <v>7316.4</v>
      </c>
      <c r="P289" s="741">
        <v>1.4444444444444444</v>
      </c>
      <c r="Q289" s="729">
        <v>562.79999999999995</v>
      </c>
    </row>
    <row r="290" spans="1:17" ht="14.4" customHeight="1" x14ac:dyDescent="0.3">
      <c r="A290" s="724" t="s">
        <v>552</v>
      </c>
      <c r="B290" s="725" t="s">
        <v>3452</v>
      </c>
      <c r="C290" s="725" t="s">
        <v>3123</v>
      </c>
      <c r="D290" s="725" t="s">
        <v>3494</v>
      </c>
      <c r="E290" s="725" t="s">
        <v>3495</v>
      </c>
      <c r="F290" s="728"/>
      <c r="G290" s="728"/>
      <c r="H290" s="728"/>
      <c r="I290" s="728"/>
      <c r="J290" s="728">
        <v>5</v>
      </c>
      <c r="K290" s="728">
        <v>2975</v>
      </c>
      <c r="L290" s="728">
        <v>1</v>
      </c>
      <c r="M290" s="728">
        <v>595</v>
      </c>
      <c r="N290" s="728">
        <v>4</v>
      </c>
      <c r="O290" s="728">
        <v>2380</v>
      </c>
      <c r="P290" s="741">
        <v>0.8</v>
      </c>
      <c r="Q290" s="729">
        <v>595</v>
      </c>
    </row>
    <row r="291" spans="1:17" ht="14.4" customHeight="1" x14ac:dyDescent="0.3">
      <c r="A291" s="724" t="s">
        <v>552</v>
      </c>
      <c r="B291" s="725" t="s">
        <v>3452</v>
      </c>
      <c r="C291" s="725" t="s">
        <v>3123</v>
      </c>
      <c r="D291" s="725" t="s">
        <v>3134</v>
      </c>
      <c r="E291" s="725" t="s">
        <v>3135</v>
      </c>
      <c r="F291" s="728">
        <v>32.299999999999997</v>
      </c>
      <c r="G291" s="728">
        <v>7230.35</v>
      </c>
      <c r="H291" s="728">
        <v>0.76904708722890536</v>
      </c>
      <c r="I291" s="728">
        <v>223.84984520123842</v>
      </c>
      <c r="J291" s="728">
        <v>42</v>
      </c>
      <c r="K291" s="728">
        <v>9401.7000000000007</v>
      </c>
      <c r="L291" s="728">
        <v>1</v>
      </c>
      <c r="M291" s="728">
        <v>223.85000000000002</v>
      </c>
      <c r="N291" s="728">
        <v>25</v>
      </c>
      <c r="O291" s="728">
        <v>5596.25</v>
      </c>
      <c r="P291" s="741">
        <v>0.59523809523809523</v>
      </c>
      <c r="Q291" s="729">
        <v>223.85</v>
      </c>
    </row>
    <row r="292" spans="1:17" ht="14.4" customHeight="1" x14ac:dyDescent="0.3">
      <c r="A292" s="724" t="s">
        <v>552</v>
      </c>
      <c r="B292" s="725" t="s">
        <v>3452</v>
      </c>
      <c r="C292" s="725" t="s">
        <v>3123</v>
      </c>
      <c r="D292" s="725" t="s">
        <v>3496</v>
      </c>
      <c r="E292" s="725" t="s">
        <v>3497</v>
      </c>
      <c r="F292" s="728">
        <v>1</v>
      </c>
      <c r="G292" s="728">
        <v>20061</v>
      </c>
      <c r="H292" s="728">
        <v>1</v>
      </c>
      <c r="I292" s="728">
        <v>20061</v>
      </c>
      <c r="J292" s="728">
        <v>1</v>
      </c>
      <c r="K292" s="728">
        <v>20061</v>
      </c>
      <c r="L292" s="728">
        <v>1</v>
      </c>
      <c r="M292" s="728">
        <v>20061</v>
      </c>
      <c r="N292" s="728"/>
      <c r="O292" s="728"/>
      <c r="P292" s="741"/>
      <c r="Q292" s="729"/>
    </row>
    <row r="293" spans="1:17" ht="14.4" customHeight="1" x14ac:dyDescent="0.3">
      <c r="A293" s="724" t="s">
        <v>552</v>
      </c>
      <c r="B293" s="725" t="s">
        <v>3452</v>
      </c>
      <c r="C293" s="725" t="s">
        <v>3123</v>
      </c>
      <c r="D293" s="725" t="s">
        <v>3142</v>
      </c>
      <c r="E293" s="725" t="s">
        <v>3143</v>
      </c>
      <c r="F293" s="728">
        <v>3</v>
      </c>
      <c r="G293" s="728">
        <v>6470.01</v>
      </c>
      <c r="H293" s="728">
        <v>0.30000000000000004</v>
      </c>
      <c r="I293" s="728">
        <v>2156.67</v>
      </c>
      <c r="J293" s="728">
        <v>10</v>
      </c>
      <c r="K293" s="728">
        <v>21566.699999999997</v>
      </c>
      <c r="L293" s="728">
        <v>1</v>
      </c>
      <c r="M293" s="728">
        <v>2156.6699999999996</v>
      </c>
      <c r="N293" s="728"/>
      <c r="O293" s="728"/>
      <c r="P293" s="741"/>
      <c r="Q293" s="729"/>
    </row>
    <row r="294" spans="1:17" ht="14.4" customHeight="1" x14ac:dyDescent="0.3">
      <c r="A294" s="724" t="s">
        <v>552</v>
      </c>
      <c r="B294" s="725" t="s">
        <v>3452</v>
      </c>
      <c r="C294" s="725" t="s">
        <v>3123</v>
      </c>
      <c r="D294" s="725" t="s">
        <v>3144</v>
      </c>
      <c r="E294" s="725" t="s">
        <v>3143</v>
      </c>
      <c r="F294" s="728">
        <v>5</v>
      </c>
      <c r="G294" s="728">
        <v>28541.449999999997</v>
      </c>
      <c r="H294" s="728">
        <v>1.2499999999999998</v>
      </c>
      <c r="I294" s="728">
        <v>5708.2899999999991</v>
      </c>
      <c r="J294" s="728">
        <v>4</v>
      </c>
      <c r="K294" s="728">
        <v>22833.16</v>
      </c>
      <c r="L294" s="728">
        <v>1</v>
      </c>
      <c r="M294" s="728">
        <v>5708.29</v>
      </c>
      <c r="N294" s="728">
        <v>3</v>
      </c>
      <c r="O294" s="728">
        <v>17124.87</v>
      </c>
      <c r="P294" s="741">
        <v>0.75</v>
      </c>
      <c r="Q294" s="729">
        <v>5708.29</v>
      </c>
    </row>
    <row r="295" spans="1:17" ht="14.4" customHeight="1" x14ac:dyDescent="0.3">
      <c r="A295" s="724" t="s">
        <v>552</v>
      </c>
      <c r="B295" s="725" t="s">
        <v>3452</v>
      </c>
      <c r="C295" s="725" t="s">
        <v>3123</v>
      </c>
      <c r="D295" s="725" t="s">
        <v>3145</v>
      </c>
      <c r="E295" s="725" t="s">
        <v>3146</v>
      </c>
      <c r="F295" s="728">
        <v>2</v>
      </c>
      <c r="G295" s="728">
        <v>7876.36</v>
      </c>
      <c r="H295" s="728">
        <v>0.18181818181818182</v>
      </c>
      <c r="I295" s="728">
        <v>3938.18</v>
      </c>
      <c r="J295" s="728">
        <v>11</v>
      </c>
      <c r="K295" s="728">
        <v>43319.979999999996</v>
      </c>
      <c r="L295" s="728">
        <v>1</v>
      </c>
      <c r="M295" s="728">
        <v>3938.18</v>
      </c>
      <c r="N295" s="728"/>
      <c r="O295" s="728"/>
      <c r="P295" s="741"/>
      <c r="Q295" s="729"/>
    </row>
    <row r="296" spans="1:17" ht="14.4" customHeight="1" x14ac:dyDescent="0.3">
      <c r="A296" s="724" t="s">
        <v>552</v>
      </c>
      <c r="B296" s="725" t="s">
        <v>3452</v>
      </c>
      <c r="C296" s="725" t="s">
        <v>3123</v>
      </c>
      <c r="D296" s="725" t="s">
        <v>3147</v>
      </c>
      <c r="E296" s="725" t="s">
        <v>3148</v>
      </c>
      <c r="F296" s="728">
        <v>5</v>
      </c>
      <c r="G296" s="728">
        <v>19641.7</v>
      </c>
      <c r="H296" s="728">
        <v>2.5</v>
      </c>
      <c r="I296" s="728">
        <v>3928.34</v>
      </c>
      <c r="J296" s="728">
        <v>2</v>
      </c>
      <c r="K296" s="728">
        <v>7856.68</v>
      </c>
      <c r="L296" s="728">
        <v>1</v>
      </c>
      <c r="M296" s="728">
        <v>3928.34</v>
      </c>
      <c r="N296" s="728">
        <v>1</v>
      </c>
      <c r="O296" s="728">
        <v>3928.34</v>
      </c>
      <c r="P296" s="741">
        <v>0.5</v>
      </c>
      <c r="Q296" s="729">
        <v>3928.34</v>
      </c>
    </row>
    <row r="297" spans="1:17" ht="14.4" customHeight="1" x14ac:dyDescent="0.3">
      <c r="A297" s="724" t="s">
        <v>552</v>
      </c>
      <c r="B297" s="725" t="s">
        <v>3452</v>
      </c>
      <c r="C297" s="725" t="s">
        <v>3123</v>
      </c>
      <c r="D297" s="725" t="s">
        <v>3151</v>
      </c>
      <c r="E297" s="725" t="s">
        <v>3152</v>
      </c>
      <c r="F297" s="728">
        <v>1</v>
      </c>
      <c r="G297" s="728">
        <v>4385.37</v>
      </c>
      <c r="H297" s="728"/>
      <c r="I297" s="728">
        <v>4385.37</v>
      </c>
      <c r="J297" s="728"/>
      <c r="K297" s="728"/>
      <c r="L297" s="728"/>
      <c r="M297" s="728"/>
      <c r="N297" s="728">
        <v>2</v>
      </c>
      <c r="O297" s="728">
        <v>8770.74</v>
      </c>
      <c r="P297" s="741"/>
      <c r="Q297" s="729">
        <v>4385.37</v>
      </c>
    </row>
    <row r="298" spans="1:17" ht="14.4" customHeight="1" x14ac:dyDescent="0.3">
      <c r="A298" s="724" t="s">
        <v>552</v>
      </c>
      <c r="B298" s="725" t="s">
        <v>3452</v>
      </c>
      <c r="C298" s="725" t="s">
        <v>3123</v>
      </c>
      <c r="D298" s="725" t="s">
        <v>3155</v>
      </c>
      <c r="E298" s="725" t="s">
        <v>3156</v>
      </c>
      <c r="F298" s="728"/>
      <c r="G298" s="728"/>
      <c r="H298" s="728"/>
      <c r="I298" s="728"/>
      <c r="J298" s="728">
        <v>4</v>
      </c>
      <c r="K298" s="728">
        <v>15713.36</v>
      </c>
      <c r="L298" s="728">
        <v>1</v>
      </c>
      <c r="M298" s="728">
        <v>3928.34</v>
      </c>
      <c r="N298" s="728"/>
      <c r="O298" s="728"/>
      <c r="P298" s="741"/>
      <c r="Q298" s="729"/>
    </row>
    <row r="299" spans="1:17" ht="14.4" customHeight="1" x14ac:dyDescent="0.3">
      <c r="A299" s="724" t="s">
        <v>552</v>
      </c>
      <c r="B299" s="725" t="s">
        <v>3452</v>
      </c>
      <c r="C299" s="725" t="s">
        <v>3123</v>
      </c>
      <c r="D299" s="725" t="s">
        <v>3157</v>
      </c>
      <c r="E299" s="725" t="s">
        <v>3158</v>
      </c>
      <c r="F299" s="728">
        <v>4</v>
      </c>
      <c r="G299" s="728">
        <v>56133.2</v>
      </c>
      <c r="H299" s="728"/>
      <c r="I299" s="728">
        <v>14033.3</v>
      </c>
      <c r="J299" s="728"/>
      <c r="K299" s="728"/>
      <c r="L299" s="728"/>
      <c r="M299" s="728"/>
      <c r="N299" s="728"/>
      <c r="O299" s="728"/>
      <c r="P299" s="741"/>
      <c r="Q299" s="729"/>
    </row>
    <row r="300" spans="1:17" ht="14.4" customHeight="1" x14ac:dyDescent="0.3">
      <c r="A300" s="724" t="s">
        <v>552</v>
      </c>
      <c r="B300" s="725" t="s">
        <v>3452</v>
      </c>
      <c r="C300" s="725" t="s">
        <v>3123</v>
      </c>
      <c r="D300" s="725" t="s">
        <v>3159</v>
      </c>
      <c r="E300" s="725" t="s">
        <v>3158</v>
      </c>
      <c r="F300" s="728">
        <v>2</v>
      </c>
      <c r="G300" s="728">
        <v>5355.92</v>
      </c>
      <c r="H300" s="728"/>
      <c r="I300" s="728">
        <v>2677.96</v>
      </c>
      <c r="J300" s="728"/>
      <c r="K300" s="728"/>
      <c r="L300" s="728"/>
      <c r="M300" s="728"/>
      <c r="N300" s="728"/>
      <c r="O300" s="728"/>
      <c r="P300" s="741"/>
      <c r="Q300" s="729"/>
    </row>
    <row r="301" spans="1:17" ht="14.4" customHeight="1" x14ac:dyDescent="0.3">
      <c r="A301" s="724" t="s">
        <v>552</v>
      </c>
      <c r="B301" s="725" t="s">
        <v>3452</v>
      </c>
      <c r="C301" s="725" t="s">
        <v>3123</v>
      </c>
      <c r="D301" s="725" t="s">
        <v>3160</v>
      </c>
      <c r="E301" s="725" t="s">
        <v>3161</v>
      </c>
      <c r="F301" s="728">
        <v>2</v>
      </c>
      <c r="G301" s="728">
        <v>6707.34</v>
      </c>
      <c r="H301" s="728">
        <v>0.66666666666666663</v>
      </c>
      <c r="I301" s="728">
        <v>3353.67</v>
      </c>
      <c r="J301" s="728">
        <v>3</v>
      </c>
      <c r="K301" s="728">
        <v>10061.01</v>
      </c>
      <c r="L301" s="728">
        <v>1</v>
      </c>
      <c r="M301" s="728">
        <v>3353.67</v>
      </c>
      <c r="N301" s="728"/>
      <c r="O301" s="728"/>
      <c r="P301" s="741"/>
      <c r="Q301" s="729"/>
    </row>
    <row r="302" spans="1:17" ht="14.4" customHeight="1" x14ac:dyDescent="0.3">
      <c r="A302" s="724" t="s">
        <v>552</v>
      </c>
      <c r="B302" s="725" t="s">
        <v>3452</v>
      </c>
      <c r="C302" s="725" t="s">
        <v>3123</v>
      </c>
      <c r="D302" s="725" t="s">
        <v>3164</v>
      </c>
      <c r="E302" s="725" t="s">
        <v>3165</v>
      </c>
      <c r="F302" s="728">
        <v>2</v>
      </c>
      <c r="G302" s="728">
        <v>9352</v>
      </c>
      <c r="H302" s="728">
        <v>0.4</v>
      </c>
      <c r="I302" s="728">
        <v>4676</v>
      </c>
      <c r="J302" s="728">
        <v>5</v>
      </c>
      <c r="K302" s="728">
        <v>23380</v>
      </c>
      <c r="L302" s="728">
        <v>1</v>
      </c>
      <c r="M302" s="728">
        <v>4676</v>
      </c>
      <c r="N302" s="728"/>
      <c r="O302" s="728"/>
      <c r="P302" s="741"/>
      <c r="Q302" s="729"/>
    </row>
    <row r="303" spans="1:17" ht="14.4" customHeight="1" x14ac:dyDescent="0.3">
      <c r="A303" s="724" t="s">
        <v>552</v>
      </c>
      <c r="B303" s="725" t="s">
        <v>3452</v>
      </c>
      <c r="C303" s="725" t="s">
        <v>3123</v>
      </c>
      <c r="D303" s="725" t="s">
        <v>3168</v>
      </c>
      <c r="E303" s="725" t="s">
        <v>3169</v>
      </c>
      <c r="F303" s="728">
        <v>8</v>
      </c>
      <c r="G303" s="728">
        <v>4736</v>
      </c>
      <c r="H303" s="728">
        <v>0.42105263157894735</v>
      </c>
      <c r="I303" s="728">
        <v>592</v>
      </c>
      <c r="J303" s="728">
        <v>19</v>
      </c>
      <c r="K303" s="728">
        <v>11248</v>
      </c>
      <c r="L303" s="728">
        <v>1</v>
      </c>
      <c r="M303" s="728">
        <v>592</v>
      </c>
      <c r="N303" s="728">
        <v>8</v>
      </c>
      <c r="O303" s="728">
        <v>4736</v>
      </c>
      <c r="P303" s="741">
        <v>0.42105263157894735</v>
      </c>
      <c r="Q303" s="729">
        <v>592</v>
      </c>
    </row>
    <row r="304" spans="1:17" ht="14.4" customHeight="1" x14ac:dyDescent="0.3">
      <c r="A304" s="724" t="s">
        <v>552</v>
      </c>
      <c r="B304" s="725" t="s">
        <v>3452</v>
      </c>
      <c r="C304" s="725" t="s">
        <v>3123</v>
      </c>
      <c r="D304" s="725" t="s">
        <v>3170</v>
      </c>
      <c r="E304" s="725" t="s">
        <v>3171</v>
      </c>
      <c r="F304" s="728"/>
      <c r="G304" s="728"/>
      <c r="H304" s="728"/>
      <c r="I304" s="728"/>
      <c r="J304" s="728">
        <v>2</v>
      </c>
      <c r="K304" s="728">
        <v>13186.7</v>
      </c>
      <c r="L304" s="728">
        <v>1</v>
      </c>
      <c r="M304" s="728">
        <v>6593.35</v>
      </c>
      <c r="N304" s="728">
        <v>2</v>
      </c>
      <c r="O304" s="728">
        <v>13186.7</v>
      </c>
      <c r="P304" s="741">
        <v>1</v>
      </c>
      <c r="Q304" s="729">
        <v>6593.35</v>
      </c>
    </row>
    <row r="305" spans="1:17" ht="14.4" customHeight="1" x14ac:dyDescent="0.3">
      <c r="A305" s="724" t="s">
        <v>552</v>
      </c>
      <c r="B305" s="725" t="s">
        <v>3452</v>
      </c>
      <c r="C305" s="725" t="s">
        <v>3123</v>
      </c>
      <c r="D305" s="725" t="s">
        <v>3172</v>
      </c>
      <c r="E305" s="725" t="s">
        <v>3171</v>
      </c>
      <c r="F305" s="728"/>
      <c r="G305" s="728"/>
      <c r="H305" s="728"/>
      <c r="I305" s="728"/>
      <c r="J305" s="728"/>
      <c r="K305" s="728"/>
      <c r="L305" s="728"/>
      <c r="M305" s="728"/>
      <c r="N305" s="728">
        <v>1</v>
      </c>
      <c r="O305" s="728">
        <v>1978.94</v>
      </c>
      <c r="P305" s="741"/>
      <c r="Q305" s="729">
        <v>1978.94</v>
      </c>
    </row>
    <row r="306" spans="1:17" ht="14.4" customHeight="1" x14ac:dyDescent="0.3">
      <c r="A306" s="724" t="s">
        <v>552</v>
      </c>
      <c r="B306" s="725" t="s">
        <v>3452</v>
      </c>
      <c r="C306" s="725" t="s">
        <v>3123</v>
      </c>
      <c r="D306" s="725" t="s">
        <v>3173</v>
      </c>
      <c r="E306" s="725" t="s">
        <v>3174</v>
      </c>
      <c r="F306" s="728">
        <v>3</v>
      </c>
      <c r="G306" s="728">
        <v>39273</v>
      </c>
      <c r="H306" s="728">
        <v>0.75</v>
      </c>
      <c r="I306" s="728">
        <v>13091</v>
      </c>
      <c r="J306" s="728">
        <v>4</v>
      </c>
      <c r="K306" s="728">
        <v>52364</v>
      </c>
      <c r="L306" s="728">
        <v>1</v>
      </c>
      <c r="M306" s="728">
        <v>13091</v>
      </c>
      <c r="N306" s="728">
        <v>1</v>
      </c>
      <c r="O306" s="728">
        <v>13091</v>
      </c>
      <c r="P306" s="741">
        <v>0.25</v>
      </c>
      <c r="Q306" s="729">
        <v>13091</v>
      </c>
    </row>
    <row r="307" spans="1:17" ht="14.4" customHeight="1" x14ac:dyDescent="0.3">
      <c r="A307" s="724" t="s">
        <v>552</v>
      </c>
      <c r="B307" s="725" t="s">
        <v>3452</v>
      </c>
      <c r="C307" s="725" t="s">
        <v>3123</v>
      </c>
      <c r="D307" s="725" t="s">
        <v>3175</v>
      </c>
      <c r="E307" s="725" t="s">
        <v>3176</v>
      </c>
      <c r="F307" s="728">
        <v>4</v>
      </c>
      <c r="G307" s="728">
        <v>10293.16</v>
      </c>
      <c r="H307" s="728"/>
      <c r="I307" s="728">
        <v>2573.29</v>
      </c>
      <c r="J307" s="728"/>
      <c r="K307" s="728"/>
      <c r="L307" s="728"/>
      <c r="M307" s="728"/>
      <c r="N307" s="728"/>
      <c r="O307" s="728"/>
      <c r="P307" s="741"/>
      <c r="Q307" s="729"/>
    </row>
    <row r="308" spans="1:17" ht="14.4" customHeight="1" x14ac:dyDescent="0.3">
      <c r="A308" s="724" t="s">
        <v>552</v>
      </c>
      <c r="B308" s="725" t="s">
        <v>3452</v>
      </c>
      <c r="C308" s="725" t="s">
        <v>3123</v>
      </c>
      <c r="D308" s="725" t="s">
        <v>3178</v>
      </c>
      <c r="E308" s="725" t="s">
        <v>3179</v>
      </c>
      <c r="F308" s="728"/>
      <c r="G308" s="728"/>
      <c r="H308" s="728"/>
      <c r="I308" s="728"/>
      <c r="J308" s="728"/>
      <c r="K308" s="728"/>
      <c r="L308" s="728"/>
      <c r="M308" s="728"/>
      <c r="N308" s="728">
        <v>4</v>
      </c>
      <c r="O308" s="728">
        <v>7366.48</v>
      </c>
      <c r="P308" s="741"/>
      <c r="Q308" s="729">
        <v>1841.62</v>
      </c>
    </row>
    <row r="309" spans="1:17" ht="14.4" customHeight="1" x14ac:dyDescent="0.3">
      <c r="A309" s="724" t="s">
        <v>552</v>
      </c>
      <c r="B309" s="725" t="s">
        <v>3452</v>
      </c>
      <c r="C309" s="725" t="s">
        <v>3123</v>
      </c>
      <c r="D309" s="725" t="s">
        <v>3498</v>
      </c>
      <c r="E309" s="725" t="s">
        <v>3179</v>
      </c>
      <c r="F309" s="728"/>
      <c r="G309" s="728"/>
      <c r="H309" s="728"/>
      <c r="I309" s="728"/>
      <c r="J309" s="728"/>
      <c r="K309" s="728"/>
      <c r="L309" s="728"/>
      <c r="M309" s="728"/>
      <c r="N309" s="728">
        <v>1</v>
      </c>
      <c r="O309" s="728">
        <v>31129.25</v>
      </c>
      <c r="P309" s="741"/>
      <c r="Q309" s="729">
        <v>31129.25</v>
      </c>
    </row>
    <row r="310" spans="1:17" ht="14.4" customHeight="1" x14ac:dyDescent="0.3">
      <c r="A310" s="724" t="s">
        <v>552</v>
      </c>
      <c r="B310" s="725" t="s">
        <v>3452</v>
      </c>
      <c r="C310" s="725" t="s">
        <v>3123</v>
      </c>
      <c r="D310" s="725" t="s">
        <v>3181</v>
      </c>
      <c r="E310" s="725" t="s">
        <v>3182</v>
      </c>
      <c r="F310" s="728">
        <v>1</v>
      </c>
      <c r="G310" s="728">
        <v>5918.67</v>
      </c>
      <c r="H310" s="728"/>
      <c r="I310" s="728">
        <v>5918.67</v>
      </c>
      <c r="J310" s="728"/>
      <c r="K310" s="728"/>
      <c r="L310" s="728"/>
      <c r="M310" s="728"/>
      <c r="N310" s="728"/>
      <c r="O310" s="728"/>
      <c r="P310" s="741"/>
      <c r="Q310" s="729"/>
    </row>
    <row r="311" spans="1:17" ht="14.4" customHeight="1" x14ac:dyDescent="0.3">
      <c r="A311" s="724" t="s">
        <v>552</v>
      </c>
      <c r="B311" s="725" t="s">
        <v>3452</v>
      </c>
      <c r="C311" s="725" t="s">
        <v>3123</v>
      </c>
      <c r="D311" s="725" t="s">
        <v>3183</v>
      </c>
      <c r="E311" s="725" t="s">
        <v>3182</v>
      </c>
      <c r="F311" s="728"/>
      <c r="G311" s="728"/>
      <c r="H311" s="728"/>
      <c r="I311" s="728"/>
      <c r="J311" s="728">
        <v>2</v>
      </c>
      <c r="K311" s="728">
        <v>16573.52</v>
      </c>
      <c r="L311" s="728">
        <v>1</v>
      </c>
      <c r="M311" s="728">
        <v>8286.76</v>
      </c>
      <c r="N311" s="728"/>
      <c r="O311" s="728"/>
      <c r="P311" s="741"/>
      <c r="Q311" s="729"/>
    </row>
    <row r="312" spans="1:17" ht="14.4" customHeight="1" x14ac:dyDescent="0.3">
      <c r="A312" s="724" t="s">
        <v>552</v>
      </c>
      <c r="B312" s="725" t="s">
        <v>3452</v>
      </c>
      <c r="C312" s="725" t="s">
        <v>3123</v>
      </c>
      <c r="D312" s="725" t="s">
        <v>3184</v>
      </c>
      <c r="E312" s="725" t="s">
        <v>3182</v>
      </c>
      <c r="F312" s="728">
        <v>4</v>
      </c>
      <c r="G312" s="728">
        <v>11549.24</v>
      </c>
      <c r="H312" s="728">
        <v>0.33333333333333331</v>
      </c>
      <c r="I312" s="728">
        <v>2887.31</v>
      </c>
      <c r="J312" s="728">
        <v>12</v>
      </c>
      <c r="K312" s="728">
        <v>34647.72</v>
      </c>
      <c r="L312" s="728">
        <v>1</v>
      </c>
      <c r="M312" s="728">
        <v>2887.31</v>
      </c>
      <c r="N312" s="728"/>
      <c r="O312" s="728"/>
      <c r="P312" s="741"/>
      <c r="Q312" s="729"/>
    </row>
    <row r="313" spans="1:17" ht="14.4" customHeight="1" x14ac:dyDescent="0.3">
      <c r="A313" s="724" t="s">
        <v>552</v>
      </c>
      <c r="B313" s="725" t="s">
        <v>3452</v>
      </c>
      <c r="C313" s="725" t="s">
        <v>3123</v>
      </c>
      <c r="D313" s="725" t="s">
        <v>3187</v>
      </c>
      <c r="E313" s="725" t="s">
        <v>3188</v>
      </c>
      <c r="F313" s="728">
        <v>16</v>
      </c>
      <c r="G313" s="728">
        <v>130128</v>
      </c>
      <c r="H313" s="728">
        <v>0.47058823529411764</v>
      </c>
      <c r="I313" s="728">
        <v>8133</v>
      </c>
      <c r="J313" s="728">
        <v>34</v>
      </c>
      <c r="K313" s="728">
        <v>276522</v>
      </c>
      <c r="L313" s="728">
        <v>1</v>
      </c>
      <c r="M313" s="728">
        <v>8133</v>
      </c>
      <c r="N313" s="728"/>
      <c r="O313" s="728"/>
      <c r="P313" s="741"/>
      <c r="Q313" s="729"/>
    </row>
    <row r="314" spans="1:17" ht="14.4" customHeight="1" x14ac:dyDescent="0.3">
      <c r="A314" s="724" t="s">
        <v>552</v>
      </c>
      <c r="B314" s="725" t="s">
        <v>3452</v>
      </c>
      <c r="C314" s="725" t="s">
        <v>3123</v>
      </c>
      <c r="D314" s="725" t="s">
        <v>3189</v>
      </c>
      <c r="E314" s="725" t="s">
        <v>3188</v>
      </c>
      <c r="F314" s="728">
        <v>8</v>
      </c>
      <c r="G314" s="728">
        <v>45992</v>
      </c>
      <c r="H314" s="728">
        <v>0.61538461538461542</v>
      </c>
      <c r="I314" s="728">
        <v>5749</v>
      </c>
      <c r="J314" s="728">
        <v>13</v>
      </c>
      <c r="K314" s="728">
        <v>74737</v>
      </c>
      <c r="L314" s="728">
        <v>1</v>
      </c>
      <c r="M314" s="728">
        <v>5749</v>
      </c>
      <c r="N314" s="728"/>
      <c r="O314" s="728"/>
      <c r="P314" s="741"/>
      <c r="Q314" s="729"/>
    </row>
    <row r="315" spans="1:17" ht="14.4" customHeight="1" x14ac:dyDescent="0.3">
      <c r="A315" s="724" t="s">
        <v>552</v>
      </c>
      <c r="B315" s="725" t="s">
        <v>3452</v>
      </c>
      <c r="C315" s="725" t="s">
        <v>3123</v>
      </c>
      <c r="D315" s="725" t="s">
        <v>3190</v>
      </c>
      <c r="E315" s="725" t="s">
        <v>3191</v>
      </c>
      <c r="F315" s="728">
        <v>16</v>
      </c>
      <c r="G315" s="728">
        <v>43552</v>
      </c>
      <c r="H315" s="728">
        <v>0.47058823529411764</v>
      </c>
      <c r="I315" s="728">
        <v>2722</v>
      </c>
      <c r="J315" s="728">
        <v>34</v>
      </c>
      <c r="K315" s="728">
        <v>92548</v>
      </c>
      <c r="L315" s="728">
        <v>1</v>
      </c>
      <c r="M315" s="728">
        <v>2722</v>
      </c>
      <c r="N315" s="728"/>
      <c r="O315" s="728"/>
      <c r="P315" s="741"/>
      <c r="Q315" s="729"/>
    </row>
    <row r="316" spans="1:17" ht="14.4" customHeight="1" x14ac:dyDescent="0.3">
      <c r="A316" s="724" t="s">
        <v>552</v>
      </c>
      <c r="B316" s="725" t="s">
        <v>3452</v>
      </c>
      <c r="C316" s="725" t="s">
        <v>3123</v>
      </c>
      <c r="D316" s="725" t="s">
        <v>3499</v>
      </c>
      <c r="E316" s="725" t="s">
        <v>3500</v>
      </c>
      <c r="F316" s="728">
        <v>1</v>
      </c>
      <c r="G316" s="728">
        <v>556.5</v>
      </c>
      <c r="H316" s="728"/>
      <c r="I316" s="728">
        <v>556.5</v>
      </c>
      <c r="J316" s="728"/>
      <c r="K316" s="728"/>
      <c r="L316" s="728"/>
      <c r="M316" s="728"/>
      <c r="N316" s="728"/>
      <c r="O316" s="728"/>
      <c r="P316" s="741"/>
      <c r="Q316" s="729"/>
    </row>
    <row r="317" spans="1:17" ht="14.4" customHeight="1" x14ac:dyDescent="0.3">
      <c r="A317" s="724" t="s">
        <v>552</v>
      </c>
      <c r="B317" s="725" t="s">
        <v>3452</v>
      </c>
      <c r="C317" s="725" t="s">
        <v>3123</v>
      </c>
      <c r="D317" s="725" t="s">
        <v>3501</v>
      </c>
      <c r="E317" s="725" t="s">
        <v>3196</v>
      </c>
      <c r="F317" s="728"/>
      <c r="G317" s="728"/>
      <c r="H317" s="728"/>
      <c r="I317" s="728"/>
      <c r="J317" s="728">
        <v>1</v>
      </c>
      <c r="K317" s="728">
        <v>55245</v>
      </c>
      <c r="L317" s="728">
        <v>1</v>
      </c>
      <c r="M317" s="728">
        <v>55245</v>
      </c>
      <c r="N317" s="728"/>
      <c r="O317" s="728"/>
      <c r="P317" s="741"/>
      <c r="Q317" s="729"/>
    </row>
    <row r="318" spans="1:17" ht="14.4" customHeight="1" x14ac:dyDescent="0.3">
      <c r="A318" s="724" t="s">
        <v>552</v>
      </c>
      <c r="B318" s="725" t="s">
        <v>3452</v>
      </c>
      <c r="C318" s="725" t="s">
        <v>3123</v>
      </c>
      <c r="D318" s="725" t="s">
        <v>3195</v>
      </c>
      <c r="E318" s="725" t="s">
        <v>3196</v>
      </c>
      <c r="F318" s="728">
        <v>1</v>
      </c>
      <c r="G318" s="728">
        <v>62658</v>
      </c>
      <c r="H318" s="728">
        <v>0.5</v>
      </c>
      <c r="I318" s="728">
        <v>62658</v>
      </c>
      <c r="J318" s="728">
        <v>2</v>
      </c>
      <c r="K318" s="728">
        <v>125316</v>
      </c>
      <c r="L318" s="728">
        <v>1</v>
      </c>
      <c r="M318" s="728">
        <v>62658</v>
      </c>
      <c r="N318" s="728">
        <v>1</v>
      </c>
      <c r="O318" s="728">
        <v>62658</v>
      </c>
      <c r="P318" s="741">
        <v>0.5</v>
      </c>
      <c r="Q318" s="729">
        <v>62658</v>
      </c>
    </row>
    <row r="319" spans="1:17" ht="14.4" customHeight="1" x14ac:dyDescent="0.3">
      <c r="A319" s="724" t="s">
        <v>552</v>
      </c>
      <c r="B319" s="725" t="s">
        <v>3452</v>
      </c>
      <c r="C319" s="725" t="s">
        <v>3123</v>
      </c>
      <c r="D319" s="725" t="s">
        <v>3502</v>
      </c>
      <c r="E319" s="725" t="s">
        <v>3503</v>
      </c>
      <c r="F319" s="728">
        <v>1</v>
      </c>
      <c r="G319" s="728">
        <v>8073</v>
      </c>
      <c r="H319" s="728"/>
      <c r="I319" s="728">
        <v>8073</v>
      </c>
      <c r="J319" s="728"/>
      <c r="K319" s="728"/>
      <c r="L319" s="728"/>
      <c r="M319" s="728"/>
      <c r="N319" s="728"/>
      <c r="O319" s="728"/>
      <c r="P319" s="741"/>
      <c r="Q319" s="729"/>
    </row>
    <row r="320" spans="1:17" ht="14.4" customHeight="1" x14ac:dyDescent="0.3">
      <c r="A320" s="724" t="s">
        <v>552</v>
      </c>
      <c r="B320" s="725" t="s">
        <v>3452</v>
      </c>
      <c r="C320" s="725" t="s">
        <v>3123</v>
      </c>
      <c r="D320" s="725" t="s">
        <v>3204</v>
      </c>
      <c r="E320" s="725" t="s">
        <v>3205</v>
      </c>
      <c r="F320" s="728">
        <v>2</v>
      </c>
      <c r="G320" s="728">
        <v>17494</v>
      </c>
      <c r="H320" s="728"/>
      <c r="I320" s="728">
        <v>8747</v>
      </c>
      <c r="J320" s="728"/>
      <c r="K320" s="728"/>
      <c r="L320" s="728"/>
      <c r="M320" s="728"/>
      <c r="N320" s="728"/>
      <c r="O320" s="728"/>
      <c r="P320" s="741"/>
      <c r="Q320" s="729"/>
    </row>
    <row r="321" spans="1:17" ht="14.4" customHeight="1" x14ac:dyDescent="0.3">
      <c r="A321" s="724" t="s">
        <v>552</v>
      </c>
      <c r="B321" s="725" t="s">
        <v>3452</v>
      </c>
      <c r="C321" s="725" t="s">
        <v>3123</v>
      </c>
      <c r="D321" s="725" t="s">
        <v>3504</v>
      </c>
      <c r="E321" s="725" t="s">
        <v>3205</v>
      </c>
      <c r="F321" s="728">
        <v>1</v>
      </c>
      <c r="G321" s="728">
        <v>5610</v>
      </c>
      <c r="H321" s="728">
        <v>1</v>
      </c>
      <c r="I321" s="728">
        <v>5610</v>
      </c>
      <c r="J321" s="728">
        <v>1</v>
      </c>
      <c r="K321" s="728">
        <v>5610</v>
      </c>
      <c r="L321" s="728">
        <v>1</v>
      </c>
      <c r="M321" s="728">
        <v>5610</v>
      </c>
      <c r="N321" s="728">
        <v>2</v>
      </c>
      <c r="O321" s="728">
        <v>11220</v>
      </c>
      <c r="P321" s="741">
        <v>2</v>
      </c>
      <c r="Q321" s="729">
        <v>5610</v>
      </c>
    </row>
    <row r="322" spans="1:17" ht="14.4" customHeight="1" x14ac:dyDescent="0.3">
      <c r="A322" s="724" t="s">
        <v>552</v>
      </c>
      <c r="B322" s="725" t="s">
        <v>3452</v>
      </c>
      <c r="C322" s="725" t="s">
        <v>3123</v>
      </c>
      <c r="D322" s="725" t="s">
        <v>3505</v>
      </c>
      <c r="E322" s="725" t="s">
        <v>3205</v>
      </c>
      <c r="F322" s="728">
        <v>1</v>
      </c>
      <c r="G322" s="728">
        <v>6154</v>
      </c>
      <c r="H322" s="728">
        <v>1</v>
      </c>
      <c r="I322" s="728">
        <v>6154</v>
      </c>
      <c r="J322" s="728">
        <v>1</v>
      </c>
      <c r="K322" s="728">
        <v>6154</v>
      </c>
      <c r="L322" s="728">
        <v>1</v>
      </c>
      <c r="M322" s="728">
        <v>6154</v>
      </c>
      <c r="N322" s="728">
        <v>2</v>
      </c>
      <c r="O322" s="728">
        <v>12308</v>
      </c>
      <c r="P322" s="741">
        <v>2</v>
      </c>
      <c r="Q322" s="729">
        <v>6154</v>
      </c>
    </row>
    <row r="323" spans="1:17" ht="14.4" customHeight="1" x14ac:dyDescent="0.3">
      <c r="A323" s="724" t="s">
        <v>552</v>
      </c>
      <c r="B323" s="725" t="s">
        <v>3452</v>
      </c>
      <c r="C323" s="725" t="s">
        <v>3123</v>
      </c>
      <c r="D323" s="725" t="s">
        <v>3211</v>
      </c>
      <c r="E323" s="725" t="s">
        <v>3212</v>
      </c>
      <c r="F323" s="728">
        <v>2</v>
      </c>
      <c r="G323" s="728">
        <v>44014</v>
      </c>
      <c r="H323" s="728">
        <v>0.66666666666666663</v>
      </c>
      <c r="I323" s="728">
        <v>22007</v>
      </c>
      <c r="J323" s="728">
        <v>3</v>
      </c>
      <c r="K323" s="728">
        <v>66021</v>
      </c>
      <c r="L323" s="728">
        <v>1</v>
      </c>
      <c r="M323" s="728">
        <v>22007</v>
      </c>
      <c r="N323" s="728"/>
      <c r="O323" s="728"/>
      <c r="P323" s="741"/>
      <c r="Q323" s="729"/>
    </row>
    <row r="324" spans="1:17" ht="14.4" customHeight="1" x14ac:dyDescent="0.3">
      <c r="A324" s="724" t="s">
        <v>552</v>
      </c>
      <c r="B324" s="725" t="s">
        <v>3452</v>
      </c>
      <c r="C324" s="725" t="s">
        <v>3123</v>
      </c>
      <c r="D324" s="725" t="s">
        <v>3215</v>
      </c>
      <c r="E324" s="725" t="s">
        <v>3214</v>
      </c>
      <c r="F324" s="728"/>
      <c r="G324" s="728"/>
      <c r="H324" s="728"/>
      <c r="I324" s="728"/>
      <c r="J324" s="728">
        <v>2</v>
      </c>
      <c r="K324" s="728">
        <v>13034</v>
      </c>
      <c r="L324" s="728">
        <v>1</v>
      </c>
      <c r="M324" s="728">
        <v>6517</v>
      </c>
      <c r="N324" s="728">
        <v>1</v>
      </c>
      <c r="O324" s="728">
        <v>6517</v>
      </c>
      <c r="P324" s="741">
        <v>0.5</v>
      </c>
      <c r="Q324" s="729">
        <v>6517</v>
      </c>
    </row>
    <row r="325" spans="1:17" ht="14.4" customHeight="1" x14ac:dyDescent="0.3">
      <c r="A325" s="724" t="s">
        <v>552</v>
      </c>
      <c r="B325" s="725" t="s">
        <v>3452</v>
      </c>
      <c r="C325" s="725" t="s">
        <v>3123</v>
      </c>
      <c r="D325" s="725" t="s">
        <v>3218</v>
      </c>
      <c r="E325" s="725" t="s">
        <v>3219</v>
      </c>
      <c r="F325" s="728">
        <v>3</v>
      </c>
      <c r="G325" s="728">
        <v>50739</v>
      </c>
      <c r="H325" s="728"/>
      <c r="I325" s="728">
        <v>16913</v>
      </c>
      <c r="J325" s="728"/>
      <c r="K325" s="728"/>
      <c r="L325" s="728"/>
      <c r="M325" s="728"/>
      <c r="N325" s="728"/>
      <c r="O325" s="728"/>
      <c r="P325" s="741"/>
      <c r="Q325" s="729"/>
    </row>
    <row r="326" spans="1:17" ht="14.4" customHeight="1" x14ac:dyDescent="0.3">
      <c r="A326" s="724" t="s">
        <v>552</v>
      </c>
      <c r="B326" s="725" t="s">
        <v>3452</v>
      </c>
      <c r="C326" s="725" t="s">
        <v>3123</v>
      </c>
      <c r="D326" s="725" t="s">
        <v>3223</v>
      </c>
      <c r="E326" s="725" t="s">
        <v>3222</v>
      </c>
      <c r="F326" s="728">
        <v>8</v>
      </c>
      <c r="G326" s="728">
        <v>109344</v>
      </c>
      <c r="H326" s="728"/>
      <c r="I326" s="728">
        <v>13668</v>
      </c>
      <c r="J326" s="728"/>
      <c r="K326" s="728"/>
      <c r="L326" s="728"/>
      <c r="M326" s="728"/>
      <c r="N326" s="728"/>
      <c r="O326" s="728"/>
      <c r="P326" s="741"/>
      <c r="Q326" s="729"/>
    </row>
    <row r="327" spans="1:17" ht="14.4" customHeight="1" x14ac:dyDescent="0.3">
      <c r="A327" s="724" t="s">
        <v>552</v>
      </c>
      <c r="B327" s="725" t="s">
        <v>3452</v>
      </c>
      <c r="C327" s="725" t="s">
        <v>3123</v>
      </c>
      <c r="D327" s="725" t="s">
        <v>3224</v>
      </c>
      <c r="E327" s="725" t="s">
        <v>3222</v>
      </c>
      <c r="F327" s="728">
        <v>8</v>
      </c>
      <c r="G327" s="728">
        <v>26821.119999999999</v>
      </c>
      <c r="H327" s="728"/>
      <c r="I327" s="728">
        <v>3352.64</v>
      </c>
      <c r="J327" s="728"/>
      <c r="K327" s="728"/>
      <c r="L327" s="728"/>
      <c r="M327" s="728"/>
      <c r="N327" s="728"/>
      <c r="O327" s="728"/>
      <c r="P327" s="741"/>
      <c r="Q327" s="729"/>
    </row>
    <row r="328" spans="1:17" ht="14.4" customHeight="1" x14ac:dyDescent="0.3">
      <c r="A328" s="724" t="s">
        <v>552</v>
      </c>
      <c r="B328" s="725" t="s">
        <v>3452</v>
      </c>
      <c r="C328" s="725" t="s">
        <v>3123</v>
      </c>
      <c r="D328" s="725" t="s">
        <v>3225</v>
      </c>
      <c r="E328" s="725" t="s">
        <v>3222</v>
      </c>
      <c r="F328" s="728">
        <v>4</v>
      </c>
      <c r="G328" s="728">
        <v>12855.04</v>
      </c>
      <c r="H328" s="728"/>
      <c r="I328" s="728">
        <v>3213.76</v>
      </c>
      <c r="J328" s="728"/>
      <c r="K328" s="728"/>
      <c r="L328" s="728"/>
      <c r="M328" s="728"/>
      <c r="N328" s="728"/>
      <c r="O328" s="728"/>
      <c r="P328" s="741"/>
      <c r="Q328" s="729"/>
    </row>
    <row r="329" spans="1:17" ht="14.4" customHeight="1" x14ac:dyDescent="0.3">
      <c r="A329" s="724" t="s">
        <v>552</v>
      </c>
      <c r="B329" s="725" t="s">
        <v>3452</v>
      </c>
      <c r="C329" s="725" t="s">
        <v>3123</v>
      </c>
      <c r="D329" s="725" t="s">
        <v>3226</v>
      </c>
      <c r="E329" s="725" t="s">
        <v>3222</v>
      </c>
      <c r="F329" s="728">
        <v>4</v>
      </c>
      <c r="G329" s="728">
        <v>17141.439999999999</v>
      </c>
      <c r="H329" s="728"/>
      <c r="I329" s="728">
        <v>4285.3599999999997</v>
      </c>
      <c r="J329" s="728"/>
      <c r="K329" s="728"/>
      <c r="L329" s="728"/>
      <c r="M329" s="728"/>
      <c r="N329" s="728"/>
      <c r="O329" s="728"/>
      <c r="P329" s="741"/>
      <c r="Q329" s="729"/>
    </row>
    <row r="330" spans="1:17" ht="14.4" customHeight="1" x14ac:dyDescent="0.3">
      <c r="A330" s="724" t="s">
        <v>552</v>
      </c>
      <c r="B330" s="725" t="s">
        <v>3452</v>
      </c>
      <c r="C330" s="725" t="s">
        <v>3123</v>
      </c>
      <c r="D330" s="725" t="s">
        <v>3506</v>
      </c>
      <c r="E330" s="725" t="s">
        <v>3507</v>
      </c>
      <c r="F330" s="728"/>
      <c r="G330" s="728"/>
      <c r="H330" s="728"/>
      <c r="I330" s="728"/>
      <c r="J330" s="728">
        <v>1</v>
      </c>
      <c r="K330" s="728">
        <v>11282</v>
      </c>
      <c r="L330" s="728">
        <v>1</v>
      </c>
      <c r="M330" s="728">
        <v>11282</v>
      </c>
      <c r="N330" s="728"/>
      <c r="O330" s="728"/>
      <c r="P330" s="741"/>
      <c r="Q330" s="729"/>
    </row>
    <row r="331" spans="1:17" ht="14.4" customHeight="1" x14ac:dyDescent="0.3">
      <c r="A331" s="724" t="s">
        <v>552</v>
      </c>
      <c r="B331" s="725" t="s">
        <v>3452</v>
      </c>
      <c r="C331" s="725" t="s">
        <v>3123</v>
      </c>
      <c r="D331" s="725" t="s">
        <v>3508</v>
      </c>
      <c r="E331" s="725" t="s">
        <v>3228</v>
      </c>
      <c r="F331" s="728"/>
      <c r="G331" s="728"/>
      <c r="H331" s="728"/>
      <c r="I331" s="728"/>
      <c r="J331" s="728"/>
      <c r="K331" s="728"/>
      <c r="L331" s="728"/>
      <c r="M331" s="728"/>
      <c r="N331" s="728">
        <v>3</v>
      </c>
      <c r="O331" s="728">
        <v>469.47</v>
      </c>
      <c r="P331" s="741"/>
      <c r="Q331" s="729">
        <v>156.49</v>
      </c>
    </row>
    <row r="332" spans="1:17" ht="14.4" customHeight="1" x14ac:dyDescent="0.3">
      <c r="A332" s="724" t="s">
        <v>552</v>
      </c>
      <c r="B332" s="725" t="s">
        <v>3452</v>
      </c>
      <c r="C332" s="725" t="s">
        <v>3123</v>
      </c>
      <c r="D332" s="725" t="s">
        <v>3509</v>
      </c>
      <c r="E332" s="725" t="s">
        <v>3228</v>
      </c>
      <c r="F332" s="728">
        <v>9</v>
      </c>
      <c r="G332" s="728">
        <v>1548.36</v>
      </c>
      <c r="H332" s="728"/>
      <c r="I332" s="728">
        <v>172.04</v>
      </c>
      <c r="J332" s="728"/>
      <c r="K332" s="728"/>
      <c r="L332" s="728"/>
      <c r="M332" s="728"/>
      <c r="N332" s="728">
        <v>1</v>
      </c>
      <c r="O332" s="728">
        <v>172.04</v>
      </c>
      <c r="P332" s="741"/>
      <c r="Q332" s="729">
        <v>172.04</v>
      </c>
    </row>
    <row r="333" spans="1:17" ht="14.4" customHeight="1" x14ac:dyDescent="0.3">
      <c r="A333" s="724" t="s">
        <v>552</v>
      </c>
      <c r="B333" s="725" t="s">
        <v>3452</v>
      </c>
      <c r="C333" s="725" t="s">
        <v>3123</v>
      </c>
      <c r="D333" s="725" t="s">
        <v>3510</v>
      </c>
      <c r="E333" s="725" t="s">
        <v>3228</v>
      </c>
      <c r="F333" s="728">
        <v>2</v>
      </c>
      <c r="G333" s="728">
        <v>393.82</v>
      </c>
      <c r="H333" s="728"/>
      <c r="I333" s="728">
        <v>196.91</v>
      </c>
      <c r="J333" s="728"/>
      <c r="K333" s="728"/>
      <c r="L333" s="728"/>
      <c r="M333" s="728"/>
      <c r="N333" s="728"/>
      <c r="O333" s="728"/>
      <c r="P333" s="741"/>
      <c r="Q333" s="729"/>
    </row>
    <row r="334" spans="1:17" ht="14.4" customHeight="1" x14ac:dyDescent="0.3">
      <c r="A334" s="724" t="s">
        <v>552</v>
      </c>
      <c r="B334" s="725" t="s">
        <v>3452</v>
      </c>
      <c r="C334" s="725" t="s">
        <v>3123</v>
      </c>
      <c r="D334" s="725" t="s">
        <v>3511</v>
      </c>
      <c r="E334" s="725" t="s">
        <v>3228</v>
      </c>
      <c r="F334" s="728"/>
      <c r="G334" s="728"/>
      <c r="H334" s="728"/>
      <c r="I334" s="728"/>
      <c r="J334" s="728"/>
      <c r="K334" s="728"/>
      <c r="L334" s="728"/>
      <c r="M334" s="728"/>
      <c r="N334" s="728">
        <v>1</v>
      </c>
      <c r="O334" s="728">
        <v>312.98</v>
      </c>
      <c r="P334" s="741"/>
      <c r="Q334" s="729">
        <v>312.98</v>
      </c>
    </row>
    <row r="335" spans="1:17" ht="14.4" customHeight="1" x14ac:dyDescent="0.3">
      <c r="A335" s="724" t="s">
        <v>552</v>
      </c>
      <c r="B335" s="725" t="s">
        <v>3452</v>
      </c>
      <c r="C335" s="725" t="s">
        <v>3123</v>
      </c>
      <c r="D335" s="725" t="s">
        <v>3512</v>
      </c>
      <c r="E335" s="725" t="s">
        <v>3228</v>
      </c>
      <c r="F335" s="728">
        <v>2</v>
      </c>
      <c r="G335" s="728">
        <v>750.32</v>
      </c>
      <c r="H335" s="728"/>
      <c r="I335" s="728">
        <v>375.16</v>
      </c>
      <c r="J335" s="728"/>
      <c r="K335" s="728"/>
      <c r="L335" s="728"/>
      <c r="M335" s="728"/>
      <c r="N335" s="728"/>
      <c r="O335" s="728"/>
      <c r="P335" s="741"/>
      <c r="Q335" s="729"/>
    </row>
    <row r="336" spans="1:17" ht="14.4" customHeight="1" x14ac:dyDescent="0.3">
      <c r="A336" s="724" t="s">
        <v>552</v>
      </c>
      <c r="B336" s="725" t="s">
        <v>3452</v>
      </c>
      <c r="C336" s="725" t="s">
        <v>3123</v>
      </c>
      <c r="D336" s="725" t="s">
        <v>3229</v>
      </c>
      <c r="E336" s="725" t="s">
        <v>3230</v>
      </c>
      <c r="F336" s="728">
        <v>4</v>
      </c>
      <c r="G336" s="728">
        <v>13080</v>
      </c>
      <c r="H336" s="728"/>
      <c r="I336" s="728">
        <v>3270</v>
      </c>
      <c r="J336" s="728"/>
      <c r="K336" s="728"/>
      <c r="L336" s="728"/>
      <c r="M336" s="728"/>
      <c r="N336" s="728"/>
      <c r="O336" s="728"/>
      <c r="P336" s="741"/>
      <c r="Q336" s="729"/>
    </row>
    <row r="337" spans="1:17" ht="14.4" customHeight="1" x14ac:dyDescent="0.3">
      <c r="A337" s="724" t="s">
        <v>552</v>
      </c>
      <c r="B337" s="725" t="s">
        <v>3452</v>
      </c>
      <c r="C337" s="725" t="s">
        <v>3123</v>
      </c>
      <c r="D337" s="725" t="s">
        <v>3231</v>
      </c>
      <c r="E337" s="725" t="s">
        <v>3230</v>
      </c>
      <c r="F337" s="728">
        <v>2</v>
      </c>
      <c r="G337" s="728">
        <v>12622</v>
      </c>
      <c r="H337" s="728"/>
      <c r="I337" s="728">
        <v>6311</v>
      </c>
      <c r="J337" s="728"/>
      <c r="K337" s="728"/>
      <c r="L337" s="728"/>
      <c r="M337" s="728"/>
      <c r="N337" s="728"/>
      <c r="O337" s="728"/>
      <c r="P337" s="741"/>
      <c r="Q337" s="729"/>
    </row>
    <row r="338" spans="1:17" ht="14.4" customHeight="1" x14ac:dyDescent="0.3">
      <c r="A338" s="724" t="s">
        <v>552</v>
      </c>
      <c r="B338" s="725" t="s">
        <v>3452</v>
      </c>
      <c r="C338" s="725" t="s">
        <v>3123</v>
      </c>
      <c r="D338" s="725" t="s">
        <v>3232</v>
      </c>
      <c r="E338" s="725" t="s">
        <v>3230</v>
      </c>
      <c r="F338" s="728">
        <v>4</v>
      </c>
      <c r="G338" s="728">
        <v>40480</v>
      </c>
      <c r="H338" s="728"/>
      <c r="I338" s="728">
        <v>10120</v>
      </c>
      <c r="J338" s="728"/>
      <c r="K338" s="728"/>
      <c r="L338" s="728"/>
      <c r="M338" s="728"/>
      <c r="N338" s="728"/>
      <c r="O338" s="728"/>
      <c r="P338" s="741"/>
      <c r="Q338" s="729"/>
    </row>
    <row r="339" spans="1:17" ht="14.4" customHeight="1" x14ac:dyDescent="0.3">
      <c r="A339" s="724" t="s">
        <v>552</v>
      </c>
      <c r="B339" s="725" t="s">
        <v>3452</v>
      </c>
      <c r="C339" s="725" t="s">
        <v>3123</v>
      </c>
      <c r="D339" s="725" t="s">
        <v>3513</v>
      </c>
      <c r="E339" s="725" t="s">
        <v>3257</v>
      </c>
      <c r="F339" s="728">
        <v>1</v>
      </c>
      <c r="G339" s="728">
        <v>6425</v>
      </c>
      <c r="H339" s="728">
        <v>1</v>
      </c>
      <c r="I339" s="728">
        <v>6425</v>
      </c>
      <c r="J339" s="728">
        <v>1</v>
      </c>
      <c r="K339" s="728">
        <v>6425</v>
      </c>
      <c r="L339" s="728">
        <v>1</v>
      </c>
      <c r="M339" s="728">
        <v>6425</v>
      </c>
      <c r="N339" s="728"/>
      <c r="O339" s="728"/>
      <c r="P339" s="741"/>
      <c r="Q339" s="729"/>
    </row>
    <row r="340" spans="1:17" ht="14.4" customHeight="1" x14ac:dyDescent="0.3">
      <c r="A340" s="724" t="s">
        <v>552</v>
      </c>
      <c r="B340" s="725" t="s">
        <v>3452</v>
      </c>
      <c r="C340" s="725" t="s">
        <v>3123</v>
      </c>
      <c r="D340" s="725" t="s">
        <v>3240</v>
      </c>
      <c r="E340" s="725" t="s">
        <v>3241</v>
      </c>
      <c r="F340" s="728">
        <v>2</v>
      </c>
      <c r="G340" s="728">
        <v>3235.52</v>
      </c>
      <c r="H340" s="728"/>
      <c r="I340" s="728">
        <v>1617.76</v>
      </c>
      <c r="J340" s="728"/>
      <c r="K340" s="728"/>
      <c r="L340" s="728"/>
      <c r="M340" s="728"/>
      <c r="N340" s="728"/>
      <c r="O340" s="728"/>
      <c r="P340" s="741"/>
      <c r="Q340" s="729"/>
    </row>
    <row r="341" spans="1:17" ht="14.4" customHeight="1" x14ac:dyDescent="0.3">
      <c r="A341" s="724" t="s">
        <v>552</v>
      </c>
      <c r="B341" s="725" t="s">
        <v>3452</v>
      </c>
      <c r="C341" s="725" t="s">
        <v>3123</v>
      </c>
      <c r="D341" s="725" t="s">
        <v>3514</v>
      </c>
      <c r="E341" s="725" t="s">
        <v>3165</v>
      </c>
      <c r="F341" s="728"/>
      <c r="G341" s="728"/>
      <c r="H341" s="728"/>
      <c r="I341" s="728"/>
      <c r="J341" s="728"/>
      <c r="K341" s="728"/>
      <c r="L341" s="728"/>
      <c r="M341" s="728"/>
      <c r="N341" s="728">
        <v>1</v>
      </c>
      <c r="O341" s="728">
        <v>6919</v>
      </c>
      <c r="P341" s="741"/>
      <c r="Q341" s="729">
        <v>6919</v>
      </c>
    </row>
    <row r="342" spans="1:17" ht="14.4" customHeight="1" x14ac:dyDescent="0.3">
      <c r="A342" s="724" t="s">
        <v>552</v>
      </c>
      <c r="B342" s="725" t="s">
        <v>3452</v>
      </c>
      <c r="C342" s="725" t="s">
        <v>3123</v>
      </c>
      <c r="D342" s="725" t="s">
        <v>3242</v>
      </c>
      <c r="E342" s="725" t="s">
        <v>3243</v>
      </c>
      <c r="F342" s="728">
        <v>1</v>
      </c>
      <c r="G342" s="728">
        <v>10353.27</v>
      </c>
      <c r="H342" s="728"/>
      <c r="I342" s="728">
        <v>10353.27</v>
      </c>
      <c r="J342" s="728"/>
      <c r="K342" s="728"/>
      <c r="L342" s="728"/>
      <c r="M342" s="728"/>
      <c r="N342" s="728"/>
      <c r="O342" s="728"/>
      <c r="P342" s="741"/>
      <c r="Q342" s="729"/>
    </row>
    <row r="343" spans="1:17" ht="14.4" customHeight="1" x14ac:dyDescent="0.3">
      <c r="A343" s="724" t="s">
        <v>552</v>
      </c>
      <c r="B343" s="725" t="s">
        <v>3452</v>
      </c>
      <c r="C343" s="725" t="s">
        <v>3123</v>
      </c>
      <c r="D343" s="725" t="s">
        <v>3250</v>
      </c>
      <c r="E343" s="725" t="s">
        <v>3251</v>
      </c>
      <c r="F343" s="728"/>
      <c r="G343" s="728"/>
      <c r="H343" s="728"/>
      <c r="I343" s="728"/>
      <c r="J343" s="728">
        <v>1</v>
      </c>
      <c r="K343" s="728">
        <v>69250</v>
      </c>
      <c r="L343" s="728">
        <v>1</v>
      </c>
      <c r="M343" s="728">
        <v>69250</v>
      </c>
      <c r="N343" s="728"/>
      <c r="O343" s="728"/>
      <c r="P343" s="741"/>
      <c r="Q343" s="729"/>
    </row>
    <row r="344" spans="1:17" ht="14.4" customHeight="1" x14ac:dyDescent="0.3">
      <c r="A344" s="724" t="s">
        <v>552</v>
      </c>
      <c r="B344" s="725" t="s">
        <v>3452</v>
      </c>
      <c r="C344" s="725" t="s">
        <v>3123</v>
      </c>
      <c r="D344" s="725" t="s">
        <v>3258</v>
      </c>
      <c r="E344" s="725" t="s">
        <v>3171</v>
      </c>
      <c r="F344" s="728"/>
      <c r="G344" s="728"/>
      <c r="H344" s="728"/>
      <c r="I344" s="728"/>
      <c r="J344" s="728">
        <v>1</v>
      </c>
      <c r="K344" s="728">
        <v>4227.33</v>
      </c>
      <c r="L344" s="728">
        <v>1</v>
      </c>
      <c r="M344" s="728">
        <v>4227.33</v>
      </c>
      <c r="N344" s="728">
        <v>2</v>
      </c>
      <c r="O344" s="728">
        <v>8454.66</v>
      </c>
      <c r="P344" s="741">
        <v>2</v>
      </c>
      <c r="Q344" s="729">
        <v>4227.33</v>
      </c>
    </row>
    <row r="345" spans="1:17" ht="14.4" customHeight="1" x14ac:dyDescent="0.3">
      <c r="A345" s="724" t="s">
        <v>552</v>
      </c>
      <c r="B345" s="725" t="s">
        <v>3452</v>
      </c>
      <c r="C345" s="725" t="s">
        <v>3123</v>
      </c>
      <c r="D345" s="725" t="s">
        <v>3515</v>
      </c>
      <c r="E345" s="725" t="s">
        <v>3143</v>
      </c>
      <c r="F345" s="728">
        <v>3</v>
      </c>
      <c r="G345" s="728">
        <v>8955</v>
      </c>
      <c r="H345" s="728">
        <v>3</v>
      </c>
      <c r="I345" s="728">
        <v>2985</v>
      </c>
      <c r="J345" s="728">
        <v>1</v>
      </c>
      <c r="K345" s="728">
        <v>2985</v>
      </c>
      <c r="L345" s="728">
        <v>1</v>
      </c>
      <c r="M345" s="728">
        <v>2985</v>
      </c>
      <c r="N345" s="728"/>
      <c r="O345" s="728"/>
      <c r="P345" s="741"/>
      <c r="Q345" s="729"/>
    </row>
    <row r="346" spans="1:17" ht="14.4" customHeight="1" x14ac:dyDescent="0.3">
      <c r="A346" s="724" t="s">
        <v>552</v>
      </c>
      <c r="B346" s="725" t="s">
        <v>3452</v>
      </c>
      <c r="C346" s="725" t="s">
        <v>3123</v>
      </c>
      <c r="D346" s="725" t="s">
        <v>3264</v>
      </c>
      <c r="E346" s="725" t="s">
        <v>3265</v>
      </c>
      <c r="F346" s="728"/>
      <c r="G346" s="728"/>
      <c r="H346" s="728"/>
      <c r="I346" s="728"/>
      <c r="J346" s="728">
        <v>1</v>
      </c>
      <c r="K346" s="728">
        <v>14750.56</v>
      </c>
      <c r="L346" s="728">
        <v>1</v>
      </c>
      <c r="M346" s="728">
        <v>14750.56</v>
      </c>
      <c r="N346" s="728"/>
      <c r="O346" s="728"/>
      <c r="P346" s="741"/>
      <c r="Q346" s="729"/>
    </row>
    <row r="347" spans="1:17" ht="14.4" customHeight="1" x14ac:dyDescent="0.3">
      <c r="A347" s="724" t="s">
        <v>552</v>
      </c>
      <c r="B347" s="725" t="s">
        <v>3452</v>
      </c>
      <c r="C347" s="725" t="s">
        <v>3123</v>
      </c>
      <c r="D347" s="725" t="s">
        <v>3516</v>
      </c>
      <c r="E347" s="725" t="s">
        <v>3196</v>
      </c>
      <c r="F347" s="728">
        <v>1</v>
      </c>
      <c r="G347" s="728">
        <v>57042</v>
      </c>
      <c r="H347" s="728"/>
      <c r="I347" s="728">
        <v>57042</v>
      </c>
      <c r="J347" s="728"/>
      <c r="K347" s="728"/>
      <c r="L347" s="728"/>
      <c r="M347" s="728"/>
      <c r="N347" s="728"/>
      <c r="O347" s="728"/>
      <c r="P347" s="741"/>
      <c r="Q347" s="729"/>
    </row>
    <row r="348" spans="1:17" ht="14.4" customHeight="1" x14ac:dyDescent="0.3">
      <c r="A348" s="724" t="s">
        <v>552</v>
      </c>
      <c r="B348" s="725" t="s">
        <v>3452</v>
      </c>
      <c r="C348" s="725" t="s">
        <v>3123</v>
      </c>
      <c r="D348" s="725" t="s">
        <v>3517</v>
      </c>
      <c r="E348" s="725" t="s">
        <v>3518</v>
      </c>
      <c r="F348" s="728">
        <v>4</v>
      </c>
      <c r="G348" s="728">
        <v>47486.2</v>
      </c>
      <c r="H348" s="728"/>
      <c r="I348" s="728">
        <v>11871.55</v>
      </c>
      <c r="J348" s="728"/>
      <c r="K348" s="728"/>
      <c r="L348" s="728"/>
      <c r="M348" s="728"/>
      <c r="N348" s="728"/>
      <c r="O348" s="728"/>
      <c r="P348" s="741"/>
      <c r="Q348" s="729"/>
    </row>
    <row r="349" spans="1:17" ht="14.4" customHeight="1" x14ac:dyDescent="0.3">
      <c r="A349" s="724" t="s">
        <v>552</v>
      </c>
      <c r="B349" s="725" t="s">
        <v>3452</v>
      </c>
      <c r="C349" s="725" t="s">
        <v>3123</v>
      </c>
      <c r="D349" s="725" t="s">
        <v>3519</v>
      </c>
      <c r="E349" s="725" t="s">
        <v>3200</v>
      </c>
      <c r="F349" s="728">
        <v>0.5</v>
      </c>
      <c r="G349" s="728">
        <v>1392.35</v>
      </c>
      <c r="H349" s="728"/>
      <c r="I349" s="728">
        <v>2784.7</v>
      </c>
      <c r="J349" s="728"/>
      <c r="K349" s="728"/>
      <c r="L349" s="728"/>
      <c r="M349" s="728"/>
      <c r="N349" s="728"/>
      <c r="O349" s="728"/>
      <c r="P349" s="741"/>
      <c r="Q349" s="729"/>
    </row>
    <row r="350" spans="1:17" ht="14.4" customHeight="1" x14ac:dyDescent="0.3">
      <c r="A350" s="724" t="s">
        <v>552</v>
      </c>
      <c r="B350" s="725" t="s">
        <v>3452</v>
      </c>
      <c r="C350" s="725" t="s">
        <v>3123</v>
      </c>
      <c r="D350" s="725" t="s">
        <v>3282</v>
      </c>
      <c r="E350" s="725" t="s">
        <v>3283</v>
      </c>
      <c r="F350" s="728"/>
      <c r="G350" s="728"/>
      <c r="H350" s="728"/>
      <c r="I350" s="728"/>
      <c r="J350" s="728">
        <v>6</v>
      </c>
      <c r="K350" s="728">
        <v>53100</v>
      </c>
      <c r="L350" s="728">
        <v>1</v>
      </c>
      <c r="M350" s="728">
        <v>8850</v>
      </c>
      <c r="N350" s="728">
        <v>4</v>
      </c>
      <c r="O350" s="728">
        <v>35400</v>
      </c>
      <c r="P350" s="741">
        <v>0.66666666666666663</v>
      </c>
      <c r="Q350" s="729">
        <v>8850</v>
      </c>
    </row>
    <row r="351" spans="1:17" ht="14.4" customHeight="1" x14ac:dyDescent="0.3">
      <c r="A351" s="724" t="s">
        <v>552</v>
      </c>
      <c r="B351" s="725" t="s">
        <v>3452</v>
      </c>
      <c r="C351" s="725" t="s">
        <v>3123</v>
      </c>
      <c r="D351" s="725" t="s">
        <v>3284</v>
      </c>
      <c r="E351" s="725" t="s">
        <v>3283</v>
      </c>
      <c r="F351" s="728"/>
      <c r="G351" s="728"/>
      <c r="H351" s="728"/>
      <c r="I351" s="728"/>
      <c r="J351" s="728">
        <v>2</v>
      </c>
      <c r="K351" s="728">
        <v>9062</v>
      </c>
      <c r="L351" s="728">
        <v>1</v>
      </c>
      <c r="M351" s="728">
        <v>4531</v>
      </c>
      <c r="N351" s="728">
        <v>2</v>
      </c>
      <c r="O351" s="728">
        <v>9062</v>
      </c>
      <c r="P351" s="741">
        <v>1</v>
      </c>
      <c r="Q351" s="729">
        <v>4531</v>
      </c>
    </row>
    <row r="352" spans="1:17" ht="14.4" customHeight="1" x14ac:dyDescent="0.3">
      <c r="A352" s="724" t="s">
        <v>552</v>
      </c>
      <c r="B352" s="725" t="s">
        <v>3452</v>
      </c>
      <c r="C352" s="725" t="s">
        <v>3123</v>
      </c>
      <c r="D352" s="725" t="s">
        <v>3285</v>
      </c>
      <c r="E352" s="725" t="s">
        <v>3286</v>
      </c>
      <c r="F352" s="728"/>
      <c r="G352" s="728"/>
      <c r="H352" s="728"/>
      <c r="I352" s="728"/>
      <c r="J352" s="728">
        <v>4</v>
      </c>
      <c r="K352" s="728">
        <v>73140</v>
      </c>
      <c r="L352" s="728">
        <v>1</v>
      </c>
      <c r="M352" s="728">
        <v>18285</v>
      </c>
      <c r="N352" s="728">
        <v>2</v>
      </c>
      <c r="O352" s="728">
        <v>36570</v>
      </c>
      <c r="P352" s="741">
        <v>0.5</v>
      </c>
      <c r="Q352" s="729">
        <v>18285</v>
      </c>
    </row>
    <row r="353" spans="1:17" ht="14.4" customHeight="1" x14ac:dyDescent="0.3">
      <c r="A353" s="724" t="s">
        <v>552</v>
      </c>
      <c r="B353" s="725" t="s">
        <v>3452</v>
      </c>
      <c r="C353" s="725" t="s">
        <v>3123</v>
      </c>
      <c r="D353" s="725" t="s">
        <v>3287</v>
      </c>
      <c r="E353" s="725" t="s">
        <v>3283</v>
      </c>
      <c r="F353" s="728"/>
      <c r="G353" s="728"/>
      <c r="H353" s="728"/>
      <c r="I353" s="728"/>
      <c r="J353" s="728">
        <v>6</v>
      </c>
      <c r="K353" s="728">
        <v>11976</v>
      </c>
      <c r="L353" s="728">
        <v>1</v>
      </c>
      <c r="M353" s="728">
        <v>1996</v>
      </c>
      <c r="N353" s="728">
        <v>4</v>
      </c>
      <c r="O353" s="728">
        <v>7984</v>
      </c>
      <c r="P353" s="741">
        <v>0.66666666666666663</v>
      </c>
      <c r="Q353" s="729">
        <v>1996</v>
      </c>
    </row>
    <row r="354" spans="1:17" ht="14.4" customHeight="1" x14ac:dyDescent="0.3">
      <c r="A354" s="724" t="s">
        <v>552</v>
      </c>
      <c r="B354" s="725" t="s">
        <v>3452</v>
      </c>
      <c r="C354" s="725" t="s">
        <v>3123</v>
      </c>
      <c r="D354" s="725" t="s">
        <v>3520</v>
      </c>
      <c r="E354" s="725" t="s">
        <v>3283</v>
      </c>
      <c r="F354" s="728"/>
      <c r="G354" s="728"/>
      <c r="H354" s="728"/>
      <c r="I354" s="728"/>
      <c r="J354" s="728">
        <v>1</v>
      </c>
      <c r="K354" s="728">
        <v>10110</v>
      </c>
      <c r="L354" s="728">
        <v>1</v>
      </c>
      <c r="M354" s="728">
        <v>10110</v>
      </c>
      <c r="N354" s="728">
        <v>1</v>
      </c>
      <c r="O354" s="728">
        <v>10110</v>
      </c>
      <c r="P354" s="741">
        <v>1</v>
      </c>
      <c r="Q354" s="729">
        <v>10110</v>
      </c>
    </row>
    <row r="355" spans="1:17" ht="14.4" customHeight="1" x14ac:dyDescent="0.3">
      <c r="A355" s="724" t="s">
        <v>552</v>
      </c>
      <c r="B355" s="725" t="s">
        <v>3452</v>
      </c>
      <c r="C355" s="725" t="s">
        <v>3123</v>
      </c>
      <c r="D355" s="725" t="s">
        <v>3521</v>
      </c>
      <c r="E355" s="725" t="s">
        <v>3495</v>
      </c>
      <c r="F355" s="728"/>
      <c r="G355" s="728"/>
      <c r="H355" s="728"/>
      <c r="I355" s="728"/>
      <c r="J355" s="728">
        <v>6</v>
      </c>
      <c r="K355" s="728">
        <v>116404.32</v>
      </c>
      <c r="L355" s="728">
        <v>1</v>
      </c>
      <c r="M355" s="728">
        <v>19400.72</v>
      </c>
      <c r="N355" s="728">
        <v>4</v>
      </c>
      <c r="O355" s="728">
        <v>77602.880000000005</v>
      </c>
      <c r="P355" s="741">
        <v>0.66666666666666663</v>
      </c>
      <c r="Q355" s="729">
        <v>19400.72</v>
      </c>
    </row>
    <row r="356" spans="1:17" ht="14.4" customHeight="1" x14ac:dyDescent="0.3">
      <c r="A356" s="724" t="s">
        <v>552</v>
      </c>
      <c r="B356" s="725" t="s">
        <v>3452</v>
      </c>
      <c r="C356" s="725" t="s">
        <v>3123</v>
      </c>
      <c r="D356" s="725" t="s">
        <v>3522</v>
      </c>
      <c r="E356" s="725" t="s">
        <v>3143</v>
      </c>
      <c r="F356" s="728"/>
      <c r="G356" s="728"/>
      <c r="H356" s="728"/>
      <c r="I356" s="728"/>
      <c r="J356" s="728">
        <v>1</v>
      </c>
      <c r="K356" s="728">
        <v>2033.67</v>
      </c>
      <c r="L356" s="728">
        <v>1</v>
      </c>
      <c r="M356" s="728">
        <v>2033.67</v>
      </c>
      <c r="N356" s="728"/>
      <c r="O356" s="728"/>
      <c r="P356" s="741"/>
      <c r="Q356" s="729"/>
    </row>
    <row r="357" spans="1:17" ht="14.4" customHeight="1" x14ac:dyDescent="0.3">
      <c r="A357" s="724" t="s">
        <v>552</v>
      </c>
      <c r="B357" s="725" t="s">
        <v>3452</v>
      </c>
      <c r="C357" s="725" t="s">
        <v>3123</v>
      </c>
      <c r="D357" s="725" t="s">
        <v>3523</v>
      </c>
      <c r="E357" s="725" t="s">
        <v>3298</v>
      </c>
      <c r="F357" s="728"/>
      <c r="G357" s="728"/>
      <c r="H357" s="728"/>
      <c r="I357" s="728"/>
      <c r="J357" s="728"/>
      <c r="K357" s="728"/>
      <c r="L357" s="728"/>
      <c r="M357" s="728"/>
      <c r="N357" s="728">
        <v>2</v>
      </c>
      <c r="O357" s="728">
        <v>25691</v>
      </c>
      <c r="P357" s="741"/>
      <c r="Q357" s="729">
        <v>12845.5</v>
      </c>
    </row>
    <row r="358" spans="1:17" ht="14.4" customHeight="1" x14ac:dyDescent="0.3">
      <c r="A358" s="724" t="s">
        <v>552</v>
      </c>
      <c r="B358" s="725" t="s">
        <v>3452</v>
      </c>
      <c r="C358" s="725" t="s">
        <v>3123</v>
      </c>
      <c r="D358" s="725" t="s">
        <v>3297</v>
      </c>
      <c r="E358" s="725" t="s">
        <v>3298</v>
      </c>
      <c r="F358" s="728"/>
      <c r="G358" s="728"/>
      <c r="H358" s="728"/>
      <c r="I358" s="728"/>
      <c r="J358" s="728"/>
      <c r="K358" s="728"/>
      <c r="L358" s="728"/>
      <c r="M358" s="728"/>
      <c r="N358" s="728">
        <v>1</v>
      </c>
      <c r="O358" s="728">
        <v>64567.3</v>
      </c>
      <c r="P358" s="741"/>
      <c r="Q358" s="729">
        <v>64567.3</v>
      </c>
    </row>
    <row r="359" spans="1:17" ht="14.4" customHeight="1" x14ac:dyDescent="0.3">
      <c r="A359" s="724" t="s">
        <v>552</v>
      </c>
      <c r="B359" s="725" t="s">
        <v>3452</v>
      </c>
      <c r="C359" s="725" t="s">
        <v>3123</v>
      </c>
      <c r="D359" s="725" t="s">
        <v>3308</v>
      </c>
      <c r="E359" s="725" t="s">
        <v>3309</v>
      </c>
      <c r="F359" s="728"/>
      <c r="G359" s="728"/>
      <c r="H359" s="728"/>
      <c r="I359" s="728"/>
      <c r="J359" s="728"/>
      <c r="K359" s="728"/>
      <c r="L359" s="728"/>
      <c r="M359" s="728"/>
      <c r="N359" s="728">
        <v>7</v>
      </c>
      <c r="O359" s="728">
        <v>84280</v>
      </c>
      <c r="P359" s="741"/>
      <c r="Q359" s="729">
        <v>12040</v>
      </c>
    </row>
    <row r="360" spans="1:17" ht="14.4" customHeight="1" x14ac:dyDescent="0.3">
      <c r="A360" s="724" t="s">
        <v>552</v>
      </c>
      <c r="B360" s="725" t="s">
        <v>3452</v>
      </c>
      <c r="C360" s="725" t="s">
        <v>3123</v>
      </c>
      <c r="D360" s="725" t="s">
        <v>3524</v>
      </c>
      <c r="E360" s="725" t="s">
        <v>3525</v>
      </c>
      <c r="F360" s="728"/>
      <c r="G360" s="728"/>
      <c r="H360" s="728"/>
      <c r="I360" s="728"/>
      <c r="J360" s="728"/>
      <c r="K360" s="728"/>
      <c r="L360" s="728"/>
      <c r="M360" s="728"/>
      <c r="N360" s="728">
        <v>4</v>
      </c>
      <c r="O360" s="728">
        <v>9812</v>
      </c>
      <c r="P360" s="741"/>
      <c r="Q360" s="729">
        <v>2453</v>
      </c>
    </row>
    <row r="361" spans="1:17" ht="14.4" customHeight="1" x14ac:dyDescent="0.3">
      <c r="A361" s="724" t="s">
        <v>552</v>
      </c>
      <c r="B361" s="725" t="s">
        <v>3452</v>
      </c>
      <c r="C361" s="725" t="s">
        <v>3123</v>
      </c>
      <c r="D361" s="725" t="s">
        <v>3314</v>
      </c>
      <c r="E361" s="725" t="s">
        <v>3309</v>
      </c>
      <c r="F361" s="728"/>
      <c r="G361" s="728"/>
      <c r="H361" s="728"/>
      <c r="I361" s="728"/>
      <c r="J361" s="728"/>
      <c r="K361" s="728"/>
      <c r="L361" s="728"/>
      <c r="M361" s="728"/>
      <c r="N361" s="728">
        <v>2</v>
      </c>
      <c r="O361" s="728">
        <v>17294</v>
      </c>
      <c r="P361" s="741"/>
      <c r="Q361" s="729">
        <v>8647</v>
      </c>
    </row>
    <row r="362" spans="1:17" ht="14.4" customHeight="1" x14ac:dyDescent="0.3">
      <c r="A362" s="724" t="s">
        <v>552</v>
      </c>
      <c r="B362" s="725" t="s">
        <v>3452</v>
      </c>
      <c r="C362" s="725" t="s">
        <v>3123</v>
      </c>
      <c r="D362" s="725" t="s">
        <v>3319</v>
      </c>
      <c r="E362" s="725" t="s">
        <v>3309</v>
      </c>
      <c r="F362" s="728"/>
      <c r="G362" s="728"/>
      <c r="H362" s="728"/>
      <c r="I362" s="728"/>
      <c r="J362" s="728"/>
      <c r="K362" s="728"/>
      <c r="L362" s="728"/>
      <c r="M362" s="728"/>
      <c r="N362" s="728">
        <v>9</v>
      </c>
      <c r="O362" s="728">
        <v>18324</v>
      </c>
      <c r="P362" s="741"/>
      <c r="Q362" s="729">
        <v>2036</v>
      </c>
    </row>
    <row r="363" spans="1:17" ht="14.4" customHeight="1" x14ac:dyDescent="0.3">
      <c r="A363" s="724" t="s">
        <v>552</v>
      </c>
      <c r="B363" s="725" t="s">
        <v>3452</v>
      </c>
      <c r="C363" s="725" t="s">
        <v>3123</v>
      </c>
      <c r="D363" s="725" t="s">
        <v>3526</v>
      </c>
      <c r="E363" s="725" t="s">
        <v>3525</v>
      </c>
      <c r="F363" s="728"/>
      <c r="G363" s="728"/>
      <c r="H363" s="728"/>
      <c r="I363" s="728"/>
      <c r="J363" s="728"/>
      <c r="K363" s="728"/>
      <c r="L363" s="728"/>
      <c r="M363" s="728"/>
      <c r="N363" s="728">
        <v>1</v>
      </c>
      <c r="O363" s="728">
        <v>15842</v>
      </c>
      <c r="P363" s="741"/>
      <c r="Q363" s="729">
        <v>15842</v>
      </c>
    </row>
    <row r="364" spans="1:17" ht="14.4" customHeight="1" x14ac:dyDescent="0.3">
      <c r="A364" s="724" t="s">
        <v>552</v>
      </c>
      <c r="B364" s="725" t="s">
        <v>3452</v>
      </c>
      <c r="C364" s="725" t="s">
        <v>2989</v>
      </c>
      <c r="D364" s="725" t="s">
        <v>3527</v>
      </c>
      <c r="E364" s="725" t="s">
        <v>3528</v>
      </c>
      <c r="F364" s="728">
        <v>10</v>
      </c>
      <c r="G364" s="728">
        <v>319660</v>
      </c>
      <c r="H364" s="728">
        <v>0.52631578947368418</v>
      </c>
      <c r="I364" s="728">
        <v>31966</v>
      </c>
      <c r="J364" s="728">
        <v>19</v>
      </c>
      <c r="K364" s="728">
        <v>607354</v>
      </c>
      <c r="L364" s="728">
        <v>1</v>
      </c>
      <c r="M364" s="728">
        <v>31966</v>
      </c>
      <c r="N364" s="728">
        <v>14</v>
      </c>
      <c r="O364" s="728">
        <v>447524</v>
      </c>
      <c r="P364" s="741">
        <v>0.73684210526315785</v>
      </c>
      <c r="Q364" s="729">
        <v>31966</v>
      </c>
    </row>
    <row r="365" spans="1:17" ht="14.4" customHeight="1" x14ac:dyDescent="0.3">
      <c r="A365" s="724" t="s">
        <v>552</v>
      </c>
      <c r="B365" s="725" t="s">
        <v>3452</v>
      </c>
      <c r="C365" s="725" t="s">
        <v>2989</v>
      </c>
      <c r="D365" s="725" t="s">
        <v>3529</v>
      </c>
      <c r="E365" s="725" t="s">
        <v>3530</v>
      </c>
      <c r="F365" s="728">
        <v>124</v>
      </c>
      <c r="G365" s="728">
        <v>1475228</v>
      </c>
      <c r="H365" s="728">
        <v>0.82666666666666666</v>
      </c>
      <c r="I365" s="728">
        <v>11897</v>
      </c>
      <c r="J365" s="728">
        <v>150</v>
      </c>
      <c r="K365" s="728">
        <v>1784550</v>
      </c>
      <c r="L365" s="728">
        <v>1</v>
      </c>
      <c r="M365" s="728">
        <v>11897</v>
      </c>
      <c r="N365" s="728">
        <v>173</v>
      </c>
      <c r="O365" s="728">
        <v>2058181</v>
      </c>
      <c r="P365" s="741">
        <v>1.1533333333333333</v>
      </c>
      <c r="Q365" s="729">
        <v>11897</v>
      </c>
    </row>
    <row r="366" spans="1:17" ht="14.4" customHeight="1" x14ac:dyDescent="0.3">
      <c r="A366" s="724" t="s">
        <v>552</v>
      </c>
      <c r="B366" s="725" t="s">
        <v>3452</v>
      </c>
      <c r="C366" s="725" t="s">
        <v>2989</v>
      </c>
      <c r="D366" s="725" t="s">
        <v>3531</v>
      </c>
      <c r="E366" s="725" t="s">
        <v>3532</v>
      </c>
      <c r="F366" s="728">
        <v>7</v>
      </c>
      <c r="G366" s="728">
        <v>5733</v>
      </c>
      <c r="H366" s="728">
        <v>0.76196172248803828</v>
      </c>
      <c r="I366" s="728">
        <v>819</v>
      </c>
      <c r="J366" s="728">
        <v>9</v>
      </c>
      <c r="K366" s="728">
        <v>7524</v>
      </c>
      <c r="L366" s="728">
        <v>1</v>
      </c>
      <c r="M366" s="728">
        <v>836</v>
      </c>
      <c r="N366" s="728">
        <v>13</v>
      </c>
      <c r="O366" s="728">
        <v>10878</v>
      </c>
      <c r="P366" s="741">
        <v>1.4457735247208932</v>
      </c>
      <c r="Q366" s="729">
        <v>836.76923076923072</v>
      </c>
    </row>
    <row r="367" spans="1:17" ht="14.4" customHeight="1" x14ac:dyDescent="0.3">
      <c r="A367" s="724" t="s">
        <v>552</v>
      </c>
      <c r="B367" s="725" t="s">
        <v>3452</v>
      </c>
      <c r="C367" s="725" t="s">
        <v>2989</v>
      </c>
      <c r="D367" s="725" t="s">
        <v>3370</v>
      </c>
      <c r="E367" s="725" t="s">
        <v>3371</v>
      </c>
      <c r="F367" s="728">
        <v>0</v>
      </c>
      <c r="G367" s="728">
        <v>0</v>
      </c>
      <c r="H367" s="728"/>
      <c r="I367" s="728"/>
      <c r="J367" s="728">
        <v>0</v>
      </c>
      <c r="K367" s="728">
        <v>0</v>
      </c>
      <c r="L367" s="728"/>
      <c r="M367" s="728"/>
      <c r="N367" s="728">
        <v>0</v>
      </c>
      <c r="O367" s="728">
        <v>0</v>
      </c>
      <c r="P367" s="741"/>
      <c r="Q367" s="729"/>
    </row>
    <row r="368" spans="1:17" ht="14.4" customHeight="1" x14ac:dyDescent="0.3">
      <c r="A368" s="724" t="s">
        <v>552</v>
      </c>
      <c r="B368" s="725" t="s">
        <v>3452</v>
      </c>
      <c r="C368" s="725" t="s">
        <v>2989</v>
      </c>
      <c r="D368" s="725" t="s">
        <v>3372</v>
      </c>
      <c r="E368" s="725" t="s">
        <v>3373</v>
      </c>
      <c r="F368" s="728">
        <v>148</v>
      </c>
      <c r="G368" s="728">
        <v>0</v>
      </c>
      <c r="H368" s="728"/>
      <c r="I368" s="728">
        <v>0</v>
      </c>
      <c r="J368" s="728">
        <v>177</v>
      </c>
      <c r="K368" s="728">
        <v>0</v>
      </c>
      <c r="L368" s="728"/>
      <c r="M368" s="728">
        <v>0</v>
      </c>
      <c r="N368" s="728">
        <v>190</v>
      </c>
      <c r="O368" s="728">
        <v>0</v>
      </c>
      <c r="P368" s="741"/>
      <c r="Q368" s="729">
        <v>0</v>
      </c>
    </row>
    <row r="369" spans="1:17" ht="14.4" customHeight="1" x14ac:dyDescent="0.3">
      <c r="A369" s="724" t="s">
        <v>552</v>
      </c>
      <c r="B369" s="725" t="s">
        <v>3452</v>
      </c>
      <c r="C369" s="725" t="s">
        <v>2989</v>
      </c>
      <c r="D369" s="725" t="s">
        <v>3533</v>
      </c>
      <c r="E369" s="725" t="s">
        <v>3534</v>
      </c>
      <c r="F369" s="728">
        <v>6</v>
      </c>
      <c r="G369" s="728">
        <v>0</v>
      </c>
      <c r="H369" s="728"/>
      <c r="I369" s="728">
        <v>0</v>
      </c>
      <c r="J369" s="728">
        <v>10</v>
      </c>
      <c r="K369" s="728">
        <v>0</v>
      </c>
      <c r="L369" s="728"/>
      <c r="M369" s="728">
        <v>0</v>
      </c>
      <c r="N369" s="728">
        <v>2</v>
      </c>
      <c r="O369" s="728">
        <v>0</v>
      </c>
      <c r="P369" s="741"/>
      <c r="Q369" s="729">
        <v>0</v>
      </c>
    </row>
    <row r="370" spans="1:17" ht="14.4" customHeight="1" x14ac:dyDescent="0.3">
      <c r="A370" s="724" t="s">
        <v>552</v>
      </c>
      <c r="B370" s="725" t="s">
        <v>3452</v>
      </c>
      <c r="C370" s="725" t="s">
        <v>2989</v>
      </c>
      <c r="D370" s="725" t="s">
        <v>3535</v>
      </c>
      <c r="E370" s="725" t="s">
        <v>3536</v>
      </c>
      <c r="F370" s="728">
        <v>17</v>
      </c>
      <c r="G370" s="728">
        <v>0</v>
      </c>
      <c r="H370" s="728"/>
      <c r="I370" s="728">
        <v>0</v>
      </c>
      <c r="J370" s="728">
        <v>22</v>
      </c>
      <c r="K370" s="728">
        <v>0</v>
      </c>
      <c r="L370" s="728"/>
      <c r="M370" s="728">
        <v>0</v>
      </c>
      <c r="N370" s="728">
        <v>10</v>
      </c>
      <c r="O370" s="728">
        <v>0</v>
      </c>
      <c r="P370" s="741"/>
      <c r="Q370" s="729">
        <v>0</v>
      </c>
    </row>
    <row r="371" spans="1:17" ht="14.4" customHeight="1" x14ac:dyDescent="0.3">
      <c r="A371" s="724" t="s">
        <v>552</v>
      </c>
      <c r="B371" s="725" t="s">
        <v>3452</v>
      </c>
      <c r="C371" s="725" t="s">
        <v>2989</v>
      </c>
      <c r="D371" s="725" t="s">
        <v>3374</v>
      </c>
      <c r="E371" s="725" t="s">
        <v>3375</v>
      </c>
      <c r="F371" s="728">
        <v>17</v>
      </c>
      <c r="G371" s="728">
        <v>0</v>
      </c>
      <c r="H371" s="728"/>
      <c r="I371" s="728">
        <v>0</v>
      </c>
      <c r="J371" s="728">
        <v>10</v>
      </c>
      <c r="K371" s="728">
        <v>0</v>
      </c>
      <c r="L371" s="728"/>
      <c r="M371" s="728">
        <v>0</v>
      </c>
      <c r="N371" s="728">
        <v>12</v>
      </c>
      <c r="O371" s="728">
        <v>0</v>
      </c>
      <c r="P371" s="741"/>
      <c r="Q371" s="729">
        <v>0</v>
      </c>
    </row>
    <row r="372" spans="1:17" ht="14.4" customHeight="1" x14ac:dyDescent="0.3">
      <c r="A372" s="724" t="s">
        <v>552</v>
      </c>
      <c r="B372" s="725" t="s">
        <v>3452</v>
      </c>
      <c r="C372" s="725" t="s">
        <v>2989</v>
      </c>
      <c r="D372" s="725" t="s">
        <v>3012</v>
      </c>
      <c r="E372" s="725" t="s">
        <v>3013</v>
      </c>
      <c r="F372" s="728">
        <v>54</v>
      </c>
      <c r="G372" s="728">
        <v>12690</v>
      </c>
      <c r="H372" s="728">
        <v>0.82968290290944757</v>
      </c>
      <c r="I372" s="728">
        <v>235</v>
      </c>
      <c r="J372" s="728">
        <v>61</v>
      </c>
      <c r="K372" s="728">
        <v>15295</v>
      </c>
      <c r="L372" s="728">
        <v>1</v>
      </c>
      <c r="M372" s="728">
        <v>250.73770491803279</v>
      </c>
      <c r="N372" s="728">
        <v>44</v>
      </c>
      <c r="O372" s="728">
        <v>11044</v>
      </c>
      <c r="P372" s="741">
        <v>0.72206603465184704</v>
      </c>
      <c r="Q372" s="729">
        <v>251</v>
      </c>
    </row>
    <row r="373" spans="1:17" ht="14.4" customHeight="1" x14ac:dyDescent="0.3">
      <c r="A373" s="724" t="s">
        <v>552</v>
      </c>
      <c r="B373" s="725" t="s">
        <v>3452</v>
      </c>
      <c r="C373" s="725" t="s">
        <v>2989</v>
      </c>
      <c r="D373" s="725" t="s">
        <v>3537</v>
      </c>
      <c r="E373" s="725" t="s">
        <v>3536</v>
      </c>
      <c r="F373" s="728">
        <v>11</v>
      </c>
      <c r="G373" s="728">
        <v>0</v>
      </c>
      <c r="H373" s="728"/>
      <c r="I373" s="728">
        <v>0</v>
      </c>
      <c r="J373" s="728">
        <v>14</v>
      </c>
      <c r="K373" s="728">
        <v>0</v>
      </c>
      <c r="L373" s="728"/>
      <c r="M373" s="728">
        <v>0</v>
      </c>
      <c r="N373" s="728">
        <v>13</v>
      </c>
      <c r="O373" s="728">
        <v>0</v>
      </c>
      <c r="P373" s="741"/>
      <c r="Q373" s="729">
        <v>0</v>
      </c>
    </row>
    <row r="374" spans="1:17" ht="14.4" customHeight="1" x14ac:dyDescent="0.3">
      <c r="A374" s="724" t="s">
        <v>552</v>
      </c>
      <c r="B374" s="725" t="s">
        <v>3452</v>
      </c>
      <c r="C374" s="725" t="s">
        <v>2989</v>
      </c>
      <c r="D374" s="725" t="s">
        <v>3538</v>
      </c>
      <c r="E374" s="725" t="s">
        <v>3539</v>
      </c>
      <c r="F374" s="728">
        <v>49</v>
      </c>
      <c r="G374" s="728">
        <v>268324</v>
      </c>
      <c r="H374" s="728">
        <v>0.79032258064516125</v>
      </c>
      <c r="I374" s="728">
        <v>5476</v>
      </c>
      <c r="J374" s="728">
        <v>62</v>
      </c>
      <c r="K374" s="728">
        <v>339512</v>
      </c>
      <c r="L374" s="728">
        <v>1</v>
      </c>
      <c r="M374" s="728">
        <v>5476</v>
      </c>
      <c r="N374" s="728">
        <v>75</v>
      </c>
      <c r="O374" s="728">
        <v>410700</v>
      </c>
      <c r="P374" s="741">
        <v>1.2096774193548387</v>
      </c>
      <c r="Q374" s="729">
        <v>5476</v>
      </c>
    </row>
    <row r="375" spans="1:17" ht="14.4" customHeight="1" x14ac:dyDescent="0.3">
      <c r="A375" s="724" t="s">
        <v>552</v>
      </c>
      <c r="B375" s="725" t="s">
        <v>3452</v>
      </c>
      <c r="C375" s="725" t="s">
        <v>2989</v>
      </c>
      <c r="D375" s="725" t="s">
        <v>3540</v>
      </c>
      <c r="E375" s="725" t="s">
        <v>3541</v>
      </c>
      <c r="F375" s="728">
        <v>115</v>
      </c>
      <c r="G375" s="728">
        <v>2756090</v>
      </c>
      <c r="H375" s="728">
        <v>1.3529411764705883</v>
      </c>
      <c r="I375" s="728">
        <v>23966</v>
      </c>
      <c r="J375" s="728">
        <v>85</v>
      </c>
      <c r="K375" s="728">
        <v>2037110</v>
      </c>
      <c r="L375" s="728">
        <v>1</v>
      </c>
      <c r="M375" s="728">
        <v>23966</v>
      </c>
      <c r="N375" s="728">
        <v>84</v>
      </c>
      <c r="O375" s="728">
        <v>2013144</v>
      </c>
      <c r="P375" s="741">
        <v>0.9882352941176471</v>
      </c>
      <c r="Q375" s="729">
        <v>23966</v>
      </c>
    </row>
    <row r="376" spans="1:17" ht="14.4" customHeight="1" x14ac:dyDescent="0.3">
      <c r="A376" s="724" t="s">
        <v>552</v>
      </c>
      <c r="B376" s="725" t="s">
        <v>3452</v>
      </c>
      <c r="C376" s="725" t="s">
        <v>2989</v>
      </c>
      <c r="D376" s="725" t="s">
        <v>3542</v>
      </c>
      <c r="E376" s="725" t="s">
        <v>3543</v>
      </c>
      <c r="F376" s="728">
        <v>61</v>
      </c>
      <c r="G376" s="728">
        <v>407236</v>
      </c>
      <c r="H376" s="728">
        <v>0.70930232558139539</v>
      </c>
      <c r="I376" s="728">
        <v>6676</v>
      </c>
      <c r="J376" s="728">
        <v>86</v>
      </c>
      <c r="K376" s="728">
        <v>574136</v>
      </c>
      <c r="L376" s="728">
        <v>1</v>
      </c>
      <c r="M376" s="728">
        <v>6676</v>
      </c>
      <c r="N376" s="728">
        <v>98</v>
      </c>
      <c r="O376" s="728">
        <v>654248</v>
      </c>
      <c r="P376" s="741">
        <v>1.1395348837209303</v>
      </c>
      <c r="Q376" s="729">
        <v>6676</v>
      </c>
    </row>
    <row r="377" spans="1:17" ht="14.4" customHeight="1" x14ac:dyDescent="0.3">
      <c r="A377" s="724" t="s">
        <v>552</v>
      </c>
      <c r="B377" s="725" t="s">
        <v>3452</v>
      </c>
      <c r="C377" s="725" t="s">
        <v>2989</v>
      </c>
      <c r="D377" s="725" t="s">
        <v>3544</v>
      </c>
      <c r="E377" s="725" t="s">
        <v>3536</v>
      </c>
      <c r="F377" s="728">
        <v>1</v>
      </c>
      <c r="G377" s="728">
        <v>0</v>
      </c>
      <c r="H377" s="728"/>
      <c r="I377" s="728">
        <v>0</v>
      </c>
      <c r="J377" s="728"/>
      <c r="K377" s="728"/>
      <c r="L377" s="728"/>
      <c r="M377" s="728"/>
      <c r="N377" s="728"/>
      <c r="O377" s="728"/>
      <c r="P377" s="741"/>
      <c r="Q377" s="729"/>
    </row>
    <row r="378" spans="1:17" ht="14.4" customHeight="1" x14ac:dyDescent="0.3">
      <c r="A378" s="724" t="s">
        <v>552</v>
      </c>
      <c r="B378" s="725" t="s">
        <v>3452</v>
      </c>
      <c r="C378" s="725" t="s">
        <v>2989</v>
      </c>
      <c r="D378" s="725" t="s">
        <v>3545</v>
      </c>
      <c r="E378" s="725" t="s">
        <v>3546</v>
      </c>
      <c r="F378" s="728">
        <v>70</v>
      </c>
      <c r="G378" s="728">
        <v>1957620</v>
      </c>
      <c r="H378" s="728">
        <v>0.70707070707070707</v>
      </c>
      <c r="I378" s="728">
        <v>27966</v>
      </c>
      <c r="J378" s="728">
        <v>99</v>
      </c>
      <c r="K378" s="728">
        <v>2768634</v>
      </c>
      <c r="L378" s="728">
        <v>1</v>
      </c>
      <c r="M378" s="728">
        <v>27966</v>
      </c>
      <c r="N378" s="728">
        <v>73</v>
      </c>
      <c r="O378" s="728">
        <v>2041518</v>
      </c>
      <c r="P378" s="741">
        <v>0.73737373737373735</v>
      </c>
      <c r="Q378" s="729">
        <v>27966</v>
      </c>
    </row>
    <row r="379" spans="1:17" ht="14.4" customHeight="1" x14ac:dyDescent="0.3">
      <c r="A379" s="724" t="s">
        <v>552</v>
      </c>
      <c r="B379" s="725" t="s">
        <v>3452</v>
      </c>
      <c r="C379" s="725" t="s">
        <v>2989</v>
      </c>
      <c r="D379" s="725" t="s">
        <v>3028</v>
      </c>
      <c r="E379" s="725" t="s">
        <v>3029</v>
      </c>
      <c r="F379" s="728">
        <v>62</v>
      </c>
      <c r="G379" s="728">
        <v>21636</v>
      </c>
      <c r="H379" s="728">
        <v>0.8338214891321104</v>
      </c>
      <c r="I379" s="728">
        <v>348.96774193548384</v>
      </c>
      <c r="J379" s="728">
        <v>70</v>
      </c>
      <c r="K379" s="728">
        <v>25948</v>
      </c>
      <c r="L379" s="728">
        <v>1</v>
      </c>
      <c r="M379" s="728">
        <v>370.68571428571431</v>
      </c>
      <c r="N379" s="728">
        <v>49</v>
      </c>
      <c r="O379" s="728">
        <v>18272</v>
      </c>
      <c r="P379" s="741">
        <v>0.70417758594111302</v>
      </c>
      <c r="Q379" s="729">
        <v>372.89795918367349</v>
      </c>
    </row>
    <row r="380" spans="1:17" ht="14.4" customHeight="1" x14ac:dyDescent="0.3">
      <c r="A380" s="724" t="s">
        <v>552</v>
      </c>
      <c r="B380" s="725" t="s">
        <v>3452</v>
      </c>
      <c r="C380" s="725" t="s">
        <v>2989</v>
      </c>
      <c r="D380" s="725" t="s">
        <v>3410</v>
      </c>
      <c r="E380" s="725" t="s">
        <v>3411</v>
      </c>
      <c r="F380" s="728">
        <v>22</v>
      </c>
      <c r="G380" s="728">
        <v>0</v>
      </c>
      <c r="H380" s="728"/>
      <c r="I380" s="728">
        <v>0</v>
      </c>
      <c r="J380" s="728">
        <v>32</v>
      </c>
      <c r="K380" s="728">
        <v>0</v>
      </c>
      <c r="L380" s="728"/>
      <c r="M380" s="728">
        <v>0</v>
      </c>
      <c r="N380" s="728">
        <v>18</v>
      </c>
      <c r="O380" s="728">
        <v>0</v>
      </c>
      <c r="P380" s="741"/>
      <c r="Q380" s="729">
        <v>0</v>
      </c>
    </row>
    <row r="381" spans="1:17" ht="14.4" customHeight="1" x14ac:dyDescent="0.3">
      <c r="A381" s="724" t="s">
        <v>552</v>
      </c>
      <c r="B381" s="725" t="s">
        <v>3547</v>
      </c>
      <c r="C381" s="725" t="s">
        <v>2989</v>
      </c>
      <c r="D381" s="725" t="s">
        <v>3548</v>
      </c>
      <c r="E381" s="725" t="s">
        <v>3549</v>
      </c>
      <c r="F381" s="728">
        <v>1</v>
      </c>
      <c r="G381" s="728">
        <v>356</v>
      </c>
      <c r="H381" s="728"/>
      <c r="I381" s="728">
        <v>356</v>
      </c>
      <c r="J381" s="728"/>
      <c r="K381" s="728"/>
      <c r="L381" s="728"/>
      <c r="M381" s="728"/>
      <c r="N381" s="728"/>
      <c r="O381" s="728"/>
      <c r="P381" s="741"/>
      <c r="Q381" s="729"/>
    </row>
    <row r="382" spans="1:17" ht="14.4" customHeight="1" x14ac:dyDescent="0.3">
      <c r="A382" s="724" t="s">
        <v>552</v>
      </c>
      <c r="B382" s="725" t="s">
        <v>3547</v>
      </c>
      <c r="C382" s="725" t="s">
        <v>2989</v>
      </c>
      <c r="D382" s="725" t="s">
        <v>3531</v>
      </c>
      <c r="E382" s="725" t="s">
        <v>3532</v>
      </c>
      <c r="F382" s="728">
        <v>1</v>
      </c>
      <c r="G382" s="728">
        <v>819</v>
      </c>
      <c r="H382" s="728"/>
      <c r="I382" s="728">
        <v>819</v>
      </c>
      <c r="J382" s="728"/>
      <c r="K382" s="728"/>
      <c r="L382" s="728"/>
      <c r="M382" s="728"/>
      <c r="N382" s="728"/>
      <c r="O382" s="728"/>
      <c r="P382" s="741"/>
      <c r="Q382" s="729"/>
    </row>
    <row r="383" spans="1:17" ht="14.4" customHeight="1" x14ac:dyDescent="0.3">
      <c r="A383" s="724" t="s">
        <v>552</v>
      </c>
      <c r="B383" s="725" t="s">
        <v>3547</v>
      </c>
      <c r="C383" s="725" t="s">
        <v>2989</v>
      </c>
      <c r="D383" s="725" t="s">
        <v>3550</v>
      </c>
      <c r="E383" s="725" t="s">
        <v>3551</v>
      </c>
      <c r="F383" s="728">
        <v>1</v>
      </c>
      <c r="G383" s="728">
        <v>2452</v>
      </c>
      <c r="H383" s="728"/>
      <c r="I383" s="728">
        <v>2452</v>
      </c>
      <c r="J383" s="728"/>
      <c r="K383" s="728"/>
      <c r="L383" s="728"/>
      <c r="M383" s="728"/>
      <c r="N383" s="728">
        <v>1</v>
      </c>
      <c r="O383" s="728">
        <v>2564</v>
      </c>
      <c r="P383" s="741"/>
      <c r="Q383" s="729">
        <v>2564</v>
      </c>
    </row>
    <row r="384" spans="1:17" ht="14.4" customHeight="1" x14ac:dyDescent="0.3">
      <c r="A384" s="724" t="s">
        <v>552</v>
      </c>
      <c r="B384" s="725" t="s">
        <v>3547</v>
      </c>
      <c r="C384" s="725" t="s">
        <v>2989</v>
      </c>
      <c r="D384" s="725" t="s">
        <v>3552</v>
      </c>
      <c r="E384" s="725" t="s">
        <v>3553</v>
      </c>
      <c r="F384" s="728"/>
      <c r="G384" s="728"/>
      <c r="H384" s="728"/>
      <c r="I384" s="728"/>
      <c r="J384" s="728"/>
      <c r="K384" s="728"/>
      <c r="L384" s="728"/>
      <c r="M384" s="728"/>
      <c r="N384" s="728">
        <v>1</v>
      </c>
      <c r="O384" s="728">
        <v>3121</v>
      </c>
      <c r="P384" s="741"/>
      <c r="Q384" s="729">
        <v>3121</v>
      </c>
    </row>
    <row r="385" spans="1:17" ht="14.4" customHeight="1" x14ac:dyDescent="0.3">
      <c r="A385" s="724" t="s">
        <v>552</v>
      </c>
      <c r="B385" s="725" t="s">
        <v>3547</v>
      </c>
      <c r="C385" s="725" t="s">
        <v>2989</v>
      </c>
      <c r="D385" s="725" t="s">
        <v>3554</v>
      </c>
      <c r="E385" s="725" t="s">
        <v>3555</v>
      </c>
      <c r="F385" s="728">
        <v>2</v>
      </c>
      <c r="G385" s="728">
        <v>1216</v>
      </c>
      <c r="H385" s="728"/>
      <c r="I385" s="728">
        <v>608</v>
      </c>
      <c r="J385" s="728"/>
      <c r="K385" s="728"/>
      <c r="L385" s="728"/>
      <c r="M385" s="728"/>
      <c r="N385" s="728"/>
      <c r="O385" s="728"/>
      <c r="P385" s="741"/>
      <c r="Q385" s="729"/>
    </row>
    <row r="386" spans="1:17" ht="14.4" customHeight="1" x14ac:dyDescent="0.3">
      <c r="A386" s="724" t="s">
        <v>552</v>
      </c>
      <c r="B386" s="725" t="s">
        <v>3547</v>
      </c>
      <c r="C386" s="725" t="s">
        <v>2989</v>
      </c>
      <c r="D386" s="725" t="s">
        <v>3556</v>
      </c>
      <c r="E386" s="725" t="s">
        <v>3557</v>
      </c>
      <c r="F386" s="728">
        <v>1</v>
      </c>
      <c r="G386" s="728">
        <v>1141</v>
      </c>
      <c r="H386" s="728"/>
      <c r="I386" s="728">
        <v>1141</v>
      </c>
      <c r="J386" s="728"/>
      <c r="K386" s="728"/>
      <c r="L386" s="728"/>
      <c r="M386" s="728"/>
      <c r="N386" s="728"/>
      <c r="O386" s="728"/>
      <c r="P386" s="741"/>
      <c r="Q386" s="729"/>
    </row>
    <row r="387" spans="1:17" ht="14.4" customHeight="1" x14ac:dyDescent="0.3">
      <c r="A387" s="724" t="s">
        <v>552</v>
      </c>
      <c r="B387" s="725" t="s">
        <v>3558</v>
      </c>
      <c r="C387" s="725" t="s">
        <v>2989</v>
      </c>
      <c r="D387" s="725" t="s">
        <v>3559</v>
      </c>
      <c r="E387" s="725" t="s">
        <v>3560</v>
      </c>
      <c r="F387" s="728">
        <v>1</v>
      </c>
      <c r="G387" s="728">
        <v>329</v>
      </c>
      <c r="H387" s="728">
        <v>0.97626112759643913</v>
      </c>
      <c r="I387" s="728">
        <v>329</v>
      </c>
      <c r="J387" s="728">
        <v>1</v>
      </c>
      <c r="K387" s="728">
        <v>337</v>
      </c>
      <c r="L387" s="728">
        <v>1</v>
      </c>
      <c r="M387" s="728">
        <v>337</v>
      </c>
      <c r="N387" s="728">
        <v>9</v>
      </c>
      <c r="O387" s="728">
        <v>3033</v>
      </c>
      <c r="P387" s="741">
        <v>9</v>
      </c>
      <c r="Q387" s="729">
        <v>337</v>
      </c>
    </row>
    <row r="388" spans="1:17" ht="14.4" customHeight="1" x14ac:dyDescent="0.3">
      <c r="A388" s="724" t="s">
        <v>552</v>
      </c>
      <c r="B388" s="725" t="s">
        <v>3558</v>
      </c>
      <c r="C388" s="725" t="s">
        <v>2989</v>
      </c>
      <c r="D388" s="725" t="s">
        <v>3561</v>
      </c>
      <c r="E388" s="725" t="s">
        <v>3562</v>
      </c>
      <c r="F388" s="728">
        <v>3</v>
      </c>
      <c r="G388" s="728">
        <v>2751</v>
      </c>
      <c r="H388" s="728">
        <v>2.9580645161290322</v>
      </c>
      <c r="I388" s="728">
        <v>917</v>
      </c>
      <c r="J388" s="728">
        <v>1</v>
      </c>
      <c r="K388" s="728">
        <v>930</v>
      </c>
      <c r="L388" s="728">
        <v>1</v>
      </c>
      <c r="M388" s="728">
        <v>930</v>
      </c>
      <c r="N388" s="728">
        <v>5</v>
      </c>
      <c r="O388" s="728">
        <v>4650</v>
      </c>
      <c r="P388" s="741">
        <v>5</v>
      </c>
      <c r="Q388" s="729">
        <v>930</v>
      </c>
    </row>
    <row r="389" spans="1:17" ht="14.4" customHeight="1" x14ac:dyDescent="0.3">
      <c r="A389" s="724" t="s">
        <v>552</v>
      </c>
      <c r="B389" s="725" t="s">
        <v>3558</v>
      </c>
      <c r="C389" s="725" t="s">
        <v>2989</v>
      </c>
      <c r="D389" s="725" t="s">
        <v>3563</v>
      </c>
      <c r="E389" s="725" t="s">
        <v>3564</v>
      </c>
      <c r="F389" s="728">
        <v>14</v>
      </c>
      <c r="G389" s="728">
        <v>25046</v>
      </c>
      <c r="H389" s="728">
        <v>0.79166798368998326</v>
      </c>
      <c r="I389" s="728">
        <v>1789</v>
      </c>
      <c r="J389" s="728">
        <v>17</v>
      </c>
      <c r="K389" s="728">
        <v>31637</v>
      </c>
      <c r="L389" s="728">
        <v>1</v>
      </c>
      <c r="M389" s="728">
        <v>1861</v>
      </c>
      <c r="N389" s="728">
        <v>7</v>
      </c>
      <c r="O389" s="728">
        <v>13033</v>
      </c>
      <c r="P389" s="741">
        <v>0.41195435723994056</v>
      </c>
      <c r="Q389" s="729">
        <v>1861.8571428571429</v>
      </c>
    </row>
    <row r="390" spans="1:17" ht="14.4" customHeight="1" x14ac:dyDescent="0.3">
      <c r="A390" s="724" t="s">
        <v>552</v>
      </c>
      <c r="B390" s="725" t="s">
        <v>3558</v>
      </c>
      <c r="C390" s="725" t="s">
        <v>2989</v>
      </c>
      <c r="D390" s="725" t="s">
        <v>3565</v>
      </c>
      <c r="E390" s="725" t="s">
        <v>3566</v>
      </c>
      <c r="F390" s="728"/>
      <c r="G390" s="728"/>
      <c r="H390" s="728"/>
      <c r="I390" s="728"/>
      <c r="J390" s="728"/>
      <c r="K390" s="728"/>
      <c r="L390" s="728"/>
      <c r="M390" s="728"/>
      <c r="N390" s="728">
        <v>1</v>
      </c>
      <c r="O390" s="728">
        <v>556</v>
      </c>
      <c r="P390" s="741"/>
      <c r="Q390" s="729">
        <v>556</v>
      </c>
    </row>
    <row r="391" spans="1:17" ht="14.4" customHeight="1" x14ac:dyDescent="0.3">
      <c r="A391" s="724" t="s">
        <v>552</v>
      </c>
      <c r="B391" s="725" t="s">
        <v>3567</v>
      </c>
      <c r="C391" s="725" t="s">
        <v>2989</v>
      </c>
      <c r="D391" s="725" t="s">
        <v>3568</v>
      </c>
      <c r="E391" s="725" t="s">
        <v>3569</v>
      </c>
      <c r="F391" s="728">
        <v>7</v>
      </c>
      <c r="G391" s="728">
        <v>2933</v>
      </c>
      <c r="H391" s="728"/>
      <c r="I391" s="728">
        <v>419</v>
      </c>
      <c r="J391" s="728"/>
      <c r="K391" s="728"/>
      <c r="L391" s="728"/>
      <c r="M391" s="728"/>
      <c r="N391" s="728"/>
      <c r="O391" s="728"/>
      <c r="P391" s="741"/>
      <c r="Q391" s="729"/>
    </row>
    <row r="392" spans="1:17" ht="14.4" customHeight="1" x14ac:dyDescent="0.3">
      <c r="A392" s="724" t="s">
        <v>552</v>
      </c>
      <c r="B392" s="725" t="s">
        <v>3567</v>
      </c>
      <c r="C392" s="725" t="s">
        <v>2989</v>
      </c>
      <c r="D392" s="725" t="s">
        <v>3570</v>
      </c>
      <c r="E392" s="725" t="s">
        <v>3571</v>
      </c>
      <c r="F392" s="728">
        <v>3</v>
      </c>
      <c r="G392" s="728">
        <v>2649</v>
      </c>
      <c r="H392" s="728"/>
      <c r="I392" s="728">
        <v>883</v>
      </c>
      <c r="J392" s="728"/>
      <c r="K392" s="728"/>
      <c r="L392" s="728"/>
      <c r="M392" s="728"/>
      <c r="N392" s="728"/>
      <c r="O392" s="728"/>
      <c r="P392" s="741"/>
      <c r="Q392" s="729"/>
    </row>
    <row r="393" spans="1:17" ht="14.4" customHeight="1" x14ac:dyDescent="0.3">
      <c r="A393" s="724" t="s">
        <v>552</v>
      </c>
      <c r="B393" s="725" t="s">
        <v>3567</v>
      </c>
      <c r="C393" s="725" t="s">
        <v>2989</v>
      </c>
      <c r="D393" s="725" t="s">
        <v>3572</v>
      </c>
      <c r="E393" s="725" t="s">
        <v>3573</v>
      </c>
      <c r="F393" s="728">
        <v>1</v>
      </c>
      <c r="G393" s="728">
        <v>1101</v>
      </c>
      <c r="H393" s="728"/>
      <c r="I393" s="728">
        <v>1101</v>
      </c>
      <c r="J393" s="728"/>
      <c r="K393" s="728"/>
      <c r="L393" s="728"/>
      <c r="M393" s="728"/>
      <c r="N393" s="728">
        <v>1</v>
      </c>
      <c r="O393" s="728">
        <v>1133</v>
      </c>
      <c r="P393" s="741"/>
      <c r="Q393" s="729">
        <v>1133</v>
      </c>
    </row>
    <row r="394" spans="1:17" ht="14.4" customHeight="1" x14ac:dyDescent="0.3">
      <c r="A394" s="724" t="s">
        <v>552</v>
      </c>
      <c r="B394" s="725" t="s">
        <v>3567</v>
      </c>
      <c r="C394" s="725" t="s">
        <v>2989</v>
      </c>
      <c r="D394" s="725" t="s">
        <v>3574</v>
      </c>
      <c r="E394" s="725" t="s">
        <v>3575</v>
      </c>
      <c r="F394" s="728">
        <v>2</v>
      </c>
      <c r="G394" s="728">
        <v>3736</v>
      </c>
      <c r="H394" s="728"/>
      <c r="I394" s="728">
        <v>1868</v>
      </c>
      <c r="J394" s="728"/>
      <c r="K394" s="728"/>
      <c r="L394" s="728"/>
      <c r="M394" s="728"/>
      <c r="N394" s="728"/>
      <c r="O394" s="728"/>
      <c r="P394" s="741"/>
      <c r="Q394" s="729"/>
    </row>
    <row r="395" spans="1:17" ht="14.4" customHeight="1" x14ac:dyDescent="0.3">
      <c r="A395" s="724" t="s">
        <v>552</v>
      </c>
      <c r="B395" s="725" t="s">
        <v>3567</v>
      </c>
      <c r="C395" s="725" t="s">
        <v>2989</v>
      </c>
      <c r="D395" s="725" t="s">
        <v>3576</v>
      </c>
      <c r="E395" s="725" t="s">
        <v>3577</v>
      </c>
      <c r="F395" s="728">
        <v>7</v>
      </c>
      <c r="G395" s="728">
        <v>21651</v>
      </c>
      <c r="H395" s="728"/>
      <c r="I395" s="728">
        <v>3093</v>
      </c>
      <c r="J395" s="728"/>
      <c r="K395" s="728"/>
      <c r="L395" s="728"/>
      <c r="M395" s="728"/>
      <c r="N395" s="728"/>
      <c r="O395" s="728"/>
      <c r="P395" s="741"/>
      <c r="Q395" s="729"/>
    </row>
    <row r="396" spans="1:17" ht="14.4" customHeight="1" x14ac:dyDescent="0.3">
      <c r="A396" s="724" t="s">
        <v>552</v>
      </c>
      <c r="B396" s="725" t="s">
        <v>3567</v>
      </c>
      <c r="C396" s="725" t="s">
        <v>2989</v>
      </c>
      <c r="D396" s="725" t="s">
        <v>3578</v>
      </c>
      <c r="E396" s="725" t="s">
        <v>3579</v>
      </c>
      <c r="F396" s="728">
        <v>20</v>
      </c>
      <c r="G396" s="728">
        <v>860</v>
      </c>
      <c r="H396" s="728"/>
      <c r="I396" s="728">
        <v>43</v>
      </c>
      <c r="J396" s="728"/>
      <c r="K396" s="728"/>
      <c r="L396" s="728"/>
      <c r="M396" s="728"/>
      <c r="N396" s="728"/>
      <c r="O396" s="728"/>
      <c r="P396" s="741"/>
      <c r="Q396" s="729"/>
    </row>
    <row r="397" spans="1:17" ht="14.4" customHeight="1" x14ac:dyDescent="0.3">
      <c r="A397" s="724" t="s">
        <v>552</v>
      </c>
      <c r="B397" s="725" t="s">
        <v>3567</v>
      </c>
      <c r="C397" s="725" t="s">
        <v>2989</v>
      </c>
      <c r="D397" s="725" t="s">
        <v>3580</v>
      </c>
      <c r="E397" s="725" t="s">
        <v>3581</v>
      </c>
      <c r="F397" s="728">
        <v>4</v>
      </c>
      <c r="G397" s="728">
        <v>5788</v>
      </c>
      <c r="H397" s="728"/>
      <c r="I397" s="728">
        <v>1447</v>
      </c>
      <c r="J397" s="728"/>
      <c r="K397" s="728"/>
      <c r="L397" s="728"/>
      <c r="M397" s="728"/>
      <c r="N397" s="728"/>
      <c r="O397" s="728"/>
      <c r="P397" s="741"/>
      <c r="Q397" s="729"/>
    </row>
    <row r="398" spans="1:17" ht="14.4" customHeight="1" x14ac:dyDescent="0.3">
      <c r="A398" s="724" t="s">
        <v>552</v>
      </c>
      <c r="B398" s="725" t="s">
        <v>3582</v>
      </c>
      <c r="C398" s="725" t="s">
        <v>2989</v>
      </c>
      <c r="D398" s="725" t="s">
        <v>3583</v>
      </c>
      <c r="E398" s="725" t="s">
        <v>3584</v>
      </c>
      <c r="F398" s="728">
        <v>220</v>
      </c>
      <c r="G398" s="728">
        <v>165437</v>
      </c>
      <c r="H398" s="728">
        <v>1.2335734311620139</v>
      </c>
      <c r="I398" s="728">
        <v>751.98636363636365</v>
      </c>
      <c r="J398" s="728">
        <v>168</v>
      </c>
      <c r="K398" s="728">
        <v>134112</v>
      </c>
      <c r="L398" s="728">
        <v>1</v>
      </c>
      <c r="M398" s="728">
        <v>798.28571428571433</v>
      </c>
      <c r="N398" s="728">
        <v>183</v>
      </c>
      <c r="O398" s="728">
        <v>146581</v>
      </c>
      <c r="P398" s="741">
        <v>1.0929745287520878</v>
      </c>
      <c r="Q398" s="729">
        <v>800.98907103825138</v>
      </c>
    </row>
    <row r="399" spans="1:17" ht="14.4" customHeight="1" x14ac:dyDescent="0.3">
      <c r="A399" s="724" t="s">
        <v>3585</v>
      </c>
      <c r="B399" s="725" t="s">
        <v>2982</v>
      </c>
      <c r="C399" s="725" t="s">
        <v>2989</v>
      </c>
      <c r="D399" s="725" t="s">
        <v>2992</v>
      </c>
      <c r="E399" s="725" t="s">
        <v>2993</v>
      </c>
      <c r="F399" s="728"/>
      <c r="G399" s="728"/>
      <c r="H399" s="728"/>
      <c r="I399" s="728"/>
      <c r="J399" s="728">
        <v>1</v>
      </c>
      <c r="K399" s="728">
        <v>37</v>
      </c>
      <c r="L399" s="728">
        <v>1</v>
      </c>
      <c r="M399" s="728">
        <v>37</v>
      </c>
      <c r="N399" s="728"/>
      <c r="O399" s="728"/>
      <c r="P399" s="741"/>
      <c r="Q399" s="729"/>
    </row>
    <row r="400" spans="1:17" ht="14.4" customHeight="1" x14ac:dyDescent="0.3">
      <c r="A400" s="724" t="s">
        <v>3585</v>
      </c>
      <c r="B400" s="725" t="s">
        <v>2982</v>
      </c>
      <c r="C400" s="725" t="s">
        <v>2989</v>
      </c>
      <c r="D400" s="725" t="s">
        <v>3002</v>
      </c>
      <c r="E400" s="725" t="s">
        <v>3003</v>
      </c>
      <c r="F400" s="728">
        <v>1</v>
      </c>
      <c r="G400" s="728">
        <v>118</v>
      </c>
      <c r="H400" s="728">
        <v>0.11706349206349206</v>
      </c>
      <c r="I400" s="728">
        <v>118</v>
      </c>
      <c r="J400" s="728">
        <v>8</v>
      </c>
      <c r="K400" s="728">
        <v>1008</v>
      </c>
      <c r="L400" s="728">
        <v>1</v>
      </c>
      <c r="M400" s="728">
        <v>126</v>
      </c>
      <c r="N400" s="728">
        <v>11</v>
      </c>
      <c r="O400" s="728">
        <v>1386</v>
      </c>
      <c r="P400" s="741">
        <v>1.375</v>
      </c>
      <c r="Q400" s="729">
        <v>126</v>
      </c>
    </row>
    <row r="401" spans="1:17" ht="14.4" customHeight="1" x14ac:dyDescent="0.3">
      <c r="A401" s="724" t="s">
        <v>3585</v>
      </c>
      <c r="B401" s="725" t="s">
        <v>2982</v>
      </c>
      <c r="C401" s="725" t="s">
        <v>2989</v>
      </c>
      <c r="D401" s="725" t="s">
        <v>3010</v>
      </c>
      <c r="E401" s="725" t="s">
        <v>3011</v>
      </c>
      <c r="F401" s="728">
        <v>7</v>
      </c>
      <c r="G401" s="728">
        <v>0</v>
      </c>
      <c r="H401" s="728"/>
      <c r="I401" s="728">
        <v>0</v>
      </c>
      <c r="J401" s="728"/>
      <c r="K401" s="728"/>
      <c r="L401" s="728"/>
      <c r="M401" s="728"/>
      <c r="N401" s="728">
        <v>4</v>
      </c>
      <c r="O401" s="728">
        <v>133.32</v>
      </c>
      <c r="P401" s="741"/>
      <c r="Q401" s="729">
        <v>33.33</v>
      </c>
    </row>
    <row r="402" spans="1:17" ht="14.4" customHeight="1" x14ac:dyDescent="0.3">
      <c r="A402" s="724" t="s">
        <v>3585</v>
      </c>
      <c r="B402" s="725" t="s">
        <v>2982</v>
      </c>
      <c r="C402" s="725" t="s">
        <v>2989</v>
      </c>
      <c r="D402" s="725" t="s">
        <v>3012</v>
      </c>
      <c r="E402" s="725" t="s">
        <v>3013</v>
      </c>
      <c r="F402" s="728">
        <v>5</v>
      </c>
      <c r="G402" s="728">
        <v>1175</v>
      </c>
      <c r="H402" s="728">
        <v>0.58515936254980083</v>
      </c>
      <c r="I402" s="728">
        <v>235</v>
      </c>
      <c r="J402" s="728">
        <v>8</v>
      </c>
      <c r="K402" s="728">
        <v>2008</v>
      </c>
      <c r="L402" s="728">
        <v>1</v>
      </c>
      <c r="M402" s="728">
        <v>251</v>
      </c>
      <c r="N402" s="728">
        <v>8</v>
      </c>
      <c r="O402" s="728">
        <v>2008</v>
      </c>
      <c r="P402" s="741">
        <v>1</v>
      </c>
      <c r="Q402" s="729">
        <v>251</v>
      </c>
    </row>
    <row r="403" spans="1:17" ht="14.4" customHeight="1" x14ac:dyDescent="0.3">
      <c r="A403" s="724" t="s">
        <v>3585</v>
      </c>
      <c r="B403" s="725" t="s">
        <v>2982</v>
      </c>
      <c r="C403" s="725" t="s">
        <v>2989</v>
      </c>
      <c r="D403" s="725" t="s">
        <v>3028</v>
      </c>
      <c r="E403" s="725" t="s">
        <v>3029</v>
      </c>
      <c r="F403" s="728">
        <v>2</v>
      </c>
      <c r="G403" s="728">
        <v>698</v>
      </c>
      <c r="H403" s="728">
        <v>0.93817204301075274</v>
      </c>
      <c r="I403" s="728">
        <v>349</v>
      </c>
      <c r="J403" s="728">
        <v>2</v>
      </c>
      <c r="K403" s="728">
        <v>744</v>
      </c>
      <c r="L403" s="728">
        <v>1</v>
      </c>
      <c r="M403" s="728">
        <v>372</v>
      </c>
      <c r="N403" s="728">
        <v>2</v>
      </c>
      <c r="O403" s="728">
        <v>746</v>
      </c>
      <c r="P403" s="741">
        <v>1.0026881720430108</v>
      </c>
      <c r="Q403" s="729">
        <v>373</v>
      </c>
    </row>
    <row r="404" spans="1:17" ht="14.4" customHeight="1" x14ac:dyDescent="0.3">
      <c r="A404" s="724" t="s">
        <v>3586</v>
      </c>
      <c r="B404" s="725" t="s">
        <v>2982</v>
      </c>
      <c r="C404" s="725" t="s">
        <v>2989</v>
      </c>
      <c r="D404" s="725" t="s">
        <v>3002</v>
      </c>
      <c r="E404" s="725" t="s">
        <v>3003</v>
      </c>
      <c r="F404" s="728"/>
      <c r="G404" s="728"/>
      <c r="H404" s="728"/>
      <c r="I404" s="728"/>
      <c r="J404" s="728">
        <v>1</v>
      </c>
      <c r="K404" s="728">
        <v>126</v>
      </c>
      <c r="L404" s="728">
        <v>1</v>
      </c>
      <c r="M404" s="728">
        <v>126</v>
      </c>
      <c r="N404" s="728"/>
      <c r="O404" s="728"/>
      <c r="P404" s="741"/>
      <c r="Q404" s="729"/>
    </row>
    <row r="405" spans="1:17" ht="14.4" customHeight="1" x14ac:dyDescent="0.3">
      <c r="A405" s="724" t="s">
        <v>3586</v>
      </c>
      <c r="B405" s="725" t="s">
        <v>2982</v>
      </c>
      <c r="C405" s="725" t="s">
        <v>2989</v>
      </c>
      <c r="D405" s="725" t="s">
        <v>3012</v>
      </c>
      <c r="E405" s="725" t="s">
        <v>3013</v>
      </c>
      <c r="F405" s="728"/>
      <c r="G405" s="728"/>
      <c r="H405" s="728"/>
      <c r="I405" s="728"/>
      <c r="J405" s="728">
        <v>1</v>
      </c>
      <c r="K405" s="728">
        <v>251</v>
      </c>
      <c r="L405" s="728">
        <v>1</v>
      </c>
      <c r="M405" s="728">
        <v>251</v>
      </c>
      <c r="N405" s="728"/>
      <c r="O405" s="728"/>
      <c r="P405" s="741"/>
      <c r="Q405" s="729"/>
    </row>
    <row r="406" spans="1:17" ht="14.4" customHeight="1" x14ac:dyDescent="0.3">
      <c r="A406" s="724" t="s">
        <v>3587</v>
      </c>
      <c r="B406" s="725" t="s">
        <v>2982</v>
      </c>
      <c r="C406" s="725" t="s">
        <v>2989</v>
      </c>
      <c r="D406" s="725" t="s">
        <v>3012</v>
      </c>
      <c r="E406" s="725" t="s">
        <v>3013</v>
      </c>
      <c r="F406" s="728">
        <v>1</v>
      </c>
      <c r="G406" s="728">
        <v>235</v>
      </c>
      <c r="H406" s="728">
        <v>0.93625498007968122</v>
      </c>
      <c r="I406" s="728">
        <v>235</v>
      </c>
      <c r="J406" s="728">
        <v>1</v>
      </c>
      <c r="K406" s="728">
        <v>251</v>
      </c>
      <c r="L406" s="728">
        <v>1</v>
      </c>
      <c r="M406" s="728">
        <v>251</v>
      </c>
      <c r="N406" s="728">
        <v>1</v>
      </c>
      <c r="O406" s="728">
        <v>251</v>
      </c>
      <c r="P406" s="741">
        <v>1</v>
      </c>
      <c r="Q406" s="729">
        <v>251</v>
      </c>
    </row>
    <row r="407" spans="1:17" ht="14.4" customHeight="1" x14ac:dyDescent="0.3">
      <c r="A407" s="724" t="s">
        <v>3588</v>
      </c>
      <c r="B407" s="725" t="s">
        <v>2982</v>
      </c>
      <c r="C407" s="725" t="s">
        <v>2989</v>
      </c>
      <c r="D407" s="725" t="s">
        <v>3002</v>
      </c>
      <c r="E407" s="725" t="s">
        <v>3003</v>
      </c>
      <c r="F407" s="728">
        <v>2</v>
      </c>
      <c r="G407" s="728">
        <v>236</v>
      </c>
      <c r="H407" s="728">
        <v>0.6243386243386243</v>
      </c>
      <c r="I407" s="728">
        <v>118</v>
      </c>
      <c r="J407" s="728">
        <v>3</v>
      </c>
      <c r="K407" s="728">
        <v>378</v>
      </c>
      <c r="L407" s="728">
        <v>1</v>
      </c>
      <c r="M407" s="728">
        <v>126</v>
      </c>
      <c r="N407" s="728">
        <v>2</v>
      </c>
      <c r="O407" s="728">
        <v>252</v>
      </c>
      <c r="P407" s="741">
        <v>0.66666666666666663</v>
      </c>
      <c r="Q407" s="729">
        <v>126</v>
      </c>
    </row>
    <row r="408" spans="1:17" ht="14.4" customHeight="1" x14ac:dyDescent="0.3">
      <c r="A408" s="724" t="s">
        <v>3588</v>
      </c>
      <c r="B408" s="725" t="s">
        <v>2982</v>
      </c>
      <c r="C408" s="725" t="s">
        <v>2989</v>
      </c>
      <c r="D408" s="725" t="s">
        <v>3012</v>
      </c>
      <c r="E408" s="725" t="s">
        <v>3013</v>
      </c>
      <c r="F408" s="728">
        <v>20</v>
      </c>
      <c r="G408" s="728">
        <v>4700</v>
      </c>
      <c r="H408" s="728">
        <v>0.74900398406374502</v>
      </c>
      <c r="I408" s="728">
        <v>235</v>
      </c>
      <c r="J408" s="728">
        <v>25</v>
      </c>
      <c r="K408" s="728">
        <v>6275</v>
      </c>
      <c r="L408" s="728">
        <v>1</v>
      </c>
      <c r="M408" s="728">
        <v>251</v>
      </c>
      <c r="N408" s="728">
        <v>18</v>
      </c>
      <c r="O408" s="728">
        <v>4518</v>
      </c>
      <c r="P408" s="741">
        <v>0.72</v>
      </c>
      <c r="Q408" s="729">
        <v>251</v>
      </c>
    </row>
    <row r="409" spans="1:17" ht="14.4" customHeight="1" x14ac:dyDescent="0.3">
      <c r="A409" s="724" t="s">
        <v>3588</v>
      </c>
      <c r="B409" s="725" t="s">
        <v>2982</v>
      </c>
      <c r="C409" s="725" t="s">
        <v>2989</v>
      </c>
      <c r="D409" s="725" t="s">
        <v>3589</v>
      </c>
      <c r="E409" s="725" t="s">
        <v>3590</v>
      </c>
      <c r="F409" s="728">
        <v>1</v>
      </c>
      <c r="G409" s="728">
        <v>0</v>
      </c>
      <c r="H409" s="728"/>
      <c r="I409" s="728">
        <v>0</v>
      </c>
      <c r="J409" s="728"/>
      <c r="K409" s="728"/>
      <c r="L409" s="728"/>
      <c r="M409" s="728"/>
      <c r="N409" s="728"/>
      <c r="O409" s="728"/>
      <c r="P409" s="741"/>
      <c r="Q409" s="729"/>
    </row>
    <row r="410" spans="1:17" ht="14.4" customHeight="1" x14ac:dyDescent="0.3">
      <c r="A410" s="724" t="s">
        <v>3588</v>
      </c>
      <c r="B410" s="725" t="s">
        <v>2982</v>
      </c>
      <c r="C410" s="725" t="s">
        <v>2989</v>
      </c>
      <c r="D410" s="725" t="s">
        <v>3024</v>
      </c>
      <c r="E410" s="725" t="s">
        <v>3025</v>
      </c>
      <c r="F410" s="728">
        <v>1</v>
      </c>
      <c r="G410" s="728">
        <v>179</v>
      </c>
      <c r="H410" s="728"/>
      <c r="I410" s="728">
        <v>179</v>
      </c>
      <c r="J410" s="728"/>
      <c r="K410" s="728"/>
      <c r="L410" s="728"/>
      <c r="M410" s="728"/>
      <c r="N410" s="728"/>
      <c r="O410" s="728"/>
      <c r="P410" s="741"/>
      <c r="Q410" s="729"/>
    </row>
    <row r="411" spans="1:17" ht="14.4" customHeight="1" x14ac:dyDescent="0.3">
      <c r="A411" s="724" t="s">
        <v>3588</v>
      </c>
      <c r="B411" s="725" t="s">
        <v>2982</v>
      </c>
      <c r="C411" s="725" t="s">
        <v>2989</v>
      </c>
      <c r="D411" s="725" t="s">
        <v>3028</v>
      </c>
      <c r="E411" s="725" t="s">
        <v>3029</v>
      </c>
      <c r="F411" s="728"/>
      <c r="G411" s="728"/>
      <c r="H411" s="728"/>
      <c r="I411" s="728"/>
      <c r="J411" s="728"/>
      <c r="K411" s="728"/>
      <c r="L411" s="728"/>
      <c r="M411" s="728"/>
      <c r="N411" s="728">
        <v>3</v>
      </c>
      <c r="O411" s="728">
        <v>1119</v>
      </c>
      <c r="P411" s="741"/>
      <c r="Q411" s="729">
        <v>373</v>
      </c>
    </row>
    <row r="412" spans="1:17" ht="14.4" customHeight="1" x14ac:dyDescent="0.3">
      <c r="A412" s="724" t="s">
        <v>3591</v>
      </c>
      <c r="B412" s="725" t="s">
        <v>2982</v>
      </c>
      <c r="C412" s="725" t="s">
        <v>2989</v>
      </c>
      <c r="D412" s="725" t="s">
        <v>3002</v>
      </c>
      <c r="E412" s="725" t="s">
        <v>3003</v>
      </c>
      <c r="F412" s="728">
        <v>1</v>
      </c>
      <c r="G412" s="728">
        <v>118</v>
      </c>
      <c r="H412" s="728"/>
      <c r="I412" s="728">
        <v>118</v>
      </c>
      <c r="J412" s="728"/>
      <c r="K412" s="728"/>
      <c r="L412" s="728"/>
      <c r="M412" s="728"/>
      <c r="N412" s="728"/>
      <c r="O412" s="728"/>
      <c r="P412" s="741"/>
      <c r="Q412" s="729"/>
    </row>
    <row r="413" spans="1:17" ht="14.4" customHeight="1" x14ac:dyDescent="0.3">
      <c r="A413" s="724" t="s">
        <v>3591</v>
      </c>
      <c r="B413" s="725" t="s">
        <v>2982</v>
      </c>
      <c r="C413" s="725" t="s">
        <v>2989</v>
      </c>
      <c r="D413" s="725" t="s">
        <v>3010</v>
      </c>
      <c r="E413" s="725" t="s">
        <v>3011</v>
      </c>
      <c r="F413" s="728">
        <v>1</v>
      </c>
      <c r="G413" s="728">
        <v>0</v>
      </c>
      <c r="H413" s="728"/>
      <c r="I413" s="728">
        <v>0</v>
      </c>
      <c r="J413" s="728"/>
      <c r="K413" s="728"/>
      <c r="L413" s="728"/>
      <c r="M413" s="728"/>
      <c r="N413" s="728"/>
      <c r="O413" s="728"/>
      <c r="P413" s="741"/>
      <c r="Q413" s="729"/>
    </row>
    <row r="414" spans="1:17" ht="14.4" customHeight="1" x14ac:dyDescent="0.3">
      <c r="A414" s="724" t="s">
        <v>3591</v>
      </c>
      <c r="B414" s="725" t="s">
        <v>2982</v>
      </c>
      <c r="C414" s="725" t="s">
        <v>2989</v>
      </c>
      <c r="D414" s="725" t="s">
        <v>3012</v>
      </c>
      <c r="E414" s="725" t="s">
        <v>3013</v>
      </c>
      <c r="F414" s="728">
        <v>1</v>
      </c>
      <c r="G414" s="728">
        <v>235</v>
      </c>
      <c r="H414" s="728"/>
      <c r="I414" s="728">
        <v>235</v>
      </c>
      <c r="J414" s="728"/>
      <c r="K414" s="728"/>
      <c r="L414" s="728"/>
      <c r="M414" s="728"/>
      <c r="N414" s="728">
        <v>1</v>
      </c>
      <c r="O414" s="728">
        <v>251</v>
      </c>
      <c r="P414" s="741"/>
      <c r="Q414" s="729">
        <v>251</v>
      </c>
    </row>
    <row r="415" spans="1:17" ht="14.4" customHeight="1" x14ac:dyDescent="0.3">
      <c r="A415" s="724" t="s">
        <v>3592</v>
      </c>
      <c r="B415" s="725" t="s">
        <v>2982</v>
      </c>
      <c r="C415" s="725" t="s">
        <v>2989</v>
      </c>
      <c r="D415" s="725" t="s">
        <v>3010</v>
      </c>
      <c r="E415" s="725" t="s">
        <v>3011</v>
      </c>
      <c r="F415" s="728">
        <v>1</v>
      </c>
      <c r="G415" s="728">
        <v>0</v>
      </c>
      <c r="H415" s="728"/>
      <c r="I415" s="728">
        <v>0</v>
      </c>
      <c r="J415" s="728"/>
      <c r="K415" s="728"/>
      <c r="L415" s="728"/>
      <c r="M415" s="728"/>
      <c r="N415" s="728"/>
      <c r="O415" s="728"/>
      <c r="P415" s="741"/>
      <c r="Q415" s="729"/>
    </row>
    <row r="416" spans="1:17" ht="14.4" customHeight="1" x14ac:dyDescent="0.3">
      <c r="A416" s="724" t="s">
        <v>3592</v>
      </c>
      <c r="B416" s="725" t="s">
        <v>2982</v>
      </c>
      <c r="C416" s="725" t="s">
        <v>2989</v>
      </c>
      <c r="D416" s="725" t="s">
        <v>3012</v>
      </c>
      <c r="E416" s="725" t="s">
        <v>3013</v>
      </c>
      <c r="F416" s="728">
        <v>1</v>
      </c>
      <c r="G416" s="728">
        <v>235</v>
      </c>
      <c r="H416" s="728"/>
      <c r="I416" s="728">
        <v>235</v>
      </c>
      <c r="J416" s="728"/>
      <c r="K416" s="728"/>
      <c r="L416" s="728"/>
      <c r="M416" s="728"/>
      <c r="N416" s="728"/>
      <c r="O416" s="728"/>
      <c r="P416" s="741"/>
      <c r="Q416" s="729"/>
    </row>
    <row r="417" spans="1:17" ht="14.4" customHeight="1" x14ac:dyDescent="0.3">
      <c r="A417" s="724" t="s">
        <v>3593</v>
      </c>
      <c r="B417" s="725" t="s">
        <v>2982</v>
      </c>
      <c r="C417" s="725" t="s">
        <v>2989</v>
      </c>
      <c r="D417" s="725" t="s">
        <v>3002</v>
      </c>
      <c r="E417" s="725" t="s">
        <v>3003</v>
      </c>
      <c r="F417" s="728">
        <v>1</v>
      </c>
      <c r="G417" s="728">
        <v>118</v>
      </c>
      <c r="H417" s="728"/>
      <c r="I417" s="728">
        <v>118</v>
      </c>
      <c r="J417" s="728"/>
      <c r="K417" s="728"/>
      <c r="L417" s="728"/>
      <c r="M417" s="728"/>
      <c r="N417" s="728"/>
      <c r="O417" s="728"/>
      <c r="P417" s="741"/>
      <c r="Q417" s="729"/>
    </row>
    <row r="418" spans="1:17" ht="14.4" customHeight="1" x14ac:dyDescent="0.3">
      <c r="A418" s="724" t="s">
        <v>3593</v>
      </c>
      <c r="B418" s="725" t="s">
        <v>2982</v>
      </c>
      <c r="C418" s="725" t="s">
        <v>2989</v>
      </c>
      <c r="D418" s="725" t="s">
        <v>3028</v>
      </c>
      <c r="E418" s="725" t="s">
        <v>3029</v>
      </c>
      <c r="F418" s="728"/>
      <c r="G418" s="728"/>
      <c r="H418" s="728"/>
      <c r="I418" s="728"/>
      <c r="J418" s="728"/>
      <c r="K418" s="728"/>
      <c r="L418" s="728"/>
      <c r="M418" s="728"/>
      <c r="N418" s="728">
        <v>1</v>
      </c>
      <c r="O418" s="728">
        <v>373</v>
      </c>
      <c r="P418" s="741"/>
      <c r="Q418" s="729">
        <v>373</v>
      </c>
    </row>
    <row r="419" spans="1:17" ht="14.4" customHeight="1" x14ac:dyDescent="0.3">
      <c r="A419" s="724" t="s">
        <v>3594</v>
      </c>
      <c r="B419" s="725" t="s">
        <v>2982</v>
      </c>
      <c r="C419" s="725" t="s">
        <v>2989</v>
      </c>
      <c r="D419" s="725" t="s">
        <v>3010</v>
      </c>
      <c r="E419" s="725" t="s">
        <v>3011</v>
      </c>
      <c r="F419" s="728">
        <v>1</v>
      </c>
      <c r="G419" s="728">
        <v>0</v>
      </c>
      <c r="H419" s="728">
        <v>0</v>
      </c>
      <c r="I419" s="728">
        <v>0</v>
      </c>
      <c r="J419" s="728">
        <v>1</v>
      </c>
      <c r="K419" s="728">
        <v>33.33</v>
      </c>
      <c r="L419" s="728">
        <v>1</v>
      </c>
      <c r="M419" s="728">
        <v>33.33</v>
      </c>
      <c r="N419" s="728"/>
      <c r="O419" s="728"/>
      <c r="P419" s="741"/>
      <c r="Q419" s="729"/>
    </row>
    <row r="420" spans="1:17" ht="14.4" customHeight="1" x14ac:dyDescent="0.3">
      <c r="A420" s="724" t="s">
        <v>3594</v>
      </c>
      <c r="B420" s="725" t="s">
        <v>2982</v>
      </c>
      <c r="C420" s="725" t="s">
        <v>2989</v>
      </c>
      <c r="D420" s="725" t="s">
        <v>3012</v>
      </c>
      <c r="E420" s="725" t="s">
        <v>3013</v>
      </c>
      <c r="F420" s="728">
        <v>4</v>
      </c>
      <c r="G420" s="728">
        <v>940</v>
      </c>
      <c r="H420" s="728">
        <v>1.248339973439575</v>
      </c>
      <c r="I420" s="728">
        <v>235</v>
      </c>
      <c r="J420" s="728">
        <v>3</v>
      </c>
      <c r="K420" s="728">
        <v>753</v>
      </c>
      <c r="L420" s="728">
        <v>1</v>
      </c>
      <c r="M420" s="728">
        <v>251</v>
      </c>
      <c r="N420" s="728">
        <v>3</v>
      </c>
      <c r="O420" s="728">
        <v>753</v>
      </c>
      <c r="P420" s="741">
        <v>1</v>
      </c>
      <c r="Q420" s="729">
        <v>251</v>
      </c>
    </row>
    <row r="421" spans="1:17" ht="14.4" customHeight="1" x14ac:dyDescent="0.3">
      <c r="A421" s="724" t="s">
        <v>3594</v>
      </c>
      <c r="B421" s="725" t="s">
        <v>2982</v>
      </c>
      <c r="C421" s="725" t="s">
        <v>2989</v>
      </c>
      <c r="D421" s="725" t="s">
        <v>3028</v>
      </c>
      <c r="E421" s="725" t="s">
        <v>3029</v>
      </c>
      <c r="F421" s="728"/>
      <c r="G421" s="728"/>
      <c r="H421" s="728"/>
      <c r="I421" s="728"/>
      <c r="J421" s="728">
        <v>1</v>
      </c>
      <c r="K421" s="728">
        <v>372</v>
      </c>
      <c r="L421" s="728">
        <v>1</v>
      </c>
      <c r="M421" s="728">
        <v>372</v>
      </c>
      <c r="N421" s="728"/>
      <c r="O421" s="728"/>
      <c r="P421" s="741"/>
      <c r="Q421" s="729"/>
    </row>
    <row r="422" spans="1:17" ht="14.4" customHeight="1" x14ac:dyDescent="0.3">
      <c r="A422" s="724" t="s">
        <v>3595</v>
      </c>
      <c r="B422" s="725" t="s">
        <v>2982</v>
      </c>
      <c r="C422" s="725" t="s">
        <v>2989</v>
      </c>
      <c r="D422" s="725" t="s">
        <v>2992</v>
      </c>
      <c r="E422" s="725" t="s">
        <v>2993</v>
      </c>
      <c r="F422" s="728"/>
      <c r="G422" s="728"/>
      <c r="H422" s="728"/>
      <c r="I422" s="728"/>
      <c r="J422" s="728">
        <v>1</v>
      </c>
      <c r="K422" s="728">
        <v>37</v>
      </c>
      <c r="L422" s="728">
        <v>1</v>
      </c>
      <c r="M422" s="728">
        <v>37</v>
      </c>
      <c r="N422" s="728">
        <v>1</v>
      </c>
      <c r="O422" s="728">
        <v>37</v>
      </c>
      <c r="P422" s="741">
        <v>1</v>
      </c>
      <c r="Q422" s="729">
        <v>37</v>
      </c>
    </row>
    <row r="423" spans="1:17" ht="14.4" customHeight="1" x14ac:dyDescent="0.3">
      <c r="A423" s="724" t="s">
        <v>3595</v>
      </c>
      <c r="B423" s="725" t="s">
        <v>2982</v>
      </c>
      <c r="C423" s="725" t="s">
        <v>2989</v>
      </c>
      <c r="D423" s="725" t="s">
        <v>3002</v>
      </c>
      <c r="E423" s="725" t="s">
        <v>3003</v>
      </c>
      <c r="F423" s="728">
        <v>18</v>
      </c>
      <c r="G423" s="728">
        <v>2124</v>
      </c>
      <c r="H423" s="728">
        <v>0.51082251082251084</v>
      </c>
      <c r="I423" s="728">
        <v>118</v>
      </c>
      <c r="J423" s="728">
        <v>33</v>
      </c>
      <c r="K423" s="728">
        <v>4158</v>
      </c>
      <c r="L423" s="728">
        <v>1</v>
      </c>
      <c r="M423" s="728">
        <v>126</v>
      </c>
      <c r="N423" s="728">
        <v>28</v>
      </c>
      <c r="O423" s="728">
        <v>3528</v>
      </c>
      <c r="P423" s="741">
        <v>0.84848484848484851</v>
      </c>
      <c r="Q423" s="729">
        <v>126</v>
      </c>
    </row>
    <row r="424" spans="1:17" ht="14.4" customHeight="1" x14ac:dyDescent="0.3">
      <c r="A424" s="724" t="s">
        <v>3595</v>
      </c>
      <c r="B424" s="725" t="s">
        <v>2982</v>
      </c>
      <c r="C424" s="725" t="s">
        <v>2989</v>
      </c>
      <c r="D424" s="725" t="s">
        <v>3010</v>
      </c>
      <c r="E424" s="725" t="s">
        <v>3011</v>
      </c>
      <c r="F424" s="728">
        <v>43</v>
      </c>
      <c r="G424" s="728">
        <v>0</v>
      </c>
      <c r="H424" s="728">
        <v>0</v>
      </c>
      <c r="I424" s="728">
        <v>0</v>
      </c>
      <c r="J424" s="728">
        <v>7</v>
      </c>
      <c r="K424" s="728">
        <v>233.31999999999994</v>
      </c>
      <c r="L424" s="728">
        <v>1</v>
      </c>
      <c r="M424" s="728">
        <v>33.33142857142856</v>
      </c>
      <c r="N424" s="728">
        <v>14</v>
      </c>
      <c r="O424" s="728">
        <v>466.62999999999988</v>
      </c>
      <c r="P424" s="741">
        <v>1.9999571404080234</v>
      </c>
      <c r="Q424" s="729">
        <v>33.330714285714279</v>
      </c>
    </row>
    <row r="425" spans="1:17" ht="14.4" customHeight="1" x14ac:dyDescent="0.3">
      <c r="A425" s="724" t="s">
        <v>3595</v>
      </c>
      <c r="B425" s="725" t="s">
        <v>2982</v>
      </c>
      <c r="C425" s="725" t="s">
        <v>2989</v>
      </c>
      <c r="D425" s="725" t="s">
        <v>3012</v>
      </c>
      <c r="E425" s="725" t="s">
        <v>3013</v>
      </c>
      <c r="F425" s="728">
        <v>60</v>
      </c>
      <c r="G425" s="728">
        <v>14100</v>
      </c>
      <c r="H425" s="728">
        <v>0.72019613852283171</v>
      </c>
      <c r="I425" s="728">
        <v>235</v>
      </c>
      <c r="J425" s="728">
        <v>78</v>
      </c>
      <c r="K425" s="728">
        <v>19578</v>
      </c>
      <c r="L425" s="728">
        <v>1</v>
      </c>
      <c r="M425" s="728">
        <v>251</v>
      </c>
      <c r="N425" s="728">
        <v>55</v>
      </c>
      <c r="O425" s="728">
        <v>13805</v>
      </c>
      <c r="P425" s="741">
        <v>0.70512820512820518</v>
      </c>
      <c r="Q425" s="729">
        <v>251</v>
      </c>
    </row>
    <row r="426" spans="1:17" ht="14.4" customHeight="1" x14ac:dyDescent="0.3">
      <c r="A426" s="724" t="s">
        <v>3595</v>
      </c>
      <c r="B426" s="725" t="s">
        <v>2982</v>
      </c>
      <c r="C426" s="725" t="s">
        <v>2989</v>
      </c>
      <c r="D426" s="725" t="s">
        <v>3028</v>
      </c>
      <c r="E426" s="725" t="s">
        <v>3029</v>
      </c>
      <c r="F426" s="728">
        <v>9</v>
      </c>
      <c r="G426" s="728">
        <v>3141</v>
      </c>
      <c r="H426" s="728">
        <v>1.0554435483870968</v>
      </c>
      <c r="I426" s="728">
        <v>349</v>
      </c>
      <c r="J426" s="728">
        <v>8</v>
      </c>
      <c r="K426" s="728">
        <v>2976</v>
      </c>
      <c r="L426" s="728">
        <v>1</v>
      </c>
      <c r="M426" s="728">
        <v>372</v>
      </c>
      <c r="N426" s="728">
        <v>7</v>
      </c>
      <c r="O426" s="728">
        <v>2611</v>
      </c>
      <c r="P426" s="741">
        <v>0.87735215053763438</v>
      </c>
      <c r="Q426" s="729">
        <v>373</v>
      </c>
    </row>
    <row r="427" spans="1:17" ht="14.4" customHeight="1" x14ac:dyDescent="0.3">
      <c r="A427" s="724" t="s">
        <v>3596</v>
      </c>
      <c r="B427" s="725" t="s">
        <v>2982</v>
      </c>
      <c r="C427" s="725" t="s">
        <v>2989</v>
      </c>
      <c r="D427" s="725" t="s">
        <v>3002</v>
      </c>
      <c r="E427" s="725" t="s">
        <v>3003</v>
      </c>
      <c r="F427" s="728">
        <v>1</v>
      </c>
      <c r="G427" s="728">
        <v>118</v>
      </c>
      <c r="H427" s="728"/>
      <c r="I427" s="728">
        <v>118</v>
      </c>
      <c r="J427" s="728"/>
      <c r="K427" s="728"/>
      <c r="L427" s="728"/>
      <c r="M427" s="728"/>
      <c r="N427" s="728">
        <v>1</v>
      </c>
      <c r="O427" s="728">
        <v>126</v>
      </c>
      <c r="P427" s="741"/>
      <c r="Q427" s="729">
        <v>126</v>
      </c>
    </row>
    <row r="428" spans="1:17" ht="14.4" customHeight="1" x14ac:dyDescent="0.3">
      <c r="A428" s="724" t="s">
        <v>3596</v>
      </c>
      <c r="B428" s="725" t="s">
        <v>2982</v>
      </c>
      <c r="C428" s="725" t="s">
        <v>2989</v>
      </c>
      <c r="D428" s="725" t="s">
        <v>3010</v>
      </c>
      <c r="E428" s="725" t="s">
        <v>3011</v>
      </c>
      <c r="F428" s="728">
        <v>1</v>
      </c>
      <c r="G428" s="728">
        <v>0</v>
      </c>
      <c r="H428" s="728">
        <v>0</v>
      </c>
      <c r="I428" s="728">
        <v>0</v>
      </c>
      <c r="J428" s="728">
        <v>1</v>
      </c>
      <c r="K428" s="728">
        <v>33.33</v>
      </c>
      <c r="L428" s="728">
        <v>1</v>
      </c>
      <c r="M428" s="728">
        <v>33.33</v>
      </c>
      <c r="N428" s="728"/>
      <c r="O428" s="728"/>
      <c r="P428" s="741"/>
      <c r="Q428" s="729"/>
    </row>
    <row r="429" spans="1:17" ht="14.4" customHeight="1" x14ac:dyDescent="0.3">
      <c r="A429" s="724" t="s">
        <v>3596</v>
      </c>
      <c r="B429" s="725" t="s">
        <v>2982</v>
      </c>
      <c r="C429" s="725" t="s">
        <v>2989</v>
      </c>
      <c r="D429" s="725" t="s">
        <v>3012</v>
      </c>
      <c r="E429" s="725" t="s">
        <v>3013</v>
      </c>
      <c r="F429" s="728">
        <v>1</v>
      </c>
      <c r="G429" s="728">
        <v>235</v>
      </c>
      <c r="H429" s="728">
        <v>0.46812749003984061</v>
      </c>
      <c r="I429" s="728">
        <v>235</v>
      </c>
      <c r="J429" s="728">
        <v>2</v>
      </c>
      <c r="K429" s="728">
        <v>502</v>
      </c>
      <c r="L429" s="728">
        <v>1</v>
      </c>
      <c r="M429" s="728">
        <v>251</v>
      </c>
      <c r="N429" s="728"/>
      <c r="O429" s="728"/>
      <c r="P429" s="741"/>
      <c r="Q429" s="729"/>
    </row>
    <row r="430" spans="1:17" ht="14.4" customHeight="1" x14ac:dyDescent="0.3">
      <c r="A430" s="724" t="s">
        <v>3597</v>
      </c>
      <c r="B430" s="725" t="s">
        <v>2982</v>
      </c>
      <c r="C430" s="725" t="s">
        <v>2989</v>
      </c>
      <c r="D430" s="725" t="s">
        <v>3002</v>
      </c>
      <c r="E430" s="725" t="s">
        <v>3003</v>
      </c>
      <c r="F430" s="728">
        <v>4</v>
      </c>
      <c r="G430" s="728">
        <v>472</v>
      </c>
      <c r="H430" s="728">
        <v>3.746031746031746</v>
      </c>
      <c r="I430" s="728">
        <v>118</v>
      </c>
      <c r="J430" s="728">
        <v>1</v>
      </c>
      <c r="K430" s="728">
        <v>126</v>
      </c>
      <c r="L430" s="728">
        <v>1</v>
      </c>
      <c r="M430" s="728">
        <v>126</v>
      </c>
      <c r="N430" s="728">
        <v>3</v>
      </c>
      <c r="O430" s="728">
        <v>378</v>
      </c>
      <c r="P430" s="741">
        <v>3</v>
      </c>
      <c r="Q430" s="729">
        <v>126</v>
      </c>
    </row>
    <row r="431" spans="1:17" ht="14.4" customHeight="1" x14ac:dyDescent="0.3">
      <c r="A431" s="724" t="s">
        <v>3597</v>
      </c>
      <c r="B431" s="725" t="s">
        <v>2982</v>
      </c>
      <c r="C431" s="725" t="s">
        <v>2989</v>
      </c>
      <c r="D431" s="725" t="s">
        <v>3010</v>
      </c>
      <c r="E431" s="725" t="s">
        <v>3011</v>
      </c>
      <c r="F431" s="728">
        <v>10</v>
      </c>
      <c r="G431" s="728">
        <v>0</v>
      </c>
      <c r="H431" s="728"/>
      <c r="I431" s="728">
        <v>0</v>
      </c>
      <c r="J431" s="728"/>
      <c r="K431" s="728"/>
      <c r="L431" s="728"/>
      <c r="M431" s="728"/>
      <c r="N431" s="728"/>
      <c r="O431" s="728"/>
      <c r="P431" s="741"/>
      <c r="Q431" s="729"/>
    </row>
    <row r="432" spans="1:17" ht="14.4" customHeight="1" x14ac:dyDescent="0.3">
      <c r="A432" s="724" t="s">
        <v>3597</v>
      </c>
      <c r="B432" s="725" t="s">
        <v>2982</v>
      </c>
      <c r="C432" s="725" t="s">
        <v>2989</v>
      </c>
      <c r="D432" s="725" t="s">
        <v>3012</v>
      </c>
      <c r="E432" s="725" t="s">
        <v>3013</v>
      </c>
      <c r="F432" s="728">
        <v>12</v>
      </c>
      <c r="G432" s="728">
        <v>2820</v>
      </c>
      <c r="H432" s="728">
        <v>1.8725099601593624</v>
      </c>
      <c r="I432" s="728">
        <v>235</v>
      </c>
      <c r="J432" s="728">
        <v>6</v>
      </c>
      <c r="K432" s="728">
        <v>1506</v>
      </c>
      <c r="L432" s="728">
        <v>1</v>
      </c>
      <c r="M432" s="728">
        <v>251</v>
      </c>
      <c r="N432" s="728">
        <v>4</v>
      </c>
      <c r="O432" s="728">
        <v>1004</v>
      </c>
      <c r="P432" s="741">
        <v>0.66666666666666663</v>
      </c>
      <c r="Q432" s="729">
        <v>251</v>
      </c>
    </row>
    <row r="433" spans="1:17" ht="14.4" customHeight="1" x14ac:dyDescent="0.3">
      <c r="A433" s="724" t="s">
        <v>3598</v>
      </c>
      <c r="B433" s="725" t="s">
        <v>2982</v>
      </c>
      <c r="C433" s="725" t="s">
        <v>2989</v>
      </c>
      <c r="D433" s="725" t="s">
        <v>3010</v>
      </c>
      <c r="E433" s="725" t="s">
        <v>3011</v>
      </c>
      <c r="F433" s="728">
        <v>1</v>
      </c>
      <c r="G433" s="728">
        <v>0</v>
      </c>
      <c r="H433" s="728"/>
      <c r="I433" s="728">
        <v>0</v>
      </c>
      <c r="J433" s="728"/>
      <c r="K433" s="728"/>
      <c r="L433" s="728"/>
      <c r="M433" s="728"/>
      <c r="N433" s="728"/>
      <c r="O433" s="728"/>
      <c r="P433" s="741"/>
      <c r="Q433" s="729"/>
    </row>
    <row r="434" spans="1:17" ht="14.4" customHeight="1" x14ac:dyDescent="0.3">
      <c r="A434" s="724" t="s">
        <v>3598</v>
      </c>
      <c r="B434" s="725" t="s">
        <v>2982</v>
      </c>
      <c r="C434" s="725" t="s">
        <v>2989</v>
      </c>
      <c r="D434" s="725" t="s">
        <v>3012</v>
      </c>
      <c r="E434" s="725" t="s">
        <v>3013</v>
      </c>
      <c r="F434" s="728">
        <v>1</v>
      </c>
      <c r="G434" s="728">
        <v>235</v>
      </c>
      <c r="H434" s="728"/>
      <c r="I434" s="728">
        <v>235</v>
      </c>
      <c r="J434" s="728"/>
      <c r="K434" s="728"/>
      <c r="L434" s="728"/>
      <c r="M434" s="728"/>
      <c r="N434" s="728"/>
      <c r="O434" s="728"/>
      <c r="P434" s="741"/>
      <c r="Q434" s="729"/>
    </row>
    <row r="435" spans="1:17" ht="14.4" customHeight="1" x14ac:dyDescent="0.3">
      <c r="A435" s="724" t="s">
        <v>3599</v>
      </c>
      <c r="B435" s="725" t="s">
        <v>2982</v>
      </c>
      <c r="C435" s="725" t="s">
        <v>2989</v>
      </c>
      <c r="D435" s="725" t="s">
        <v>2992</v>
      </c>
      <c r="E435" s="725" t="s">
        <v>2993</v>
      </c>
      <c r="F435" s="728">
        <v>1</v>
      </c>
      <c r="G435" s="728">
        <v>35</v>
      </c>
      <c r="H435" s="728">
        <v>0.31531531531531531</v>
      </c>
      <c r="I435" s="728">
        <v>35</v>
      </c>
      <c r="J435" s="728">
        <v>3</v>
      </c>
      <c r="K435" s="728">
        <v>111</v>
      </c>
      <c r="L435" s="728">
        <v>1</v>
      </c>
      <c r="M435" s="728">
        <v>37</v>
      </c>
      <c r="N435" s="728">
        <v>2</v>
      </c>
      <c r="O435" s="728">
        <v>74</v>
      </c>
      <c r="P435" s="741">
        <v>0.66666666666666663</v>
      </c>
      <c r="Q435" s="729">
        <v>37</v>
      </c>
    </row>
    <row r="436" spans="1:17" ht="14.4" customHeight="1" x14ac:dyDescent="0.3">
      <c r="A436" s="724" t="s">
        <v>3599</v>
      </c>
      <c r="B436" s="725" t="s">
        <v>2982</v>
      </c>
      <c r="C436" s="725" t="s">
        <v>2989</v>
      </c>
      <c r="D436" s="725" t="s">
        <v>3002</v>
      </c>
      <c r="E436" s="725" t="s">
        <v>3003</v>
      </c>
      <c r="F436" s="728">
        <v>2</v>
      </c>
      <c r="G436" s="728">
        <v>236</v>
      </c>
      <c r="H436" s="728">
        <v>0.6243386243386243</v>
      </c>
      <c r="I436" s="728">
        <v>118</v>
      </c>
      <c r="J436" s="728">
        <v>3</v>
      </c>
      <c r="K436" s="728">
        <v>378</v>
      </c>
      <c r="L436" s="728">
        <v>1</v>
      </c>
      <c r="M436" s="728">
        <v>126</v>
      </c>
      <c r="N436" s="728">
        <v>7</v>
      </c>
      <c r="O436" s="728">
        <v>882</v>
      </c>
      <c r="P436" s="741">
        <v>2.3333333333333335</v>
      </c>
      <c r="Q436" s="729">
        <v>126</v>
      </c>
    </row>
    <row r="437" spans="1:17" ht="14.4" customHeight="1" x14ac:dyDescent="0.3">
      <c r="A437" s="724" t="s">
        <v>3599</v>
      </c>
      <c r="B437" s="725" t="s">
        <v>2982</v>
      </c>
      <c r="C437" s="725" t="s">
        <v>2989</v>
      </c>
      <c r="D437" s="725" t="s">
        <v>3010</v>
      </c>
      <c r="E437" s="725" t="s">
        <v>3011</v>
      </c>
      <c r="F437" s="728">
        <v>3</v>
      </c>
      <c r="G437" s="728">
        <v>0</v>
      </c>
      <c r="H437" s="728">
        <v>0</v>
      </c>
      <c r="I437" s="728">
        <v>0</v>
      </c>
      <c r="J437" s="728">
        <v>1</v>
      </c>
      <c r="K437" s="728">
        <v>33.33</v>
      </c>
      <c r="L437" s="728">
        <v>1</v>
      </c>
      <c r="M437" s="728">
        <v>33.33</v>
      </c>
      <c r="N437" s="728"/>
      <c r="O437" s="728"/>
      <c r="P437" s="741"/>
      <c r="Q437" s="729"/>
    </row>
    <row r="438" spans="1:17" ht="14.4" customHeight="1" x14ac:dyDescent="0.3">
      <c r="A438" s="724" t="s">
        <v>3599</v>
      </c>
      <c r="B438" s="725" t="s">
        <v>2982</v>
      </c>
      <c r="C438" s="725" t="s">
        <v>2989</v>
      </c>
      <c r="D438" s="725" t="s">
        <v>3012</v>
      </c>
      <c r="E438" s="725" t="s">
        <v>3013</v>
      </c>
      <c r="F438" s="728">
        <v>6</v>
      </c>
      <c r="G438" s="728">
        <v>1410</v>
      </c>
      <c r="H438" s="728">
        <v>1.8725099601593624</v>
      </c>
      <c r="I438" s="728">
        <v>235</v>
      </c>
      <c r="J438" s="728">
        <v>3</v>
      </c>
      <c r="K438" s="728">
        <v>753</v>
      </c>
      <c r="L438" s="728">
        <v>1</v>
      </c>
      <c r="M438" s="728">
        <v>251</v>
      </c>
      <c r="N438" s="728">
        <v>6</v>
      </c>
      <c r="O438" s="728">
        <v>1506</v>
      </c>
      <c r="P438" s="741">
        <v>2</v>
      </c>
      <c r="Q438" s="729">
        <v>251</v>
      </c>
    </row>
    <row r="439" spans="1:17" ht="14.4" customHeight="1" x14ac:dyDescent="0.3">
      <c r="A439" s="724" t="s">
        <v>3599</v>
      </c>
      <c r="B439" s="725" t="s">
        <v>2982</v>
      </c>
      <c r="C439" s="725" t="s">
        <v>2989</v>
      </c>
      <c r="D439" s="725" t="s">
        <v>3028</v>
      </c>
      <c r="E439" s="725" t="s">
        <v>3029</v>
      </c>
      <c r="F439" s="728"/>
      <c r="G439" s="728"/>
      <c r="H439" s="728"/>
      <c r="I439" s="728"/>
      <c r="J439" s="728"/>
      <c r="K439" s="728"/>
      <c r="L439" s="728"/>
      <c r="M439" s="728"/>
      <c r="N439" s="728">
        <v>1</v>
      </c>
      <c r="O439" s="728">
        <v>373</v>
      </c>
      <c r="P439" s="741"/>
      <c r="Q439" s="729">
        <v>373</v>
      </c>
    </row>
    <row r="440" spans="1:17" ht="14.4" customHeight="1" x14ac:dyDescent="0.3">
      <c r="A440" s="724" t="s">
        <v>3600</v>
      </c>
      <c r="B440" s="725" t="s">
        <v>2982</v>
      </c>
      <c r="C440" s="725" t="s">
        <v>2989</v>
      </c>
      <c r="D440" s="725" t="s">
        <v>2992</v>
      </c>
      <c r="E440" s="725" t="s">
        <v>2993</v>
      </c>
      <c r="F440" s="728">
        <v>2</v>
      </c>
      <c r="G440" s="728">
        <v>70</v>
      </c>
      <c r="H440" s="728">
        <v>1.8918918918918919</v>
      </c>
      <c r="I440" s="728">
        <v>35</v>
      </c>
      <c r="J440" s="728">
        <v>1</v>
      </c>
      <c r="K440" s="728">
        <v>37</v>
      </c>
      <c r="L440" s="728">
        <v>1</v>
      </c>
      <c r="M440" s="728">
        <v>37</v>
      </c>
      <c r="N440" s="728"/>
      <c r="O440" s="728"/>
      <c r="P440" s="741"/>
      <c r="Q440" s="729"/>
    </row>
    <row r="441" spans="1:17" ht="14.4" customHeight="1" x14ac:dyDescent="0.3">
      <c r="A441" s="724" t="s">
        <v>3600</v>
      </c>
      <c r="B441" s="725" t="s">
        <v>2982</v>
      </c>
      <c r="C441" s="725" t="s">
        <v>2989</v>
      </c>
      <c r="D441" s="725" t="s">
        <v>3002</v>
      </c>
      <c r="E441" s="725" t="s">
        <v>3003</v>
      </c>
      <c r="F441" s="728">
        <v>1</v>
      </c>
      <c r="G441" s="728">
        <v>118</v>
      </c>
      <c r="H441" s="728"/>
      <c r="I441" s="728">
        <v>118</v>
      </c>
      <c r="J441" s="728"/>
      <c r="K441" s="728"/>
      <c r="L441" s="728"/>
      <c r="M441" s="728"/>
      <c r="N441" s="728">
        <v>1</v>
      </c>
      <c r="O441" s="728">
        <v>126</v>
      </c>
      <c r="P441" s="741"/>
      <c r="Q441" s="729">
        <v>126</v>
      </c>
    </row>
    <row r="442" spans="1:17" ht="14.4" customHeight="1" x14ac:dyDescent="0.3">
      <c r="A442" s="724" t="s">
        <v>3600</v>
      </c>
      <c r="B442" s="725" t="s">
        <v>2982</v>
      </c>
      <c r="C442" s="725" t="s">
        <v>2989</v>
      </c>
      <c r="D442" s="725" t="s">
        <v>3012</v>
      </c>
      <c r="E442" s="725" t="s">
        <v>3013</v>
      </c>
      <c r="F442" s="728"/>
      <c r="G442" s="728"/>
      <c r="H442" s="728"/>
      <c r="I442" s="728"/>
      <c r="J442" s="728">
        <v>2</v>
      </c>
      <c r="K442" s="728">
        <v>502</v>
      </c>
      <c r="L442" s="728">
        <v>1</v>
      </c>
      <c r="M442" s="728">
        <v>251</v>
      </c>
      <c r="N442" s="728"/>
      <c r="O442" s="728"/>
      <c r="P442" s="741"/>
      <c r="Q442" s="729"/>
    </row>
    <row r="443" spans="1:17" ht="14.4" customHeight="1" x14ac:dyDescent="0.3">
      <c r="A443" s="724" t="s">
        <v>3601</v>
      </c>
      <c r="B443" s="725" t="s">
        <v>2982</v>
      </c>
      <c r="C443" s="725" t="s">
        <v>2989</v>
      </c>
      <c r="D443" s="725" t="s">
        <v>3002</v>
      </c>
      <c r="E443" s="725" t="s">
        <v>3003</v>
      </c>
      <c r="F443" s="728">
        <v>5</v>
      </c>
      <c r="G443" s="728">
        <v>590</v>
      </c>
      <c r="H443" s="728">
        <v>1.1706349206349207</v>
      </c>
      <c r="I443" s="728">
        <v>118</v>
      </c>
      <c r="J443" s="728">
        <v>4</v>
      </c>
      <c r="K443" s="728">
        <v>504</v>
      </c>
      <c r="L443" s="728">
        <v>1</v>
      </c>
      <c r="M443" s="728">
        <v>126</v>
      </c>
      <c r="N443" s="728">
        <v>5</v>
      </c>
      <c r="O443" s="728">
        <v>630</v>
      </c>
      <c r="P443" s="741">
        <v>1.25</v>
      </c>
      <c r="Q443" s="729">
        <v>126</v>
      </c>
    </row>
    <row r="444" spans="1:17" ht="14.4" customHeight="1" x14ac:dyDescent="0.3">
      <c r="A444" s="724" t="s">
        <v>3601</v>
      </c>
      <c r="B444" s="725" t="s">
        <v>2982</v>
      </c>
      <c r="C444" s="725" t="s">
        <v>2989</v>
      </c>
      <c r="D444" s="725" t="s">
        <v>3010</v>
      </c>
      <c r="E444" s="725" t="s">
        <v>3011</v>
      </c>
      <c r="F444" s="728">
        <v>8</v>
      </c>
      <c r="G444" s="728">
        <v>0</v>
      </c>
      <c r="H444" s="728"/>
      <c r="I444" s="728">
        <v>0</v>
      </c>
      <c r="J444" s="728"/>
      <c r="K444" s="728"/>
      <c r="L444" s="728"/>
      <c r="M444" s="728"/>
      <c r="N444" s="728">
        <v>1</v>
      </c>
      <c r="O444" s="728">
        <v>33.33</v>
      </c>
      <c r="P444" s="741"/>
      <c r="Q444" s="729">
        <v>33.33</v>
      </c>
    </row>
    <row r="445" spans="1:17" ht="14.4" customHeight="1" x14ac:dyDescent="0.3">
      <c r="A445" s="724" t="s">
        <v>3601</v>
      </c>
      <c r="B445" s="725" t="s">
        <v>2982</v>
      </c>
      <c r="C445" s="725" t="s">
        <v>2989</v>
      </c>
      <c r="D445" s="725" t="s">
        <v>3012</v>
      </c>
      <c r="E445" s="725" t="s">
        <v>3013</v>
      </c>
      <c r="F445" s="728">
        <v>13</v>
      </c>
      <c r="G445" s="728">
        <v>3055</v>
      </c>
      <c r="H445" s="728">
        <v>1.3523683045595396</v>
      </c>
      <c r="I445" s="728">
        <v>235</v>
      </c>
      <c r="J445" s="728">
        <v>9</v>
      </c>
      <c r="K445" s="728">
        <v>2259</v>
      </c>
      <c r="L445" s="728">
        <v>1</v>
      </c>
      <c r="M445" s="728">
        <v>251</v>
      </c>
      <c r="N445" s="728">
        <v>7</v>
      </c>
      <c r="O445" s="728">
        <v>1757</v>
      </c>
      <c r="P445" s="741">
        <v>0.77777777777777779</v>
      </c>
      <c r="Q445" s="729">
        <v>251</v>
      </c>
    </row>
    <row r="446" spans="1:17" ht="14.4" customHeight="1" x14ac:dyDescent="0.3">
      <c r="A446" s="724" t="s">
        <v>3601</v>
      </c>
      <c r="B446" s="725" t="s">
        <v>2982</v>
      </c>
      <c r="C446" s="725" t="s">
        <v>2989</v>
      </c>
      <c r="D446" s="725" t="s">
        <v>3028</v>
      </c>
      <c r="E446" s="725" t="s">
        <v>3029</v>
      </c>
      <c r="F446" s="728"/>
      <c r="G446" s="728"/>
      <c r="H446" s="728"/>
      <c r="I446" s="728"/>
      <c r="J446" s="728"/>
      <c r="K446" s="728"/>
      <c r="L446" s="728"/>
      <c r="M446" s="728"/>
      <c r="N446" s="728">
        <v>1</v>
      </c>
      <c r="O446" s="728">
        <v>373</v>
      </c>
      <c r="P446" s="741"/>
      <c r="Q446" s="729">
        <v>373</v>
      </c>
    </row>
    <row r="447" spans="1:17" ht="14.4" customHeight="1" x14ac:dyDescent="0.3">
      <c r="A447" s="724" t="s">
        <v>3602</v>
      </c>
      <c r="B447" s="725" t="s">
        <v>2982</v>
      </c>
      <c r="C447" s="725" t="s">
        <v>2989</v>
      </c>
      <c r="D447" s="725" t="s">
        <v>2992</v>
      </c>
      <c r="E447" s="725" t="s">
        <v>2993</v>
      </c>
      <c r="F447" s="728">
        <v>1</v>
      </c>
      <c r="G447" s="728">
        <v>35</v>
      </c>
      <c r="H447" s="728"/>
      <c r="I447" s="728">
        <v>35</v>
      </c>
      <c r="J447" s="728"/>
      <c r="K447" s="728"/>
      <c r="L447" s="728"/>
      <c r="M447" s="728"/>
      <c r="N447" s="728"/>
      <c r="O447" s="728"/>
      <c r="P447" s="741"/>
      <c r="Q447" s="729"/>
    </row>
    <row r="448" spans="1:17" ht="14.4" customHeight="1" x14ac:dyDescent="0.3">
      <c r="A448" s="724" t="s">
        <v>3602</v>
      </c>
      <c r="B448" s="725" t="s">
        <v>2982</v>
      </c>
      <c r="C448" s="725" t="s">
        <v>2989</v>
      </c>
      <c r="D448" s="725" t="s">
        <v>3002</v>
      </c>
      <c r="E448" s="725" t="s">
        <v>3003</v>
      </c>
      <c r="F448" s="728">
        <v>1</v>
      </c>
      <c r="G448" s="728">
        <v>118</v>
      </c>
      <c r="H448" s="728">
        <v>0.31216931216931215</v>
      </c>
      <c r="I448" s="728">
        <v>118</v>
      </c>
      <c r="J448" s="728">
        <v>3</v>
      </c>
      <c r="K448" s="728">
        <v>378</v>
      </c>
      <c r="L448" s="728">
        <v>1</v>
      </c>
      <c r="M448" s="728">
        <v>126</v>
      </c>
      <c r="N448" s="728">
        <v>6</v>
      </c>
      <c r="O448" s="728">
        <v>756</v>
      </c>
      <c r="P448" s="741">
        <v>2</v>
      </c>
      <c r="Q448" s="729">
        <v>126</v>
      </c>
    </row>
    <row r="449" spans="1:17" ht="14.4" customHeight="1" x14ac:dyDescent="0.3">
      <c r="A449" s="724" t="s">
        <v>3602</v>
      </c>
      <c r="B449" s="725" t="s">
        <v>2982</v>
      </c>
      <c r="C449" s="725" t="s">
        <v>2989</v>
      </c>
      <c r="D449" s="725" t="s">
        <v>3010</v>
      </c>
      <c r="E449" s="725" t="s">
        <v>3011</v>
      </c>
      <c r="F449" s="728">
        <v>1</v>
      </c>
      <c r="G449" s="728">
        <v>0</v>
      </c>
      <c r="H449" s="728">
        <v>0</v>
      </c>
      <c r="I449" s="728">
        <v>0</v>
      </c>
      <c r="J449" s="728">
        <v>1</v>
      </c>
      <c r="K449" s="728">
        <v>33.33</v>
      </c>
      <c r="L449" s="728">
        <v>1</v>
      </c>
      <c r="M449" s="728">
        <v>33.33</v>
      </c>
      <c r="N449" s="728">
        <v>2</v>
      </c>
      <c r="O449" s="728">
        <v>66.66</v>
      </c>
      <c r="P449" s="741">
        <v>2</v>
      </c>
      <c r="Q449" s="729">
        <v>33.33</v>
      </c>
    </row>
    <row r="450" spans="1:17" ht="14.4" customHeight="1" x14ac:dyDescent="0.3">
      <c r="A450" s="724" t="s">
        <v>3602</v>
      </c>
      <c r="B450" s="725" t="s">
        <v>2982</v>
      </c>
      <c r="C450" s="725" t="s">
        <v>2989</v>
      </c>
      <c r="D450" s="725" t="s">
        <v>3012</v>
      </c>
      <c r="E450" s="725" t="s">
        <v>3013</v>
      </c>
      <c r="F450" s="728">
        <v>2</v>
      </c>
      <c r="G450" s="728">
        <v>470</v>
      </c>
      <c r="H450" s="728">
        <v>0.93625498007968122</v>
      </c>
      <c r="I450" s="728">
        <v>235</v>
      </c>
      <c r="J450" s="728">
        <v>2</v>
      </c>
      <c r="K450" s="728">
        <v>502</v>
      </c>
      <c r="L450" s="728">
        <v>1</v>
      </c>
      <c r="M450" s="728">
        <v>251</v>
      </c>
      <c r="N450" s="728">
        <v>6</v>
      </c>
      <c r="O450" s="728">
        <v>1506</v>
      </c>
      <c r="P450" s="741">
        <v>3</v>
      </c>
      <c r="Q450" s="729">
        <v>251</v>
      </c>
    </row>
    <row r="451" spans="1:17" ht="14.4" customHeight="1" x14ac:dyDescent="0.3">
      <c r="A451" s="724" t="s">
        <v>3602</v>
      </c>
      <c r="B451" s="725" t="s">
        <v>2982</v>
      </c>
      <c r="C451" s="725" t="s">
        <v>2989</v>
      </c>
      <c r="D451" s="725" t="s">
        <v>3028</v>
      </c>
      <c r="E451" s="725" t="s">
        <v>3029</v>
      </c>
      <c r="F451" s="728"/>
      <c r="G451" s="728"/>
      <c r="H451" s="728"/>
      <c r="I451" s="728"/>
      <c r="J451" s="728">
        <v>2</v>
      </c>
      <c r="K451" s="728">
        <v>744</v>
      </c>
      <c r="L451" s="728">
        <v>1</v>
      </c>
      <c r="M451" s="728">
        <v>372</v>
      </c>
      <c r="N451" s="728"/>
      <c r="O451" s="728"/>
      <c r="P451" s="741"/>
      <c r="Q451" s="729"/>
    </row>
    <row r="452" spans="1:17" ht="14.4" customHeight="1" x14ac:dyDescent="0.3">
      <c r="A452" s="724" t="s">
        <v>3603</v>
      </c>
      <c r="B452" s="725" t="s">
        <v>2982</v>
      </c>
      <c r="C452" s="725" t="s">
        <v>2989</v>
      </c>
      <c r="D452" s="725" t="s">
        <v>3002</v>
      </c>
      <c r="E452" s="725" t="s">
        <v>3003</v>
      </c>
      <c r="F452" s="728"/>
      <c r="G452" s="728"/>
      <c r="H452" s="728"/>
      <c r="I452" s="728"/>
      <c r="J452" s="728"/>
      <c r="K452" s="728"/>
      <c r="L452" s="728"/>
      <c r="M452" s="728"/>
      <c r="N452" s="728">
        <v>1</v>
      </c>
      <c r="O452" s="728">
        <v>126</v>
      </c>
      <c r="P452" s="741"/>
      <c r="Q452" s="729">
        <v>126</v>
      </c>
    </row>
    <row r="453" spans="1:17" ht="14.4" customHeight="1" x14ac:dyDescent="0.3">
      <c r="A453" s="724" t="s">
        <v>3603</v>
      </c>
      <c r="B453" s="725" t="s">
        <v>2982</v>
      </c>
      <c r="C453" s="725" t="s">
        <v>2989</v>
      </c>
      <c r="D453" s="725" t="s">
        <v>3012</v>
      </c>
      <c r="E453" s="725" t="s">
        <v>3013</v>
      </c>
      <c r="F453" s="728"/>
      <c r="G453" s="728"/>
      <c r="H453" s="728"/>
      <c r="I453" s="728"/>
      <c r="J453" s="728">
        <v>3</v>
      </c>
      <c r="K453" s="728">
        <v>753</v>
      </c>
      <c r="L453" s="728">
        <v>1</v>
      </c>
      <c r="M453" s="728">
        <v>251</v>
      </c>
      <c r="N453" s="728"/>
      <c r="O453" s="728"/>
      <c r="P453" s="741"/>
      <c r="Q453" s="729"/>
    </row>
    <row r="454" spans="1:17" ht="14.4" customHeight="1" x14ac:dyDescent="0.3">
      <c r="A454" s="724" t="s">
        <v>3604</v>
      </c>
      <c r="B454" s="725" t="s">
        <v>2982</v>
      </c>
      <c r="C454" s="725" t="s">
        <v>2989</v>
      </c>
      <c r="D454" s="725" t="s">
        <v>2992</v>
      </c>
      <c r="E454" s="725" t="s">
        <v>2993</v>
      </c>
      <c r="F454" s="728"/>
      <c r="G454" s="728"/>
      <c r="H454" s="728"/>
      <c r="I454" s="728"/>
      <c r="J454" s="728"/>
      <c r="K454" s="728"/>
      <c r="L454" s="728"/>
      <c r="M454" s="728"/>
      <c r="N454" s="728">
        <v>1</v>
      </c>
      <c r="O454" s="728">
        <v>37</v>
      </c>
      <c r="P454" s="741"/>
      <c r="Q454" s="729">
        <v>37</v>
      </c>
    </row>
    <row r="455" spans="1:17" ht="14.4" customHeight="1" x14ac:dyDescent="0.3">
      <c r="A455" s="724" t="s">
        <v>3604</v>
      </c>
      <c r="B455" s="725" t="s">
        <v>2982</v>
      </c>
      <c r="C455" s="725" t="s">
        <v>2989</v>
      </c>
      <c r="D455" s="725" t="s">
        <v>3002</v>
      </c>
      <c r="E455" s="725" t="s">
        <v>3003</v>
      </c>
      <c r="F455" s="728"/>
      <c r="G455" s="728"/>
      <c r="H455" s="728"/>
      <c r="I455" s="728"/>
      <c r="J455" s="728">
        <v>5</v>
      </c>
      <c r="K455" s="728">
        <v>630</v>
      </c>
      <c r="L455" s="728">
        <v>1</v>
      </c>
      <c r="M455" s="728">
        <v>126</v>
      </c>
      <c r="N455" s="728"/>
      <c r="O455" s="728"/>
      <c r="P455" s="741"/>
      <c r="Q455" s="729"/>
    </row>
    <row r="456" spans="1:17" ht="14.4" customHeight="1" x14ac:dyDescent="0.3">
      <c r="A456" s="724" t="s">
        <v>3604</v>
      </c>
      <c r="B456" s="725" t="s">
        <v>2982</v>
      </c>
      <c r="C456" s="725" t="s">
        <v>2989</v>
      </c>
      <c r="D456" s="725" t="s">
        <v>3010</v>
      </c>
      <c r="E456" s="725" t="s">
        <v>3011</v>
      </c>
      <c r="F456" s="728"/>
      <c r="G456" s="728"/>
      <c r="H456" s="728"/>
      <c r="I456" s="728"/>
      <c r="J456" s="728">
        <v>1</v>
      </c>
      <c r="K456" s="728">
        <v>33.33</v>
      </c>
      <c r="L456" s="728">
        <v>1</v>
      </c>
      <c r="M456" s="728">
        <v>33.33</v>
      </c>
      <c r="N456" s="728">
        <v>3</v>
      </c>
      <c r="O456" s="728">
        <v>99.99</v>
      </c>
      <c r="P456" s="741">
        <v>3</v>
      </c>
      <c r="Q456" s="729">
        <v>33.33</v>
      </c>
    </row>
    <row r="457" spans="1:17" ht="14.4" customHeight="1" x14ac:dyDescent="0.3">
      <c r="A457" s="724" t="s">
        <v>3604</v>
      </c>
      <c r="B457" s="725" t="s">
        <v>2982</v>
      </c>
      <c r="C457" s="725" t="s">
        <v>2989</v>
      </c>
      <c r="D457" s="725" t="s">
        <v>3012</v>
      </c>
      <c r="E457" s="725" t="s">
        <v>3013</v>
      </c>
      <c r="F457" s="728"/>
      <c r="G457" s="728"/>
      <c r="H457" s="728"/>
      <c r="I457" s="728"/>
      <c r="J457" s="728">
        <v>4</v>
      </c>
      <c r="K457" s="728">
        <v>1004</v>
      </c>
      <c r="L457" s="728">
        <v>1</v>
      </c>
      <c r="M457" s="728">
        <v>251</v>
      </c>
      <c r="N457" s="728">
        <v>5</v>
      </c>
      <c r="O457" s="728">
        <v>1255</v>
      </c>
      <c r="P457" s="741">
        <v>1.25</v>
      </c>
      <c r="Q457" s="729">
        <v>251</v>
      </c>
    </row>
    <row r="458" spans="1:17" ht="14.4" customHeight="1" thickBot="1" x14ac:dyDescent="0.35">
      <c r="A458" s="730" t="s">
        <v>3604</v>
      </c>
      <c r="B458" s="731" t="s">
        <v>2982</v>
      </c>
      <c r="C458" s="731" t="s">
        <v>2989</v>
      </c>
      <c r="D458" s="731" t="s">
        <v>3028</v>
      </c>
      <c r="E458" s="731" t="s">
        <v>3029</v>
      </c>
      <c r="F458" s="734"/>
      <c r="G458" s="734"/>
      <c r="H458" s="734"/>
      <c r="I458" s="734"/>
      <c r="J458" s="734">
        <v>2</v>
      </c>
      <c r="K458" s="734">
        <v>744</v>
      </c>
      <c r="L458" s="734">
        <v>1</v>
      </c>
      <c r="M458" s="734">
        <v>372</v>
      </c>
      <c r="N458" s="734">
        <v>2</v>
      </c>
      <c r="O458" s="734">
        <v>746</v>
      </c>
      <c r="P458" s="742">
        <v>1.0026881720430108</v>
      </c>
      <c r="Q458" s="735">
        <v>373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36" t="s">
        <v>135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636"/>
      <c r="P1" s="636"/>
      <c r="Q1" s="636"/>
    </row>
    <row r="2" spans="1:17" ht="14.4" customHeight="1" thickBot="1" x14ac:dyDescent="0.35">
      <c r="A2" s="374" t="s">
        <v>323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</row>
    <row r="3" spans="1:17" ht="14.4" customHeight="1" thickBot="1" x14ac:dyDescent="0.35">
      <c r="A3" s="626" t="s">
        <v>70</v>
      </c>
      <c r="B3" s="603" t="s">
        <v>71</v>
      </c>
      <c r="C3" s="604"/>
      <c r="D3" s="604"/>
      <c r="E3" s="605"/>
      <c r="F3" s="606"/>
      <c r="G3" s="603" t="s">
        <v>254</v>
      </c>
      <c r="H3" s="604"/>
      <c r="I3" s="604"/>
      <c r="J3" s="605"/>
      <c r="K3" s="606"/>
      <c r="L3" s="121"/>
      <c r="M3" s="122"/>
      <c r="N3" s="121"/>
      <c r="O3" s="123"/>
    </row>
    <row r="4" spans="1:17" ht="14.4" customHeight="1" thickBot="1" x14ac:dyDescent="0.35">
      <c r="A4" s="627"/>
      <c r="B4" s="124">
        <v>2015</v>
      </c>
      <c r="C4" s="125">
        <v>2016</v>
      </c>
      <c r="D4" s="125">
        <v>2017</v>
      </c>
      <c r="E4" s="460" t="s">
        <v>301</v>
      </c>
      <c r="F4" s="461" t="s">
        <v>2</v>
      </c>
      <c r="G4" s="124">
        <v>2015</v>
      </c>
      <c r="H4" s="125">
        <v>2016</v>
      </c>
      <c r="I4" s="125">
        <v>2017</v>
      </c>
      <c r="J4" s="125" t="s">
        <v>301</v>
      </c>
      <c r="K4" s="126" t="s">
        <v>2</v>
      </c>
      <c r="L4" s="121"/>
      <c r="M4" s="121"/>
      <c r="N4" s="127" t="s">
        <v>72</v>
      </c>
      <c r="O4" s="128" t="s">
        <v>73</v>
      </c>
      <c r="P4" s="127" t="s">
        <v>312</v>
      </c>
      <c r="Q4" s="128" t="s">
        <v>313</v>
      </c>
    </row>
    <row r="5" spans="1:17" ht="14.4" hidden="1" customHeight="1" outlineLevel="1" x14ac:dyDescent="0.3">
      <c r="A5" s="485" t="s">
        <v>168</v>
      </c>
      <c r="B5" s="119">
        <v>511.88299999999998</v>
      </c>
      <c r="C5" s="114">
        <v>539.45100000000002</v>
      </c>
      <c r="D5" s="114">
        <v>513.29700000000003</v>
      </c>
      <c r="E5" s="466">
        <f>IF(OR(D5=0,B5=0),"",D5/B5)</f>
        <v>1.0027623499901346</v>
      </c>
      <c r="F5" s="129">
        <f>IF(OR(D5=0,C5=0),"",D5/C5)</f>
        <v>0.95151737599893227</v>
      </c>
      <c r="G5" s="130">
        <v>164</v>
      </c>
      <c r="H5" s="114">
        <v>160</v>
      </c>
      <c r="I5" s="114">
        <v>159</v>
      </c>
      <c r="J5" s="466">
        <f>IF(OR(I5=0,G5=0),"",I5/G5)</f>
        <v>0.96951219512195119</v>
      </c>
      <c r="K5" s="131">
        <f>IF(OR(I5=0,H5=0),"",I5/H5)</f>
        <v>0.99375000000000002</v>
      </c>
      <c r="L5" s="121"/>
      <c r="M5" s="121"/>
      <c r="N5" s="7">
        <f>D5-C5</f>
        <v>-26.153999999999996</v>
      </c>
      <c r="O5" s="8">
        <f>I5-H5</f>
        <v>-1</v>
      </c>
      <c r="P5" s="7">
        <f>D5-B5</f>
        <v>1.4140000000000441</v>
      </c>
      <c r="Q5" s="8">
        <f>I5-G5</f>
        <v>-5</v>
      </c>
    </row>
    <row r="6" spans="1:17" ht="14.4" hidden="1" customHeight="1" outlineLevel="1" x14ac:dyDescent="0.3">
      <c r="A6" s="486" t="s">
        <v>169</v>
      </c>
      <c r="B6" s="120">
        <v>158.786</v>
      </c>
      <c r="C6" s="113">
        <v>135.364</v>
      </c>
      <c r="D6" s="113">
        <v>96.058000000000007</v>
      </c>
      <c r="E6" s="466">
        <f t="shared" ref="E6:E12" si="0">IF(OR(D6=0,B6=0),"",D6/B6)</f>
        <v>0.60495257768317112</v>
      </c>
      <c r="F6" s="129">
        <f t="shared" ref="F6:F12" si="1">IF(OR(D6=0,C6=0),"",D6/C6)</f>
        <v>0.70962737507756868</v>
      </c>
      <c r="G6" s="133">
        <v>41</v>
      </c>
      <c r="H6" s="113">
        <v>34</v>
      </c>
      <c r="I6" s="113">
        <v>30</v>
      </c>
      <c r="J6" s="467">
        <f t="shared" ref="J6:J12" si="2">IF(OR(I6=0,G6=0),"",I6/G6)</f>
        <v>0.73170731707317072</v>
      </c>
      <c r="K6" s="134">
        <f t="shared" ref="K6:K12" si="3">IF(OR(I6=0,H6=0),"",I6/H6)</f>
        <v>0.88235294117647056</v>
      </c>
      <c r="L6" s="121"/>
      <c r="M6" s="121"/>
      <c r="N6" s="5">
        <f t="shared" ref="N6:N13" si="4">D6-C6</f>
        <v>-39.305999999999997</v>
      </c>
      <c r="O6" s="6">
        <f t="shared" ref="O6:O13" si="5">I6-H6</f>
        <v>-4</v>
      </c>
      <c r="P6" s="5">
        <f t="shared" ref="P6:P13" si="6">D6-B6</f>
        <v>-62.727999999999994</v>
      </c>
      <c r="Q6" s="6">
        <f t="shared" ref="Q6:Q13" si="7">I6-G6</f>
        <v>-11</v>
      </c>
    </row>
    <row r="7" spans="1:17" ht="14.4" hidden="1" customHeight="1" outlineLevel="1" x14ac:dyDescent="0.3">
      <c r="A7" s="486" t="s">
        <v>170</v>
      </c>
      <c r="B7" s="120">
        <v>419.78399999999999</v>
      </c>
      <c r="C7" s="113">
        <v>330.47699999999998</v>
      </c>
      <c r="D7" s="113">
        <v>321.346</v>
      </c>
      <c r="E7" s="466">
        <f t="shared" si="0"/>
        <v>0.76550321117527109</v>
      </c>
      <c r="F7" s="129">
        <f t="shared" si="1"/>
        <v>0.9723702405916298</v>
      </c>
      <c r="G7" s="133">
        <v>125</v>
      </c>
      <c r="H7" s="113">
        <v>104</v>
      </c>
      <c r="I7" s="113">
        <v>104</v>
      </c>
      <c r="J7" s="467">
        <f t="shared" si="2"/>
        <v>0.83199999999999996</v>
      </c>
      <c r="K7" s="134">
        <f t="shared" si="3"/>
        <v>1</v>
      </c>
      <c r="L7" s="121"/>
      <c r="M7" s="121"/>
      <c r="N7" s="5">
        <f t="shared" si="4"/>
        <v>-9.1309999999999718</v>
      </c>
      <c r="O7" s="6">
        <f t="shared" si="5"/>
        <v>0</v>
      </c>
      <c r="P7" s="5">
        <f t="shared" si="6"/>
        <v>-98.437999999999988</v>
      </c>
      <c r="Q7" s="6">
        <f t="shared" si="7"/>
        <v>-21</v>
      </c>
    </row>
    <row r="8" spans="1:17" ht="14.4" hidden="1" customHeight="1" outlineLevel="1" x14ac:dyDescent="0.3">
      <c r="A8" s="486" t="s">
        <v>171</v>
      </c>
      <c r="B8" s="120">
        <v>47.381</v>
      </c>
      <c r="C8" s="113">
        <v>19.428999999999998</v>
      </c>
      <c r="D8" s="113">
        <v>33.246000000000002</v>
      </c>
      <c r="E8" s="466">
        <f t="shared" si="0"/>
        <v>0.70167366665963149</v>
      </c>
      <c r="F8" s="129">
        <f t="shared" si="1"/>
        <v>1.7111534304390348</v>
      </c>
      <c r="G8" s="133">
        <v>11</v>
      </c>
      <c r="H8" s="113">
        <v>9</v>
      </c>
      <c r="I8" s="113">
        <v>12</v>
      </c>
      <c r="J8" s="467">
        <f t="shared" si="2"/>
        <v>1.0909090909090908</v>
      </c>
      <c r="K8" s="134">
        <f t="shared" si="3"/>
        <v>1.3333333333333333</v>
      </c>
      <c r="L8" s="121"/>
      <c r="M8" s="121"/>
      <c r="N8" s="5">
        <f t="shared" si="4"/>
        <v>13.817000000000004</v>
      </c>
      <c r="O8" s="6">
        <f t="shared" si="5"/>
        <v>3</v>
      </c>
      <c r="P8" s="5">
        <f t="shared" si="6"/>
        <v>-14.134999999999998</v>
      </c>
      <c r="Q8" s="6">
        <f t="shared" si="7"/>
        <v>1</v>
      </c>
    </row>
    <row r="9" spans="1:17" ht="14.4" hidden="1" customHeight="1" outlineLevel="1" x14ac:dyDescent="0.3">
      <c r="A9" s="486" t="s">
        <v>172</v>
      </c>
      <c r="B9" s="120">
        <v>0</v>
      </c>
      <c r="C9" s="113">
        <v>0</v>
      </c>
      <c r="D9" s="113">
        <v>0</v>
      </c>
      <c r="E9" s="466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67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86" t="s">
        <v>173</v>
      </c>
      <c r="B10" s="120">
        <v>170.852</v>
      </c>
      <c r="C10" s="113">
        <v>157.18299999999999</v>
      </c>
      <c r="D10" s="113">
        <v>139.16</v>
      </c>
      <c r="E10" s="466">
        <f t="shared" si="0"/>
        <v>0.81450612225786057</v>
      </c>
      <c r="F10" s="129">
        <f t="shared" si="1"/>
        <v>0.88533747288192743</v>
      </c>
      <c r="G10" s="133">
        <v>50</v>
      </c>
      <c r="H10" s="113">
        <v>52</v>
      </c>
      <c r="I10" s="113">
        <v>40</v>
      </c>
      <c r="J10" s="467">
        <f t="shared" si="2"/>
        <v>0.8</v>
      </c>
      <c r="K10" s="134">
        <f t="shared" si="3"/>
        <v>0.76923076923076927</v>
      </c>
      <c r="L10" s="121"/>
      <c r="M10" s="121"/>
      <c r="N10" s="5">
        <f t="shared" si="4"/>
        <v>-18.022999999999996</v>
      </c>
      <c r="O10" s="6">
        <f t="shared" si="5"/>
        <v>-12</v>
      </c>
      <c r="P10" s="5">
        <f t="shared" si="6"/>
        <v>-31.692000000000007</v>
      </c>
      <c r="Q10" s="6">
        <f t="shared" si="7"/>
        <v>-10</v>
      </c>
    </row>
    <row r="11" spans="1:17" ht="14.4" hidden="1" customHeight="1" outlineLevel="1" x14ac:dyDescent="0.3">
      <c r="A11" s="486" t="s">
        <v>174</v>
      </c>
      <c r="B11" s="120">
        <v>42.845999999999997</v>
      </c>
      <c r="C11" s="113">
        <v>16.510000000000002</v>
      </c>
      <c r="D11" s="113">
        <v>30.834</v>
      </c>
      <c r="E11" s="466">
        <f t="shared" si="0"/>
        <v>0.7196471082481446</v>
      </c>
      <c r="F11" s="129">
        <f t="shared" si="1"/>
        <v>1.8675953967292549</v>
      </c>
      <c r="G11" s="133">
        <v>16</v>
      </c>
      <c r="H11" s="113">
        <v>6</v>
      </c>
      <c r="I11" s="113">
        <v>7</v>
      </c>
      <c r="J11" s="467">
        <f t="shared" si="2"/>
        <v>0.4375</v>
      </c>
      <c r="K11" s="134">
        <f t="shared" si="3"/>
        <v>1.1666666666666667</v>
      </c>
      <c r="L11" s="121"/>
      <c r="M11" s="121"/>
      <c r="N11" s="5">
        <f t="shared" si="4"/>
        <v>14.323999999999998</v>
      </c>
      <c r="O11" s="6">
        <f t="shared" si="5"/>
        <v>1</v>
      </c>
      <c r="P11" s="5">
        <f t="shared" si="6"/>
        <v>-12.011999999999997</v>
      </c>
      <c r="Q11" s="6">
        <f t="shared" si="7"/>
        <v>-9</v>
      </c>
    </row>
    <row r="12" spans="1:17" ht="14.4" hidden="1" customHeight="1" outlineLevel="1" thickBot="1" x14ac:dyDescent="0.35">
      <c r="A12" s="487" t="s">
        <v>209</v>
      </c>
      <c r="B12" s="238">
        <v>6.6689999999999996</v>
      </c>
      <c r="C12" s="239">
        <v>12.336</v>
      </c>
      <c r="D12" s="239">
        <v>18.454999999999998</v>
      </c>
      <c r="E12" s="466">
        <f t="shared" si="0"/>
        <v>2.7672814514919777</v>
      </c>
      <c r="F12" s="129">
        <f t="shared" si="1"/>
        <v>1.496027885862516</v>
      </c>
      <c r="G12" s="241">
        <v>2</v>
      </c>
      <c r="H12" s="239">
        <v>4</v>
      </c>
      <c r="I12" s="239">
        <v>4</v>
      </c>
      <c r="J12" s="468">
        <f t="shared" si="2"/>
        <v>2</v>
      </c>
      <c r="K12" s="242">
        <f t="shared" si="3"/>
        <v>1</v>
      </c>
      <c r="L12" s="121"/>
      <c r="M12" s="121"/>
      <c r="N12" s="243">
        <f t="shared" si="4"/>
        <v>6.118999999999998</v>
      </c>
      <c r="O12" s="244">
        <f t="shared" si="5"/>
        <v>0</v>
      </c>
      <c r="P12" s="243">
        <f t="shared" si="6"/>
        <v>11.785999999999998</v>
      </c>
      <c r="Q12" s="244">
        <f t="shared" si="7"/>
        <v>2</v>
      </c>
    </row>
    <row r="13" spans="1:17" ht="14.4" customHeight="1" collapsed="1" thickBot="1" x14ac:dyDescent="0.35">
      <c r="A13" s="117" t="s">
        <v>3</v>
      </c>
      <c r="B13" s="115">
        <f>SUM(B5:B12)</f>
        <v>1358.2010000000002</v>
      </c>
      <c r="C13" s="116">
        <f>SUM(C5:C12)</f>
        <v>1210.75</v>
      </c>
      <c r="D13" s="116">
        <f>SUM(D5:D12)</f>
        <v>1152.396</v>
      </c>
      <c r="E13" s="462">
        <f>IF(OR(D13=0,B13=0),0,D13/B13)</f>
        <v>0.84847235423917355</v>
      </c>
      <c r="F13" s="135">
        <f>IF(OR(D13=0,C13=0),0,D13/C13)</f>
        <v>0.95180342762750358</v>
      </c>
      <c r="G13" s="136">
        <f>SUM(G5:G12)</f>
        <v>409</v>
      </c>
      <c r="H13" s="116">
        <f>SUM(H5:H12)</f>
        <v>369</v>
      </c>
      <c r="I13" s="116">
        <f>SUM(I5:I12)</f>
        <v>356</v>
      </c>
      <c r="J13" s="462">
        <f>IF(OR(I13=0,G13=0),0,I13/G13)</f>
        <v>0.8704156479217604</v>
      </c>
      <c r="K13" s="137">
        <f>IF(OR(I13=0,H13=0),0,I13/H13)</f>
        <v>0.964769647696477</v>
      </c>
      <c r="L13" s="121"/>
      <c r="M13" s="121"/>
      <c r="N13" s="127">
        <f t="shared" si="4"/>
        <v>-58.354000000000042</v>
      </c>
      <c r="O13" s="138">
        <f t="shared" si="5"/>
        <v>-13</v>
      </c>
      <c r="P13" s="127">
        <f t="shared" si="6"/>
        <v>-205.80500000000029</v>
      </c>
      <c r="Q13" s="138">
        <f t="shared" si="7"/>
        <v>-53</v>
      </c>
    </row>
    <row r="14" spans="1:17" ht="14.4" customHeight="1" x14ac:dyDescent="0.3">
      <c r="A14" s="139"/>
      <c r="B14" s="628"/>
      <c r="C14" s="628"/>
      <c r="D14" s="628"/>
      <c r="E14" s="629"/>
      <c r="F14" s="628"/>
      <c r="G14" s="628"/>
      <c r="H14" s="628"/>
      <c r="I14" s="628"/>
      <c r="J14" s="629"/>
      <c r="K14" s="628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30" t="s">
        <v>302</v>
      </c>
      <c r="B16" s="632" t="s">
        <v>71</v>
      </c>
      <c r="C16" s="633"/>
      <c r="D16" s="633"/>
      <c r="E16" s="634"/>
      <c r="F16" s="635"/>
      <c r="G16" s="632" t="s">
        <v>254</v>
      </c>
      <c r="H16" s="633"/>
      <c r="I16" s="633"/>
      <c r="J16" s="634"/>
      <c r="K16" s="635"/>
      <c r="L16" s="651" t="s">
        <v>179</v>
      </c>
      <c r="M16" s="652"/>
      <c r="N16" s="155"/>
      <c r="O16" s="155"/>
      <c r="P16" s="155"/>
      <c r="Q16" s="155"/>
    </row>
    <row r="17" spans="1:17" ht="14.4" customHeight="1" thickBot="1" x14ac:dyDescent="0.35">
      <c r="A17" s="631"/>
      <c r="B17" s="140">
        <v>2015</v>
      </c>
      <c r="C17" s="141">
        <v>2016</v>
      </c>
      <c r="D17" s="141">
        <v>2017</v>
      </c>
      <c r="E17" s="141" t="s">
        <v>301</v>
      </c>
      <c r="F17" s="142" t="s">
        <v>2</v>
      </c>
      <c r="G17" s="140">
        <v>2015</v>
      </c>
      <c r="H17" s="141">
        <v>2016</v>
      </c>
      <c r="I17" s="141">
        <v>2017</v>
      </c>
      <c r="J17" s="141" t="s">
        <v>301</v>
      </c>
      <c r="K17" s="142" t="s">
        <v>2</v>
      </c>
      <c r="L17" s="622" t="s">
        <v>180</v>
      </c>
      <c r="M17" s="623"/>
      <c r="N17" s="143" t="s">
        <v>72</v>
      </c>
      <c r="O17" s="144" t="s">
        <v>73</v>
      </c>
      <c r="P17" s="143" t="s">
        <v>312</v>
      </c>
      <c r="Q17" s="144" t="s">
        <v>313</v>
      </c>
    </row>
    <row r="18" spans="1:17" ht="14.4" hidden="1" customHeight="1" outlineLevel="1" x14ac:dyDescent="0.3">
      <c r="A18" s="485" t="s">
        <v>168</v>
      </c>
      <c r="B18" s="119">
        <v>511.88299999999998</v>
      </c>
      <c r="C18" s="114">
        <v>539.45100000000002</v>
      </c>
      <c r="D18" s="114">
        <v>513.29700000000003</v>
      </c>
      <c r="E18" s="466">
        <f>IF(OR(D18=0,B18=0),"",D18/B18)</f>
        <v>1.0027623499901346</v>
      </c>
      <c r="F18" s="129">
        <f>IF(OR(D18=0,C18=0),"",D18/C18)</f>
        <v>0.95151737599893227</v>
      </c>
      <c r="G18" s="119">
        <v>164</v>
      </c>
      <c r="H18" s="114">
        <v>160</v>
      </c>
      <c r="I18" s="114">
        <v>159</v>
      </c>
      <c r="J18" s="466">
        <f>IF(OR(I18=0,G18=0),"",I18/G18)</f>
        <v>0.96951219512195119</v>
      </c>
      <c r="K18" s="131">
        <f>IF(OR(I18=0,H18=0),"",I18/H18)</f>
        <v>0.99375000000000002</v>
      </c>
      <c r="L18" s="624">
        <v>0.91871999999999998</v>
      </c>
      <c r="M18" s="625"/>
      <c r="N18" s="145">
        <f t="shared" ref="N18:N26" si="8">D18-C18</f>
        <v>-26.153999999999996</v>
      </c>
      <c r="O18" s="146">
        <f t="shared" ref="O18:O26" si="9">I18-H18</f>
        <v>-1</v>
      </c>
      <c r="P18" s="145">
        <f t="shared" ref="P18:P26" si="10">D18-B18</f>
        <v>1.4140000000000441</v>
      </c>
      <c r="Q18" s="146">
        <f t="shared" ref="Q18:Q26" si="11">I18-G18</f>
        <v>-5</v>
      </c>
    </row>
    <row r="19" spans="1:17" ht="14.4" hidden="1" customHeight="1" outlineLevel="1" x14ac:dyDescent="0.3">
      <c r="A19" s="486" t="s">
        <v>169</v>
      </c>
      <c r="B19" s="120">
        <v>158.786</v>
      </c>
      <c r="C19" s="113">
        <v>135.364</v>
      </c>
      <c r="D19" s="113">
        <v>96.058000000000007</v>
      </c>
      <c r="E19" s="467">
        <f t="shared" ref="E19:E25" si="12">IF(OR(D19=0,B19=0),"",D19/B19)</f>
        <v>0.60495257768317112</v>
      </c>
      <c r="F19" s="132">
        <f t="shared" ref="F19:F25" si="13">IF(OR(D19=0,C19=0),"",D19/C19)</f>
        <v>0.70962737507756868</v>
      </c>
      <c r="G19" s="120">
        <v>41</v>
      </c>
      <c r="H19" s="113">
        <v>34</v>
      </c>
      <c r="I19" s="113">
        <v>30</v>
      </c>
      <c r="J19" s="467">
        <f t="shared" ref="J19:J25" si="14">IF(OR(I19=0,G19=0),"",I19/G19)</f>
        <v>0.73170731707317072</v>
      </c>
      <c r="K19" s="134">
        <f t="shared" ref="K19:K25" si="15">IF(OR(I19=0,H19=0),"",I19/H19)</f>
        <v>0.88235294117647056</v>
      </c>
      <c r="L19" s="624">
        <v>0.99456</v>
      </c>
      <c r="M19" s="625"/>
      <c r="N19" s="147">
        <f t="shared" si="8"/>
        <v>-39.305999999999997</v>
      </c>
      <c r="O19" s="148">
        <f t="shared" si="9"/>
        <v>-4</v>
      </c>
      <c r="P19" s="147">
        <f t="shared" si="10"/>
        <v>-62.727999999999994</v>
      </c>
      <c r="Q19" s="148">
        <f t="shared" si="11"/>
        <v>-11</v>
      </c>
    </row>
    <row r="20" spans="1:17" ht="14.4" hidden="1" customHeight="1" outlineLevel="1" x14ac:dyDescent="0.3">
      <c r="A20" s="486" t="s">
        <v>170</v>
      </c>
      <c r="B20" s="120">
        <v>419.78399999999999</v>
      </c>
      <c r="C20" s="113">
        <v>330.47699999999998</v>
      </c>
      <c r="D20" s="113">
        <v>321.346</v>
      </c>
      <c r="E20" s="467">
        <f t="shared" si="12"/>
        <v>0.76550321117527109</v>
      </c>
      <c r="F20" s="132">
        <f t="shared" si="13"/>
        <v>0.9723702405916298</v>
      </c>
      <c r="G20" s="120">
        <v>125</v>
      </c>
      <c r="H20" s="113">
        <v>104</v>
      </c>
      <c r="I20" s="113">
        <v>104</v>
      </c>
      <c r="J20" s="467">
        <f t="shared" si="14"/>
        <v>0.83199999999999996</v>
      </c>
      <c r="K20" s="134">
        <f t="shared" si="15"/>
        <v>1</v>
      </c>
      <c r="L20" s="624">
        <v>0.96671999999999991</v>
      </c>
      <c r="M20" s="625"/>
      <c r="N20" s="147">
        <f t="shared" si="8"/>
        <v>-9.1309999999999718</v>
      </c>
      <c r="O20" s="148">
        <f t="shared" si="9"/>
        <v>0</v>
      </c>
      <c r="P20" s="147">
        <f t="shared" si="10"/>
        <v>-98.437999999999988</v>
      </c>
      <c r="Q20" s="148">
        <f t="shared" si="11"/>
        <v>-21</v>
      </c>
    </row>
    <row r="21" spans="1:17" ht="14.4" hidden="1" customHeight="1" outlineLevel="1" x14ac:dyDescent="0.3">
      <c r="A21" s="486" t="s">
        <v>171</v>
      </c>
      <c r="B21" s="120">
        <v>47.381</v>
      </c>
      <c r="C21" s="113">
        <v>19.428999999999998</v>
      </c>
      <c r="D21" s="113">
        <v>33.246000000000002</v>
      </c>
      <c r="E21" s="467">
        <f t="shared" si="12"/>
        <v>0.70167366665963149</v>
      </c>
      <c r="F21" s="132">
        <f t="shared" si="13"/>
        <v>1.7111534304390348</v>
      </c>
      <c r="G21" s="120">
        <v>11</v>
      </c>
      <c r="H21" s="113">
        <v>9</v>
      </c>
      <c r="I21" s="113">
        <v>12</v>
      </c>
      <c r="J21" s="467">
        <f t="shared" si="14"/>
        <v>1.0909090909090908</v>
      </c>
      <c r="K21" s="134">
        <f t="shared" si="15"/>
        <v>1.3333333333333333</v>
      </c>
      <c r="L21" s="624">
        <v>1.11744</v>
      </c>
      <c r="M21" s="625"/>
      <c r="N21" s="147">
        <f t="shared" si="8"/>
        <v>13.817000000000004</v>
      </c>
      <c r="O21" s="148">
        <f t="shared" si="9"/>
        <v>3</v>
      </c>
      <c r="P21" s="147">
        <f t="shared" si="10"/>
        <v>-14.134999999999998</v>
      </c>
      <c r="Q21" s="148">
        <f t="shared" si="11"/>
        <v>1</v>
      </c>
    </row>
    <row r="22" spans="1:17" ht="14.4" hidden="1" customHeight="1" outlineLevel="1" x14ac:dyDescent="0.3">
      <c r="A22" s="486" t="s">
        <v>172</v>
      </c>
      <c r="B22" s="120">
        <v>0</v>
      </c>
      <c r="C22" s="113">
        <v>0</v>
      </c>
      <c r="D22" s="113">
        <v>0</v>
      </c>
      <c r="E22" s="467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67" t="str">
        <f t="shared" si="14"/>
        <v/>
      </c>
      <c r="K22" s="134" t="str">
        <f t="shared" si="15"/>
        <v/>
      </c>
      <c r="L22" s="624">
        <v>0.96</v>
      </c>
      <c r="M22" s="625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86" t="s">
        <v>173</v>
      </c>
      <c r="B23" s="120">
        <v>170.852</v>
      </c>
      <c r="C23" s="113">
        <v>157.18299999999999</v>
      </c>
      <c r="D23" s="113">
        <v>139.16</v>
      </c>
      <c r="E23" s="467">
        <f t="shared" si="12"/>
        <v>0.81450612225786057</v>
      </c>
      <c r="F23" s="132">
        <f t="shared" si="13"/>
        <v>0.88533747288192743</v>
      </c>
      <c r="G23" s="120">
        <v>50</v>
      </c>
      <c r="H23" s="113">
        <v>52</v>
      </c>
      <c r="I23" s="113">
        <v>40</v>
      </c>
      <c r="J23" s="467">
        <f t="shared" si="14"/>
        <v>0.8</v>
      </c>
      <c r="K23" s="134">
        <f t="shared" si="15"/>
        <v>0.76923076923076927</v>
      </c>
      <c r="L23" s="624">
        <v>0.98495999999999995</v>
      </c>
      <c r="M23" s="625"/>
      <c r="N23" s="147">
        <f t="shared" si="8"/>
        <v>-18.022999999999996</v>
      </c>
      <c r="O23" s="148">
        <f t="shared" si="9"/>
        <v>-12</v>
      </c>
      <c r="P23" s="147">
        <f t="shared" si="10"/>
        <v>-31.692000000000007</v>
      </c>
      <c r="Q23" s="148">
        <f t="shared" si="11"/>
        <v>-10</v>
      </c>
    </row>
    <row r="24" spans="1:17" ht="14.4" hidden="1" customHeight="1" outlineLevel="1" x14ac:dyDescent="0.3">
      <c r="A24" s="486" t="s">
        <v>174</v>
      </c>
      <c r="B24" s="120">
        <v>42.845999999999997</v>
      </c>
      <c r="C24" s="113">
        <v>16.510000000000002</v>
      </c>
      <c r="D24" s="113">
        <v>30.834</v>
      </c>
      <c r="E24" s="467">
        <f t="shared" si="12"/>
        <v>0.7196471082481446</v>
      </c>
      <c r="F24" s="132">
        <f t="shared" si="13"/>
        <v>1.8675953967292549</v>
      </c>
      <c r="G24" s="120">
        <v>16</v>
      </c>
      <c r="H24" s="113">
        <v>6</v>
      </c>
      <c r="I24" s="113">
        <v>7</v>
      </c>
      <c r="J24" s="467">
        <f t="shared" si="14"/>
        <v>0.4375</v>
      </c>
      <c r="K24" s="134">
        <f t="shared" si="15"/>
        <v>1.1666666666666667</v>
      </c>
      <c r="L24" s="624">
        <v>1.0147199999999998</v>
      </c>
      <c r="M24" s="625"/>
      <c r="N24" s="147">
        <f t="shared" si="8"/>
        <v>14.323999999999998</v>
      </c>
      <c r="O24" s="148">
        <f t="shared" si="9"/>
        <v>1</v>
      </c>
      <c r="P24" s="147">
        <f t="shared" si="10"/>
        <v>-12.011999999999997</v>
      </c>
      <c r="Q24" s="148">
        <f t="shared" si="11"/>
        <v>-9</v>
      </c>
    </row>
    <row r="25" spans="1:17" ht="14.4" hidden="1" customHeight="1" outlineLevel="1" thickBot="1" x14ac:dyDescent="0.35">
      <c r="A25" s="487" t="s">
        <v>209</v>
      </c>
      <c r="B25" s="238">
        <v>6.6689999999999996</v>
      </c>
      <c r="C25" s="239">
        <v>12.336</v>
      </c>
      <c r="D25" s="239">
        <v>18.454999999999998</v>
      </c>
      <c r="E25" s="468">
        <f t="shared" si="12"/>
        <v>2.7672814514919777</v>
      </c>
      <c r="F25" s="240">
        <f t="shared" si="13"/>
        <v>1.496027885862516</v>
      </c>
      <c r="G25" s="238">
        <v>2</v>
      </c>
      <c r="H25" s="239">
        <v>4</v>
      </c>
      <c r="I25" s="239">
        <v>4</v>
      </c>
      <c r="J25" s="468">
        <f t="shared" si="14"/>
        <v>2</v>
      </c>
      <c r="K25" s="242">
        <f t="shared" si="15"/>
        <v>1</v>
      </c>
      <c r="L25" s="356"/>
      <c r="M25" s="357"/>
      <c r="N25" s="245">
        <f t="shared" si="8"/>
        <v>6.118999999999998</v>
      </c>
      <c r="O25" s="246">
        <f t="shared" si="9"/>
        <v>0</v>
      </c>
      <c r="P25" s="245">
        <f t="shared" si="10"/>
        <v>11.785999999999998</v>
      </c>
      <c r="Q25" s="246">
        <f t="shared" si="11"/>
        <v>2</v>
      </c>
    </row>
    <row r="26" spans="1:17" ht="14.4" customHeight="1" collapsed="1" thickBot="1" x14ac:dyDescent="0.35">
      <c r="A26" s="490" t="s">
        <v>3</v>
      </c>
      <c r="B26" s="149">
        <f>SUM(B18:B25)</f>
        <v>1358.2010000000002</v>
      </c>
      <c r="C26" s="150">
        <f>SUM(C18:C25)</f>
        <v>1210.75</v>
      </c>
      <c r="D26" s="150">
        <f>SUM(D18:D25)</f>
        <v>1152.396</v>
      </c>
      <c r="E26" s="463">
        <f>IF(OR(D26=0,B26=0),0,D26/B26)</f>
        <v>0.84847235423917355</v>
      </c>
      <c r="F26" s="151">
        <f>IF(OR(D26=0,C26=0),0,D26/C26)</f>
        <v>0.95180342762750358</v>
      </c>
      <c r="G26" s="149">
        <f>SUM(G18:G25)</f>
        <v>409</v>
      </c>
      <c r="H26" s="150">
        <f>SUM(H18:H25)</f>
        <v>369</v>
      </c>
      <c r="I26" s="150">
        <f>SUM(I18:I25)</f>
        <v>356</v>
      </c>
      <c r="J26" s="463">
        <f>IF(OR(I26=0,G26=0),0,I26/G26)</f>
        <v>0.8704156479217604</v>
      </c>
      <c r="K26" s="152">
        <f>IF(OR(I26=0,H26=0),0,I26/H26)</f>
        <v>0.964769647696477</v>
      </c>
      <c r="L26" s="121"/>
      <c r="M26" s="121"/>
      <c r="N26" s="143">
        <f t="shared" si="8"/>
        <v>-58.354000000000042</v>
      </c>
      <c r="O26" s="153">
        <f t="shared" si="9"/>
        <v>-13</v>
      </c>
      <c r="P26" s="143">
        <f t="shared" si="10"/>
        <v>-205.80500000000029</v>
      </c>
      <c r="Q26" s="153">
        <f t="shared" si="11"/>
        <v>-53</v>
      </c>
    </row>
    <row r="27" spans="1:17" ht="14.4" customHeight="1" x14ac:dyDescent="0.3">
      <c r="A27" s="154"/>
      <c r="B27" s="628" t="s">
        <v>207</v>
      </c>
      <c r="C27" s="637"/>
      <c r="D27" s="637"/>
      <c r="E27" s="638"/>
      <c r="F27" s="637"/>
      <c r="G27" s="628" t="s">
        <v>208</v>
      </c>
      <c r="H27" s="637"/>
      <c r="I27" s="637"/>
      <c r="J27" s="638"/>
      <c r="K27" s="637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45" t="s">
        <v>303</v>
      </c>
      <c r="B29" s="647" t="s">
        <v>71</v>
      </c>
      <c r="C29" s="648"/>
      <c r="D29" s="648"/>
      <c r="E29" s="649"/>
      <c r="F29" s="650"/>
      <c r="G29" s="648" t="s">
        <v>254</v>
      </c>
      <c r="H29" s="648"/>
      <c r="I29" s="648"/>
      <c r="J29" s="649"/>
      <c r="K29" s="650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46"/>
      <c r="B30" s="157">
        <v>2015</v>
      </c>
      <c r="C30" s="158">
        <v>2016</v>
      </c>
      <c r="D30" s="158">
        <v>2017</v>
      </c>
      <c r="E30" s="158" t="s">
        <v>301</v>
      </c>
      <c r="F30" s="159" t="s">
        <v>2</v>
      </c>
      <c r="G30" s="158">
        <v>2015</v>
      </c>
      <c r="H30" s="158">
        <v>2016</v>
      </c>
      <c r="I30" s="158">
        <v>2017</v>
      </c>
      <c r="J30" s="158" t="s">
        <v>301</v>
      </c>
      <c r="K30" s="159" t="s">
        <v>2</v>
      </c>
      <c r="L30" s="155"/>
      <c r="M30" s="155"/>
      <c r="N30" s="160" t="s">
        <v>72</v>
      </c>
      <c r="O30" s="161" t="s">
        <v>73</v>
      </c>
      <c r="P30" s="160" t="s">
        <v>312</v>
      </c>
      <c r="Q30" s="161" t="s">
        <v>313</v>
      </c>
    </row>
    <row r="31" spans="1:17" ht="14.4" hidden="1" customHeight="1" outlineLevel="1" x14ac:dyDescent="0.3">
      <c r="A31" s="485" t="s">
        <v>168</v>
      </c>
      <c r="B31" s="119">
        <v>0</v>
      </c>
      <c r="C31" s="114">
        <v>0</v>
      </c>
      <c r="D31" s="114">
        <v>0</v>
      </c>
      <c r="E31" s="466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66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86" t="s">
        <v>169</v>
      </c>
      <c r="B32" s="120">
        <v>0</v>
      </c>
      <c r="C32" s="113">
        <v>0</v>
      </c>
      <c r="D32" s="113">
        <v>0</v>
      </c>
      <c r="E32" s="467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67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86" t="s">
        <v>170</v>
      </c>
      <c r="B33" s="120">
        <v>0</v>
      </c>
      <c r="C33" s="113">
        <v>0</v>
      </c>
      <c r="D33" s="113">
        <v>0</v>
      </c>
      <c r="E33" s="467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67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86" t="s">
        <v>171</v>
      </c>
      <c r="B34" s="120">
        <v>0</v>
      </c>
      <c r="C34" s="113">
        <v>0</v>
      </c>
      <c r="D34" s="113">
        <v>0</v>
      </c>
      <c r="E34" s="467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67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86" t="s">
        <v>172</v>
      </c>
      <c r="B35" s="120">
        <v>0</v>
      </c>
      <c r="C35" s="113">
        <v>0</v>
      </c>
      <c r="D35" s="113">
        <v>0</v>
      </c>
      <c r="E35" s="467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67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86" t="s">
        <v>173</v>
      </c>
      <c r="B36" s="120">
        <v>0</v>
      </c>
      <c r="C36" s="113">
        <v>0</v>
      </c>
      <c r="D36" s="113">
        <v>0</v>
      </c>
      <c r="E36" s="467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67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86" t="s">
        <v>174</v>
      </c>
      <c r="B37" s="120">
        <v>0</v>
      </c>
      <c r="C37" s="113">
        <v>0</v>
      </c>
      <c r="D37" s="113">
        <v>0</v>
      </c>
      <c r="E37" s="467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67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87" t="s">
        <v>209</v>
      </c>
      <c r="B38" s="238">
        <v>0</v>
      </c>
      <c r="C38" s="239">
        <v>0</v>
      </c>
      <c r="D38" s="239">
        <v>0</v>
      </c>
      <c r="E38" s="468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68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89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64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64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39" t="s">
        <v>304</v>
      </c>
      <c r="B42" s="641" t="s">
        <v>71</v>
      </c>
      <c r="C42" s="642"/>
      <c r="D42" s="642"/>
      <c r="E42" s="643"/>
      <c r="F42" s="644"/>
      <c r="G42" s="642" t="s">
        <v>254</v>
      </c>
      <c r="H42" s="642"/>
      <c r="I42" s="642"/>
      <c r="J42" s="643"/>
      <c r="K42" s="644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40"/>
      <c r="B43" s="449">
        <v>2015</v>
      </c>
      <c r="C43" s="450">
        <v>2016</v>
      </c>
      <c r="D43" s="450">
        <v>2017</v>
      </c>
      <c r="E43" s="450" t="s">
        <v>301</v>
      </c>
      <c r="F43" s="451" t="s">
        <v>2</v>
      </c>
      <c r="G43" s="450">
        <v>2015</v>
      </c>
      <c r="H43" s="450">
        <v>2016</v>
      </c>
      <c r="I43" s="450">
        <v>2017</v>
      </c>
      <c r="J43" s="450" t="s">
        <v>301</v>
      </c>
      <c r="K43" s="451" t="s">
        <v>2</v>
      </c>
      <c r="L43" s="155"/>
      <c r="M43" s="155"/>
      <c r="N43" s="457" t="s">
        <v>72</v>
      </c>
      <c r="O43" s="459" t="s">
        <v>73</v>
      </c>
      <c r="P43" s="457" t="s">
        <v>312</v>
      </c>
      <c r="Q43" s="459" t="s">
        <v>313</v>
      </c>
    </row>
    <row r="44" spans="1:17" ht="14.4" hidden="1" customHeight="1" outlineLevel="1" x14ac:dyDescent="0.3">
      <c r="A44" s="485" t="s">
        <v>168</v>
      </c>
      <c r="B44" s="119">
        <v>0</v>
      </c>
      <c r="C44" s="114">
        <v>0</v>
      </c>
      <c r="D44" s="114">
        <v>0</v>
      </c>
      <c r="E44" s="466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66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86" t="s">
        <v>169</v>
      </c>
      <c r="B45" s="120">
        <v>0</v>
      </c>
      <c r="C45" s="113">
        <v>0</v>
      </c>
      <c r="D45" s="113">
        <v>0</v>
      </c>
      <c r="E45" s="467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67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86" t="s">
        <v>170</v>
      </c>
      <c r="B46" s="120">
        <v>0</v>
      </c>
      <c r="C46" s="113">
        <v>0</v>
      </c>
      <c r="D46" s="113">
        <v>0</v>
      </c>
      <c r="E46" s="467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67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86" t="s">
        <v>171</v>
      </c>
      <c r="B47" s="120">
        <v>0</v>
      </c>
      <c r="C47" s="113">
        <v>0</v>
      </c>
      <c r="D47" s="113">
        <v>0</v>
      </c>
      <c r="E47" s="467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67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86" t="s">
        <v>172</v>
      </c>
      <c r="B48" s="120">
        <v>0</v>
      </c>
      <c r="C48" s="113">
        <v>0</v>
      </c>
      <c r="D48" s="113">
        <v>0</v>
      </c>
      <c r="E48" s="467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67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86" t="s">
        <v>173</v>
      </c>
      <c r="B49" s="120">
        <v>0</v>
      </c>
      <c r="C49" s="113">
        <v>0</v>
      </c>
      <c r="D49" s="113">
        <v>0</v>
      </c>
      <c r="E49" s="467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67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86" t="s">
        <v>174</v>
      </c>
      <c r="B50" s="120">
        <v>0</v>
      </c>
      <c r="C50" s="113">
        <v>0</v>
      </c>
      <c r="D50" s="113">
        <v>0</v>
      </c>
      <c r="E50" s="467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67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87" t="s">
        <v>209</v>
      </c>
      <c r="B51" s="238">
        <v>0</v>
      </c>
      <c r="C51" s="239">
        <v>0</v>
      </c>
      <c r="D51" s="239">
        <v>0</v>
      </c>
      <c r="E51" s="468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68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88" t="s">
        <v>3</v>
      </c>
      <c r="B52" s="452">
        <f>SUM(B44:B51)</f>
        <v>0</v>
      </c>
      <c r="C52" s="453">
        <f>SUM(C44:C51)</f>
        <v>0</v>
      </c>
      <c r="D52" s="453">
        <f>SUM(D44:D51)</f>
        <v>0</v>
      </c>
      <c r="E52" s="465">
        <f>IF(OR(D52=0,B52=0),0,D52/B52)</f>
        <v>0</v>
      </c>
      <c r="F52" s="454">
        <f>IF(OR(D52=0,C52=0),0,D52/C52)</f>
        <v>0</v>
      </c>
      <c r="G52" s="455">
        <f>SUM(G44:G51)</f>
        <v>0</v>
      </c>
      <c r="H52" s="453">
        <f>SUM(H44:H51)</f>
        <v>0</v>
      </c>
      <c r="I52" s="453">
        <f>SUM(I44:I51)</f>
        <v>0</v>
      </c>
      <c r="J52" s="465">
        <f>IF(OR(I52=0,G52=0),0,I52/G52)</f>
        <v>0</v>
      </c>
      <c r="K52" s="456">
        <f>IF(OR(I52=0,H52=0),0,I52/H52)</f>
        <v>0</v>
      </c>
      <c r="L52" s="155"/>
      <c r="M52" s="155"/>
      <c r="N52" s="457">
        <f t="shared" si="24"/>
        <v>0</v>
      </c>
      <c r="O52" s="458">
        <f t="shared" si="25"/>
        <v>0</v>
      </c>
      <c r="P52" s="457">
        <f t="shared" si="26"/>
        <v>0</v>
      </c>
      <c r="Q52" s="458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300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426" t="s">
        <v>296</v>
      </c>
    </row>
    <row r="56" spans="1:17" ht="14.4" customHeight="1" x14ac:dyDescent="0.25">
      <c r="A56" s="427" t="s">
        <v>297</v>
      </c>
    </row>
    <row r="57" spans="1:17" ht="14.4" customHeight="1" x14ac:dyDescent="0.25">
      <c r="A57" s="426" t="s">
        <v>298</v>
      </c>
    </row>
    <row r="58" spans="1:17" ht="14.4" customHeight="1" x14ac:dyDescent="0.25">
      <c r="A58" s="427" t="s">
        <v>307</v>
      </c>
    </row>
    <row r="59" spans="1:17" ht="14.4" customHeight="1" x14ac:dyDescent="0.25">
      <c r="A59" s="427" t="s">
        <v>308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19" priority="22" stopIfTrue="1" operator="lessThan">
      <formula>1</formula>
    </cfRule>
  </conditionalFormatting>
  <conditionalFormatting sqref="J18:K26">
    <cfRule type="cellIs" dxfId="18" priority="21" stopIfTrue="1" operator="lessThan">
      <formula>0.95</formula>
    </cfRule>
  </conditionalFormatting>
  <conditionalFormatting sqref="N5:O13 N18:O26 N31:O39 N44:O52">
    <cfRule type="cellIs" dxfId="17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6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57" t="s">
        <v>115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</row>
    <row r="2" spans="1:13" ht="14.4" customHeight="1" x14ac:dyDescent="0.3">
      <c r="A2" s="374" t="s">
        <v>323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53" t="s">
        <v>83</v>
      </c>
      <c r="C31" s="654"/>
      <c r="D31" s="654"/>
      <c r="E31" s="655"/>
      <c r="F31" s="167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86</v>
      </c>
      <c r="C32" s="169" t="s">
        <v>87</v>
      </c>
      <c r="D32" s="169" t="s">
        <v>88</v>
      </c>
      <c r="E32" s="170" t="s">
        <v>2</v>
      </c>
      <c r="F32" s="171" t="s">
        <v>89</v>
      </c>
      <c r="G32" s="364"/>
      <c r="H32" s="364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103</v>
      </c>
      <c r="B33" s="199">
        <v>828</v>
      </c>
      <c r="C33" s="199">
        <v>682</v>
      </c>
      <c r="D33" s="84">
        <f>IF(C33="","",C33-B33)</f>
        <v>-146</v>
      </c>
      <c r="E33" s="85">
        <f>IF(C33="","",C33/B33)</f>
        <v>0.82367149758454106</v>
      </c>
      <c r="F33" s="86">
        <v>114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104</v>
      </c>
      <c r="B34" s="200">
        <v>1877</v>
      </c>
      <c r="C34" s="200">
        <v>1529</v>
      </c>
      <c r="D34" s="87">
        <f t="shared" ref="D34:D45" si="0">IF(C34="","",C34-B34)</f>
        <v>-348</v>
      </c>
      <c r="E34" s="88">
        <f t="shared" ref="E34:E45" si="1">IF(C34="","",C34/B34)</f>
        <v>0.81459776238678738</v>
      </c>
      <c r="F34" s="89">
        <v>219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105</v>
      </c>
      <c r="B35" s="200">
        <v>3101</v>
      </c>
      <c r="C35" s="200">
        <v>2392</v>
      </c>
      <c r="D35" s="87">
        <f t="shared" si="0"/>
        <v>-709</v>
      </c>
      <c r="E35" s="88">
        <f t="shared" si="1"/>
        <v>0.77136407610448243</v>
      </c>
      <c r="F35" s="89">
        <v>313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106</v>
      </c>
      <c r="B36" s="200"/>
      <c r="C36" s="200"/>
      <c r="D36" s="87" t="str">
        <f t="shared" si="0"/>
        <v/>
      </c>
      <c r="E36" s="88" t="str">
        <f t="shared" si="1"/>
        <v/>
      </c>
      <c r="F36" s="89"/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107</v>
      </c>
      <c r="B37" s="200"/>
      <c r="C37" s="200"/>
      <c r="D37" s="87" t="str">
        <f t="shared" si="0"/>
        <v/>
      </c>
      <c r="E37" s="88" t="str">
        <f t="shared" si="1"/>
        <v/>
      </c>
      <c r="F37" s="89"/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108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109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110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111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112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113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114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117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5" priority="2" operator="greaterThan">
      <formula>1</formula>
    </cfRule>
  </conditionalFormatting>
  <conditionalFormatting sqref="F33:F45">
    <cfRule type="cellIs" dxfId="14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56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99" t="s">
        <v>3706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  <c r="V1" s="527"/>
      <c r="W1" s="527"/>
      <c r="X1" s="527"/>
      <c r="Y1" s="527"/>
    </row>
    <row r="2" spans="1:25" ht="14.4" customHeight="1" thickBot="1" x14ac:dyDescent="0.35">
      <c r="A2" s="374" t="s">
        <v>323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64" t="s">
        <v>75</v>
      </c>
      <c r="B3" s="666">
        <v>2015</v>
      </c>
      <c r="C3" s="667"/>
      <c r="D3" s="668"/>
      <c r="E3" s="666">
        <v>2016</v>
      </c>
      <c r="F3" s="667"/>
      <c r="G3" s="668"/>
      <c r="H3" s="666">
        <v>2017</v>
      </c>
      <c r="I3" s="667"/>
      <c r="J3" s="668"/>
      <c r="K3" s="669" t="s">
        <v>76</v>
      </c>
      <c r="L3" s="658" t="s">
        <v>77</v>
      </c>
      <c r="M3" s="658" t="s">
        <v>78</v>
      </c>
      <c r="N3" s="658" t="s">
        <v>79</v>
      </c>
      <c r="O3" s="263" t="s">
        <v>80</v>
      </c>
      <c r="P3" s="660" t="s">
        <v>81</v>
      </c>
      <c r="Q3" s="662" t="s">
        <v>321</v>
      </c>
      <c r="R3" s="663"/>
      <c r="S3" s="662" t="s">
        <v>82</v>
      </c>
      <c r="T3" s="663"/>
      <c r="U3" s="656" t="s">
        <v>83</v>
      </c>
      <c r="V3" s="657"/>
      <c r="W3" s="657"/>
      <c r="X3" s="657"/>
      <c r="Y3" s="214" t="s">
        <v>83</v>
      </c>
    </row>
    <row r="4" spans="1:25" s="95" customFormat="1" ht="14.4" customHeight="1" thickBot="1" x14ac:dyDescent="0.35">
      <c r="A4" s="665"/>
      <c r="B4" s="493" t="s">
        <v>84</v>
      </c>
      <c r="C4" s="491" t="s">
        <v>72</v>
      </c>
      <c r="D4" s="494" t="s">
        <v>85</v>
      </c>
      <c r="E4" s="493" t="s">
        <v>84</v>
      </c>
      <c r="F4" s="491" t="s">
        <v>72</v>
      </c>
      <c r="G4" s="494" t="s">
        <v>85</v>
      </c>
      <c r="H4" s="493" t="s">
        <v>84</v>
      </c>
      <c r="I4" s="491" t="s">
        <v>72</v>
      </c>
      <c r="J4" s="494" t="s">
        <v>85</v>
      </c>
      <c r="K4" s="670"/>
      <c r="L4" s="659"/>
      <c r="M4" s="659"/>
      <c r="N4" s="659"/>
      <c r="O4" s="495"/>
      <c r="P4" s="661"/>
      <c r="Q4" s="496" t="s">
        <v>73</v>
      </c>
      <c r="R4" s="497" t="s">
        <v>72</v>
      </c>
      <c r="S4" s="496" t="s">
        <v>73</v>
      </c>
      <c r="T4" s="497" t="s">
        <v>72</v>
      </c>
      <c r="U4" s="498" t="s">
        <v>86</v>
      </c>
      <c r="V4" s="492" t="s">
        <v>87</v>
      </c>
      <c r="W4" s="492" t="s">
        <v>88</v>
      </c>
      <c r="X4" s="499" t="s">
        <v>2</v>
      </c>
      <c r="Y4" s="500" t="s">
        <v>89</v>
      </c>
    </row>
    <row r="5" spans="1:25" s="501" customFormat="1" ht="14.4" customHeight="1" x14ac:dyDescent="0.3">
      <c r="A5" s="898" t="s">
        <v>3606</v>
      </c>
      <c r="B5" s="899">
        <v>1</v>
      </c>
      <c r="C5" s="900">
        <v>7.09</v>
      </c>
      <c r="D5" s="901">
        <v>16</v>
      </c>
      <c r="E5" s="902"/>
      <c r="F5" s="903"/>
      <c r="G5" s="904"/>
      <c r="H5" s="905">
        <v>2</v>
      </c>
      <c r="I5" s="906">
        <v>14.74</v>
      </c>
      <c r="J5" s="907">
        <v>7</v>
      </c>
      <c r="K5" s="908">
        <v>7.09</v>
      </c>
      <c r="L5" s="909">
        <v>5</v>
      </c>
      <c r="M5" s="909">
        <v>45</v>
      </c>
      <c r="N5" s="910">
        <v>15</v>
      </c>
      <c r="O5" s="909" t="s">
        <v>3607</v>
      </c>
      <c r="P5" s="911" t="s">
        <v>3608</v>
      </c>
      <c r="Q5" s="912">
        <f>H5-B5</f>
        <v>1</v>
      </c>
      <c r="R5" s="925">
        <f>I5-C5</f>
        <v>7.65</v>
      </c>
      <c r="S5" s="912">
        <f>H5-E5</f>
        <v>2</v>
      </c>
      <c r="T5" s="925">
        <f>I5-F5</f>
        <v>14.74</v>
      </c>
      <c r="U5" s="935">
        <v>30</v>
      </c>
      <c r="V5" s="899">
        <v>14</v>
      </c>
      <c r="W5" s="899">
        <v>-16</v>
      </c>
      <c r="X5" s="936">
        <v>0.46666666666666667</v>
      </c>
      <c r="Y5" s="937"/>
    </row>
    <row r="6" spans="1:25" ht="14.4" customHeight="1" x14ac:dyDescent="0.3">
      <c r="A6" s="896" t="s">
        <v>3609</v>
      </c>
      <c r="B6" s="870">
        <v>1</v>
      </c>
      <c r="C6" s="871">
        <v>20.34</v>
      </c>
      <c r="D6" s="872">
        <v>14</v>
      </c>
      <c r="E6" s="881"/>
      <c r="F6" s="861"/>
      <c r="G6" s="862"/>
      <c r="H6" s="867"/>
      <c r="I6" s="861"/>
      <c r="J6" s="862"/>
      <c r="K6" s="866">
        <v>20.34</v>
      </c>
      <c r="L6" s="867">
        <v>11</v>
      </c>
      <c r="M6" s="867">
        <v>87</v>
      </c>
      <c r="N6" s="868">
        <v>29</v>
      </c>
      <c r="O6" s="867" t="s">
        <v>3607</v>
      </c>
      <c r="P6" s="882" t="s">
        <v>3610</v>
      </c>
      <c r="Q6" s="869">
        <f t="shared" ref="Q6:R56" si="0">H6-B6</f>
        <v>-1</v>
      </c>
      <c r="R6" s="926">
        <f t="shared" si="0"/>
        <v>-20.34</v>
      </c>
      <c r="S6" s="869">
        <f t="shared" ref="S6:S56" si="1">H6-E6</f>
        <v>0</v>
      </c>
      <c r="T6" s="926">
        <f t="shared" ref="T6:T56" si="2">I6-F6</f>
        <v>0</v>
      </c>
      <c r="U6" s="933" t="s">
        <v>554</v>
      </c>
      <c r="V6" s="878" t="s">
        <v>554</v>
      </c>
      <c r="W6" s="878" t="s">
        <v>554</v>
      </c>
      <c r="X6" s="931" t="s">
        <v>554</v>
      </c>
      <c r="Y6" s="929"/>
    </row>
    <row r="7" spans="1:25" ht="14.4" customHeight="1" x14ac:dyDescent="0.3">
      <c r="A7" s="896" t="s">
        <v>3611</v>
      </c>
      <c r="B7" s="878">
        <v>1</v>
      </c>
      <c r="C7" s="879">
        <v>12.38</v>
      </c>
      <c r="D7" s="880">
        <v>7</v>
      </c>
      <c r="E7" s="881">
        <v>3</v>
      </c>
      <c r="F7" s="861">
        <v>37.130000000000003</v>
      </c>
      <c r="G7" s="862">
        <v>7</v>
      </c>
      <c r="H7" s="863">
        <v>3</v>
      </c>
      <c r="I7" s="864">
        <v>37.130000000000003</v>
      </c>
      <c r="J7" s="865">
        <v>11.7</v>
      </c>
      <c r="K7" s="866">
        <v>12.38</v>
      </c>
      <c r="L7" s="867">
        <v>5</v>
      </c>
      <c r="M7" s="867">
        <v>60</v>
      </c>
      <c r="N7" s="868">
        <v>20</v>
      </c>
      <c r="O7" s="867" t="s">
        <v>3607</v>
      </c>
      <c r="P7" s="882" t="s">
        <v>3612</v>
      </c>
      <c r="Q7" s="869">
        <f t="shared" si="0"/>
        <v>2</v>
      </c>
      <c r="R7" s="926">
        <f t="shared" si="0"/>
        <v>24.75</v>
      </c>
      <c r="S7" s="869">
        <f t="shared" si="1"/>
        <v>0</v>
      </c>
      <c r="T7" s="926">
        <f t="shared" si="2"/>
        <v>0</v>
      </c>
      <c r="U7" s="933">
        <v>60</v>
      </c>
      <c r="V7" s="878">
        <v>35.099999999999994</v>
      </c>
      <c r="W7" s="878">
        <v>-24.900000000000006</v>
      </c>
      <c r="X7" s="931">
        <v>0.58499999999999985</v>
      </c>
      <c r="Y7" s="929">
        <v>1</v>
      </c>
    </row>
    <row r="8" spans="1:25" ht="14.4" customHeight="1" x14ac:dyDescent="0.3">
      <c r="A8" s="897" t="s">
        <v>3613</v>
      </c>
      <c r="B8" s="504">
        <v>2</v>
      </c>
      <c r="C8" s="884">
        <v>24.75</v>
      </c>
      <c r="D8" s="883">
        <v>11</v>
      </c>
      <c r="E8" s="885"/>
      <c r="F8" s="886"/>
      <c r="G8" s="873"/>
      <c r="H8" s="887"/>
      <c r="I8" s="888"/>
      <c r="J8" s="874"/>
      <c r="K8" s="889">
        <v>12.38</v>
      </c>
      <c r="L8" s="890">
        <v>5</v>
      </c>
      <c r="M8" s="890">
        <v>60</v>
      </c>
      <c r="N8" s="891">
        <v>20</v>
      </c>
      <c r="O8" s="890" t="s">
        <v>3607</v>
      </c>
      <c r="P8" s="892" t="s">
        <v>3612</v>
      </c>
      <c r="Q8" s="893">
        <f t="shared" si="0"/>
        <v>-2</v>
      </c>
      <c r="R8" s="927">
        <f t="shared" si="0"/>
        <v>-24.75</v>
      </c>
      <c r="S8" s="893">
        <f t="shared" si="1"/>
        <v>0</v>
      </c>
      <c r="T8" s="927">
        <f t="shared" si="2"/>
        <v>0</v>
      </c>
      <c r="U8" s="934" t="s">
        <v>554</v>
      </c>
      <c r="V8" s="504" t="s">
        <v>554</v>
      </c>
      <c r="W8" s="504" t="s">
        <v>554</v>
      </c>
      <c r="X8" s="932" t="s">
        <v>554</v>
      </c>
      <c r="Y8" s="930"/>
    </row>
    <row r="9" spans="1:25" ht="14.4" customHeight="1" x14ac:dyDescent="0.3">
      <c r="A9" s="897" t="s">
        <v>3614</v>
      </c>
      <c r="B9" s="504">
        <v>8</v>
      </c>
      <c r="C9" s="884">
        <v>107.74</v>
      </c>
      <c r="D9" s="883">
        <v>17.399999999999999</v>
      </c>
      <c r="E9" s="885">
        <v>8</v>
      </c>
      <c r="F9" s="886">
        <v>101.81</v>
      </c>
      <c r="G9" s="873">
        <v>18.3</v>
      </c>
      <c r="H9" s="887">
        <v>8</v>
      </c>
      <c r="I9" s="888">
        <v>101.18</v>
      </c>
      <c r="J9" s="874">
        <v>17.3</v>
      </c>
      <c r="K9" s="889">
        <v>12.65</v>
      </c>
      <c r="L9" s="890">
        <v>5</v>
      </c>
      <c r="M9" s="890">
        <v>60</v>
      </c>
      <c r="N9" s="891">
        <v>20</v>
      </c>
      <c r="O9" s="890" t="s">
        <v>3607</v>
      </c>
      <c r="P9" s="892" t="s">
        <v>3612</v>
      </c>
      <c r="Q9" s="893">
        <f t="shared" si="0"/>
        <v>0</v>
      </c>
      <c r="R9" s="927">
        <f t="shared" si="0"/>
        <v>-6.5599999999999881</v>
      </c>
      <c r="S9" s="893">
        <f t="shared" si="1"/>
        <v>0</v>
      </c>
      <c r="T9" s="927">
        <f t="shared" si="2"/>
        <v>-0.62999999999999545</v>
      </c>
      <c r="U9" s="934">
        <v>160</v>
      </c>
      <c r="V9" s="504">
        <v>138.4</v>
      </c>
      <c r="W9" s="504">
        <v>-21.599999999999994</v>
      </c>
      <c r="X9" s="932">
        <v>0.86499999999999999</v>
      </c>
      <c r="Y9" s="930">
        <v>16</v>
      </c>
    </row>
    <row r="10" spans="1:25" ht="14.4" customHeight="1" x14ac:dyDescent="0.3">
      <c r="A10" s="896" t="s">
        <v>3615</v>
      </c>
      <c r="B10" s="870">
        <v>4</v>
      </c>
      <c r="C10" s="871">
        <v>24.94</v>
      </c>
      <c r="D10" s="872">
        <v>3.5</v>
      </c>
      <c r="E10" s="881">
        <v>3</v>
      </c>
      <c r="F10" s="861">
        <v>23.6</v>
      </c>
      <c r="G10" s="862">
        <v>6</v>
      </c>
      <c r="H10" s="867">
        <v>1</v>
      </c>
      <c r="I10" s="861">
        <v>11.34</v>
      </c>
      <c r="J10" s="862">
        <v>5</v>
      </c>
      <c r="K10" s="866">
        <v>11.34</v>
      </c>
      <c r="L10" s="867">
        <v>3</v>
      </c>
      <c r="M10" s="867">
        <v>27</v>
      </c>
      <c r="N10" s="868">
        <v>9</v>
      </c>
      <c r="O10" s="867" t="s">
        <v>3607</v>
      </c>
      <c r="P10" s="882" t="s">
        <v>3616</v>
      </c>
      <c r="Q10" s="869">
        <f t="shared" si="0"/>
        <v>-3</v>
      </c>
      <c r="R10" s="926">
        <f t="shared" si="0"/>
        <v>-13.600000000000001</v>
      </c>
      <c r="S10" s="869">
        <f t="shared" si="1"/>
        <v>-2</v>
      </c>
      <c r="T10" s="926">
        <f t="shared" si="2"/>
        <v>-12.260000000000002</v>
      </c>
      <c r="U10" s="933">
        <v>9</v>
      </c>
      <c r="V10" s="878">
        <v>5</v>
      </c>
      <c r="W10" s="878">
        <v>-4</v>
      </c>
      <c r="X10" s="931">
        <v>0.55555555555555558</v>
      </c>
      <c r="Y10" s="929"/>
    </row>
    <row r="11" spans="1:25" ht="14.4" customHeight="1" x14ac:dyDescent="0.3">
      <c r="A11" s="896" t="s">
        <v>3617</v>
      </c>
      <c r="B11" s="878">
        <v>67</v>
      </c>
      <c r="C11" s="879">
        <v>233.8</v>
      </c>
      <c r="D11" s="880">
        <v>7</v>
      </c>
      <c r="E11" s="881">
        <v>74</v>
      </c>
      <c r="F11" s="861">
        <v>278.22000000000003</v>
      </c>
      <c r="G11" s="862">
        <v>7.6</v>
      </c>
      <c r="H11" s="863">
        <v>79</v>
      </c>
      <c r="I11" s="864">
        <v>291.33999999999997</v>
      </c>
      <c r="J11" s="865">
        <v>7.6</v>
      </c>
      <c r="K11" s="866">
        <v>3.29</v>
      </c>
      <c r="L11" s="867">
        <v>3</v>
      </c>
      <c r="M11" s="867">
        <v>30</v>
      </c>
      <c r="N11" s="868">
        <v>10</v>
      </c>
      <c r="O11" s="867" t="s">
        <v>3607</v>
      </c>
      <c r="P11" s="882" t="s">
        <v>3618</v>
      </c>
      <c r="Q11" s="869">
        <f t="shared" si="0"/>
        <v>12</v>
      </c>
      <c r="R11" s="926">
        <f t="shared" si="0"/>
        <v>57.539999999999964</v>
      </c>
      <c r="S11" s="869">
        <f t="shared" si="1"/>
        <v>5</v>
      </c>
      <c r="T11" s="926">
        <f t="shared" si="2"/>
        <v>13.119999999999948</v>
      </c>
      <c r="U11" s="933">
        <v>790</v>
      </c>
      <c r="V11" s="878">
        <v>600.4</v>
      </c>
      <c r="W11" s="878">
        <v>-189.60000000000002</v>
      </c>
      <c r="X11" s="931">
        <v>0.76</v>
      </c>
      <c r="Y11" s="929">
        <v>67</v>
      </c>
    </row>
    <row r="12" spans="1:25" ht="14.4" customHeight="1" x14ac:dyDescent="0.3">
      <c r="A12" s="897" t="s">
        <v>3619</v>
      </c>
      <c r="B12" s="504">
        <v>3</v>
      </c>
      <c r="C12" s="884">
        <v>11.73</v>
      </c>
      <c r="D12" s="883">
        <v>10.3</v>
      </c>
      <c r="E12" s="885">
        <v>3</v>
      </c>
      <c r="F12" s="886">
        <v>9.67</v>
      </c>
      <c r="G12" s="873">
        <v>7</v>
      </c>
      <c r="H12" s="887"/>
      <c r="I12" s="888"/>
      <c r="J12" s="874"/>
      <c r="K12" s="889">
        <v>4.5999999999999996</v>
      </c>
      <c r="L12" s="890">
        <v>4</v>
      </c>
      <c r="M12" s="890">
        <v>39</v>
      </c>
      <c r="N12" s="891">
        <v>13</v>
      </c>
      <c r="O12" s="890" t="s">
        <v>3607</v>
      </c>
      <c r="P12" s="892" t="s">
        <v>3620</v>
      </c>
      <c r="Q12" s="893">
        <f t="shared" si="0"/>
        <v>-3</v>
      </c>
      <c r="R12" s="927">
        <f t="shared" si="0"/>
        <v>-11.73</v>
      </c>
      <c r="S12" s="893">
        <f t="shared" si="1"/>
        <v>-3</v>
      </c>
      <c r="T12" s="927">
        <f t="shared" si="2"/>
        <v>-9.67</v>
      </c>
      <c r="U12" s="934" t="s">
        <v>554</v>
      </c>
      <c r="V12" s="504" t="s">
        <v>554</v>
      </c>
      <c r="W12" s="504" t="s">
        <v>554</v>
      </c>
      <c r="X12" s="932" t="s">
        <v>554</v>
      </c>
      <c r="Y12" s="930"/>
    </row>
    <row r="13" spans="1:25" ht="14.4" customHeight="1" x14ac:dyDescent="0.3">
      <c r="A13" s="897" t="s">
        <v>3621</v>
      </c>
      <c r="B13" s="504">
        <v>4</v>
      </c>
      <c r="C13" s="884">
        <v>24.54</v>
      </c>
      <c r="D13" s="883">
        <v>6</v>
      </c>
      <c r="E13" s="885">
        <v>3</v>
      </c>
      <c r="F13" s="886">
        <v>15.82</v>
      </c>
      <c r="G13" s="873">
        <v>13</v>
      </c>
      <c r="H13" s="887">
        <v>5</v>
      </c>
      <c r="I13" s="888">
        <v>34.6</v>
      </c>
      <c r="J13" s="875">
        <v>20.8</v>
      </c>
      <c r="K13" s="889">
        <v>6.5</v>
      </c>
      <c r="L13" s="890">
        <v>4</v>
      </c>
      <c r="M13" s="890">
        <v>39</v>
      </c>
      <c r="N13" s="891">
        <v>13</v>
      </c>
      <c r="O13" s="890" t="s">
        <v>3607</v>
      </c>
      <c r="P13" s="892" t="s">
        <v>3622</v>
      </c>
      <c r="Q13" s="893">
        <f t="shared" si="0"/>
        <v>1</v>
      </c>
      <c r="R13" s="927">
        <f t="shared" si="0"/>
        <v>10.060000000000002</v>
      </c>
      <c r="S13" s="893">
        <f t="shared" si="1"/>
        <v>2</v>
      </c>
      <c r="T13" s="927">
        <f t="shared" si="2"/>
        <v>18.78</v>
      </c>
      <c r="U13" s="934">
        <v>65</v>
      </c>
      <c r="V13" s="504">
        <v>104</v>
      </c>
      <c r="W13" s="504">
        <v>39</v>
      </c>
      <c r="X13" s="932">
        <v>1.6</v>
      </c>
      <c r="Y13" s="930">
        <v>55</v>
      </c>
    </row>
    <row r="14" spans="1:25" ht="14.4" customHeight="1" x14ac:dyDescent="0.3">
      <c r="A14" s="896" t="s">
        <v>3623</v>
      </c>
      <c r="B14" s="878">
        <v>3</v>
      </c>
      <c r="C14" s="879">
        <v>7.37</v>
      </c>
      <c r="D14" s="880">
        <v>8.6999999999999993</v>
      </c>
      <c r="E14" s="881">
        <v>2</v>
      </c>
      <c r="F14" s="861">
        <v>4.92</v>
      </c>
      <c r="G14" s="862">
        <v>6</v>
      </c>
      <c r="H14" s="863">
        <v>6</v>
      </c>
      <c r="I14" s="864">
        <v>14.78</v>
      </c>
      <c r="J14" s="865">
        <v>6.2</v>
      </c>
      <c r="K14" s="866">
        <v>2.46</v>
      </c>
      <c r="L14" s="867">
        <v>3</v>
      </c>
      <c r="M14" s="867">
        <v>27</v>
      </c>
      <c r="N14" s="868">
        <v>9</v>
      </c>
      <c r="O14" s="867" t="s">
        <v>3607</v>
      </c>
      <c r="P14" s="882" t="s">
        <v>3624</v>
      </c>
      <c r="Q14" s="869">
        <f t="shared" si="0"/>
        <v>3</v>
      </c>
      <c r="R14" s="926">
        <f t="shared" si="0"/>
        <v>7.4099999999999993</v>
      </c>
      <c r="S14" s="869">
        <f t="shared" si="1"/>
        <v>4</v>
      </c>
      <c r="T14" s="926">
        <f t="shared" si="2"/>
        <v>9.86</v>
      </c>
      <c r="U14" s="933">
        <v>54</v>
      </c>
      <c r="V14" s="878">
        <v>37.200000000000003</v>
      </c>
      <c r="W14" s="878">
        <v>-16.799999999999997</v>
      </c>
      <c r="X14" s="931">
        <v>0.68888888888888899</v>
      </c>
      <c r="Y14" s="929">
        <v>5</v>
      </c>
    </row>
    <row r="15" spans="1:25" ht="14.4" customHeight="1" x14ac:dyDescent="0.3">
      <c r="A15" s="897" t="s">
        <v>3625</v>
      </c>
      <c r="B15" s="504"/>
      <c r="C15" s="884"/>
      <c r="D15" s="883"/>
      <c r="E15" s="885"/>
      <c r="F15" s="886"/>
      <c r="G15" s="873"/>
      <c r="H15" s="887">
        <v>1</v>
      </c>
      <c r="I15" s="888">
        <v>7.36</v>
      </c>
      <c r="J15" s="875">
        <v>37</v>
      </c>
      <c r="K15" s="889">
        <v>3.22</v>
      </c>
      <c r="L15" s="890">
        <v>4</v>
      </c>
      <c r="M15" s="890">
        <v>33</v>
      </c>
      <c r="N15" s="891">
        <v>11</v>
      </c>
      <c r="O15" s="890" t="s">
        <v>3607</v>
      </c>
      <c r="P15" s="892" t="s">
        <v>3626</v>
      </c>
      <c r="Q15" s="893">
        <f t="shared" si="0"/>
        <v>1</v>
      </c>
      <c r="R15" s="927">
        <f t="shared" si="0"/>
        <v>7.36</v>
      </c>
      <c r="S15" s="893">
        <f t="shared" si="1"/>
        <v>1</v>
      </c>
      <c r="T15" s="927">
        <f t="shared" si="2"/>
        <v>7.36</v>
      </c>
      <c r="U15" s="934">
        <v>11</v>
      </c>
      <c r="V15" s="504">
        <v>37</v>
      </c>
      <c r="W15" s="504">
        <v>26</v>
      </c>
      <c r="X15" s="932">
        <v>3.3636363636363638</v>
      </c>
      <c r="Y15" s="930">
        <v>26</v>
      </c>
    </row>
    <row r="16" spans="1:25" ht="14.4" customHeight="1" x14ac:dyDescent="0.3">
      <c r="A16" s="896" t="s">
        <v>3627</v>
      </c>
      <c r="B16" s="878">
        <v>4</v>
      </c>
      <c r="C16" s="879">
        <v>6.76</v>
      </c>
      <c r="D16" s="880">
        <v>5.3</v>
      </c>
      <c r="E16" s="881">
        <v>6</v>
      </c>
      <c r="F16" s="861">
        <v>10.24</v>
      </c>
      <c r="G16" s="862">
        <v>7.2</v>
      </c>
      <c r="H16" s="863">
        <v>9</v>
      </c>
      <c r="I16" s="864">
        <v>15.21</v>
      </c>
      <c r="J16" s="865">
        <v>6.1</v>
      </c>
      <c r="K16" s="866">
        <v>1.69</v>
      </c>
      <c r="L16" s="867">
        <v>2</v>
      </c>
      <c r="M16" s="867">
        <v>21</v>
      </c>
      <c r="N16" s="868">
        <v>7</v>
      </c>
      <c r="O16" s="867" t="s">
        <v>3607</v>
      </c>
      <c r="P16" s="882" t="s">
        <v>3628</v>
      </c>
      <c r="Q16" s="869">
        <f t="shared" si="0"/>
        <v>5</v>
      </c>
      <c r="R16" s="926">
        <f t="shared" si="0"/>
        <v>8.4500000000000011</v>
      </c>
      <c r="S16" s="869">
        <f t="shared" si="1"/>
        <v>3</v>
      </c>
      <c r="T16" s="926">
        <f t="shared" si="2"/>
        <v>4.9700000000000006</v>
      </c>
      <c r="U16" s="933">
        <v>63</v>
      </c>
      <c r="V16" s="878">
        <v>54.9</v>
      </c>
      <c r="W16" s="878">
        <v>-8.1000000000000014</v>
      </c>
      <c r="X16" s="931">
        <v>0.87142857142857144</v>
      </c>
      <c r="Y16" s="929">
        <v>1</v>
      </c>
    </row>
    <row r="17" spans="1:25" ht="14.4" customHeight="1" x14ac:dyDescent="0.3">
      <c r="A17" s="896" t="s">
        <v>3629</v>
      </c>
      <c r="B17" s="870">
        <v>20</v>
      </c>
      <c r="C17" s="871">
        <v>9.02</v>
      </c>
      <c r="D17" s="872">
        <v>3</v>
      </c>
      <c r="E17" s="881">
        <v>16</v>
      </c>
      <c r="F17" s="861">
        <v>7.19</v>
      </c>
      <c r="G17" s="862">
        <v>3</v>
      </c>
      <c r="H17" s="867">
        <v>14</v>
      </c>
      <c r="I17" s="861">
        <v>6.29</v>
      </c>
      <c r="J17" s="862">
        <v>3</v>
      </c>
      <c r="K17" s="866">
        <v>0.45</v>
      </c>
      <c r="L17" s="867">
        <v>1</v>
      </c>
      <c r="M17" s="867">
        <v>9</v>
      </c>
      <c r="N17" s="868">
        <v>3</v>
      </c>
      <c r="O17" s="867" t="s">
        <v>3607</v>
      </c>
      <c r="P17" s="882" t="s">
        <v>3630</v>
      </c>
      <c r="Q17" s="869">
        <f t="shared" si="0"/>
        <v>-6</v>
      </c>
      <c r="R17" s="926">
        <f t="shared" si="0"/>
        <v>-2.7299999999999995</v>
      </c>
      <c r="S17" s="869">
        <f t="shared" si="1"/>
        <v>-2</v>
      </c>
      <c r="T17" s="926">
        <f t="shared" si="2"/>
        <v>-0.90000000000000036</v>
      </c>
      <c r="U17" s="933">
        <v>42</v>
      </c>
      <c r="V17" s="878">
        <v>42</v>
      </c>
      <c r="W17" s="878">
        <v>0</v>
      </c>
      <c r="X17" s="931">
        <v>1</v>
      </c>
      <c r="Y17" s="929">
        <v>6</v>
      </c>
    </row>
    <row r="18" spans="1:25" ht="14.4" customHeight="1" x14ac:dyDescent="0.3">
      <c r="A18" s="896" t="s">
        <v>3631</v>
      </c>
      <c r="B18" s="870">
        <v>5</v>
      </c>
      <c r="C18" s="871">
        <v>6.22</v>
      </c>
      <c r="D18" s="872">
        <v>5.4</v>
      </c>
      <c r="E18" s="881">
        <v>2</v>
      </c>
      <c r="F18" s="861">
        <v>2.4900000000000002</v>
      </c>
      <c r="G18" s="862">
        <v>4.5</v>
      </c>
      <c r="H18" s="867">
        <v>1</v>
      </c>
      <c r="I18" s="861">
        <v>1.24</v>
      </c>
      <c r="J18" s="862">
        <v>5</v>
      </c>
      <c r="K18" s="866">
        <v>1.24</v>
      </c>
      <c r="L18" s="867">
        <v>2</v>
      </c>
      <c r="M18" s="867">
        <v>18</v>
      </c>
      <c r="N18" s="868">
        <v>6</v>
      </c>
      <c r="O18" s="867" t="s">
        <v>3607</v>
      </c>
      <c r="P18" s="882" t="s">
        <v>3632</v>
      </c>
      <c r="Q18" s="869">
        <f t="shared" si="0"/>
        <v>-4</v>
      </c>
      <c r="R18" s="926">
        <f t="shared" si="0"/>
        <v>-4.9799999999999995</v>
      </c>
      <c r="S18" s="869">
        <f t="shared" si="1"/>
        <v>-1</v>
      </c>
      <c r="T18" s="926">
        <f t="shared" si="2"/>
        <v>-1.2500000000000002</v>
      </c>
      <c r="U18" s="933">
        <v>6</v>
      </c>
      <c r="V18" s="878">
        <v>5</v>
      </c>
      <c r="W18" s="878">
        <v>-1</v>
      </c>
      <c r="X18" s="931">
        <v>0.83333333333333337</v>
      </c>
      <c r="Y18" s="929"/>
    </row>
    <row r="19" spans="1:25" ht="14.4" customHeight="1" x14ac:dyDescent="0.3">
      <c r="A19" s="896" t="s">
        <v>3633</v>
      </c>
      <c r="B19" s="878"/>
      <c r="C19" s="879"/>
      <c r="D19" s="880"/>
      <c r="E19" s="863">
        <v>4</v>
      </c>
      <c r="F19" s="864">
        <v>15.95</v>
      </c>
      <c r="G19" s="865">
        <v>4.8</v>
      </c>
      <c r="H19" s="867">
        <v>1</v>
      </c>
      <c r="I19" s="861">
        <v>3.99</v>
      </c>
      <c r="J19" s="876">
        <v>8</v>
      </c>
      <c r="K19" s="866">
        <v>3.99</v>
      </c>
      <c r="L19" s="867">
        <v>2</v>
      </c>
      <c r="M19" s="867">
        <v>18</v>
      </c>
      <c r="N19" s="868">
        <v>6</v>
      </c>
      <c r="O19" s="867" t="s">
        <v>3607</v>
      </c>
      <c r="P19" s="882" t="s">
        <v>3634</v>
      </c>
      <c r="Q19" s="869">
        <f t="shared" si="0"/>
        <v>1</v>
      </c>
      <c r="R19" s="926">
        <f t="shared" si="0"/>
        <v>3.99</v>
      </c>
      <c r="S19" s="869">
        <f t="shared" si="1"/>
        <v>-3</v>
      </c>
      <c r="T19" s="926">
        <f t="shared" si="2"/>
        <v>-11.959999999999999</v>
      </c>
      <c r="U19" s="933">
        <v>6</v>
      </c>
      <c r="V19" s="878">
        <v>8</v>
      </c>
      <c r="W19" s="878">
        <v>2</v>
      </c>
      <c r="X19" s="931">
        <v>1.3333333333333333</v>
      </c>
      <c r="Y19" s="929">
        <v>2</v>
      </c>
    </row>
    <row r="20" spans="1:25" ht="14.4" customHeight="1" x14ac:dyDescent="0.3">
      <c r="A20" s="896" t="s">
        <v>3635</v>
      </c>
      <c r="B20" s="870">
        <v>1</v>
      </c>
      <c r="C20" s="871">
        <v>0.62</v>
      </c>
      <c r="D20" s="872">
        <v>3</v>
      </c>
      <c r="E20" s="881"/>
      <c r="F20" s="861"/>
      <c r="G20" s="862"/>
      <c r="H20" s="867"/>
      <c r="I20" s="861"/>
      <c r="J20" s="862"/>
      <c r="K20" s="866">
        <v>0.62</v>
      </c>
      <c r="L20" s="867">
        <v>2</v>
      </c>
      <c r="M20" s="867">
        <v>18</v>
      </c>
      <c r="N20" s="868">
        <v>6</v>
      </c>
      <c r="O20" s="867" t="s">
        <v>3607</v>
      </c>
      <c r="P20" s="882" t="s">
        <v>3636</v>
      </c>
      <c r="Q20" s="869">
        <f t="shared" si="0"/>
        <v>-1</v>
      </c>
      <c r="R20" s="926">
        <f t="shared" si="0"/>
        <v>-0.62</v>
      </c>
      <c r="S20" s="869">
        <f t="shared" si="1"/>
        <v>0</v>
      </c>
      <c r="T20" s="926">
        <f t="shared" si="2"/>
        <v>0</v>
      </c>
      <c r="U20" s="933" t="s">
        <v>554</v>
      </c>
      <c r="V20" s="878" t="s">
        <v>554</v>
      </c>
      <c r="W20" s="878" t="s">
        <v>554</v>
      </c>
      <c r="X20" s="931" t="s">
        <v>554</v>
      </c>
      <c r="Y20" s="929"/>
    </row>
    <row r="21" spans="1:25" ht="14.4" customHeight="1" x14ac:dyDescent="0.3">
      <c r="A21" s="896" t="s">
        <v>3637</v>
      </c>
      <c r="B21" s="878">
        <v>1</v>
      </c>
      <c r="C21" s="879">
        <v>0.61</v>
      </c>
      <c r="D21" s="880">
        <v>2</v>
      </c>
      <c r="E21" s="863">
        <v>2</v>
      </c>
      <c r="F21" s="864">
        <v>1.21</v>
      </c>
      <c r="G21" s="865">
        <v>2</v>
      </c>
      <c r="H21" s="867"/>
      <c r="I21" s="861"/>
      <c r="J21" s="862"/>
      <c r="K21" s="866">
        <v>0.61</v>
      </c>
      <c r="L21" s="867">
        <v>2</v>
      </c>
      <c r="M21" s="867">
        <v>18</v>
      </c>
      <c r="N21" s="868">
        <v>6</v>
      </c>
      <c r="O21" s="867" t="s">
        <v>3607</v>
      </c>
      <c r="P21" s="882" t="s">
        <v>3638</v>
      </c>
      <c r="Q21" s="869">
        <f t="shared" si="0"/>
        <v>-1</v>
      </c>
      <c r="R21" s="926">
        <f t="shared" si="0"/>
        <v>-0.61</v>
      </c>
      <c r="S21" s="869">
        <f t="shared" si="1"/>
        <v>-2</v>
      </c>
      <c r="T21" s="926">
        <f t="shared" si="2"/>
        <v>-1.21</v>
      </c>
      <c r="U21" s="933" t="s">
        <v>554</v>
      </c>
      <c r="V21" s="878" t="s">
        <v>554</v>
      </c>
      <c r="W21" s="878" t="s">
        <v>554</v>
      </c>
      <c r="X21" s="931" t="s">
        <v>554</v>
      </c>
      <c r="Y21" s="929"/>
    </row>
    <row r="22" spans="1:25" ht="14.4" customHeight="1" x14ac:dyDescent="0.3">
      <c r="A22" s="896" t="s">
        <v>3639</v>
      </c>
      <c r="B22" s="878">
        <v>1</v>
      </c>
      <c r="C22" s="879">
        <v>1.08</v>
      </c>
      <c r="D22" s="880">
        <v>7</v>
      </c>
      <c r="E22" s="881"/>
      <c r="F22" s="861"/>
      <c r="G22" s="862"/>
      <c r="H22" s="863">
        <v>2</v>
      </c>
      <c r="I22" s="864">
        <v>2.1800000000000002</v>
      </c>
      <c r="J22" s="865">
        <v>2.5</v>
      </c>
      <c r="K22" s="866">
        <v>1.08</v>
      </c>
      <c r="L22" s="867">
        <v>2</v>
      </c>
      <c r="M22" s="867">
        <v>21</v>
      </c>
      <c r="N22" s="868">
        <v>7</v>
      </c>
      <c r="O22" s="867" t="s">
        <v>3607</v>
      </c>
      <c r="P22" s="882" t="s">
        <v>3640</v>
      </c>
      <c r="Q22" s="869">
        <f t="shared" si="0"/>
        <v>1</v>
      </c>
      <c r="R22" s="926">
        <f t="shared" si="0"/>
        <v>1.1000000000000001</v>
      </c>
      <c r="S22" s="869">
        <f t="shared" si="1"/>
        <v>2</v>
      </c>
      <c r="T22" s="926">
        <f t="shared" si="2"/>
        <v>2.1800000000000002</v>
      </c>
      <c r="U22" s="933">
        <v>14</v>
      </c>
      <c r="V22" s="878">
        <v>5</v>
      </c>
      <c r="W22" s="878">
        <v>-9</v>
      </c>
      <c r="X22" s="931">
        <v>0.35714285714285715</v>
      </c>
      <c r="Y22" s="929"/>
    </row>
    <row r="23" spans="1:25" ht="14.4" customHeight="1" x14ac:dyDescent="0.3">
      <c r="A23" s="896" t="s">
        <v>3641</v>
      </c>
      <c r="B23" s="870">
        <v>1</v>
      </c>
      <c r="C23" s="871">
        <v>0.6</v>
      </c>
      <c r="D23" s="872">
        <v>2</v>
      </c>
      <c r="E23" s="881"/>
      <c r="F23" s="861"/>
      <c r="G23" s="862"/>
      <c r="H23" s="867"/>
      <c r="I23" s="861"/>
      <c r="J23" s="862"/>
      <c r="K23" s="866">
        <v>0.6</v>
      </c>
      <c r="L23" s="867">
        <v>2</v>
      </c>
      <c r="M23" s="867">
        <v>18</v>
      </c>
      <c r="N23" s="868">
        <v>6</v>
      </c>
      <c r="O23" s="867" t="s">
        <v>3607</v>
      </c>
      <c r="P23" s="882" t="s">
        <v>3642</v>
      </c>
      <c r="Q23" s="869">
        <f t="shared" si="0"/>
        <v>-1</v>
      </c>
      <c r="R23" s="926">
        <f t="shared" si="0"/>
        <v>-0.6</v>
      </c>
      <c r="S23" s="869">
        <f t="shared" si="1"/>
        <v>0</v>
      </c>
      <c r="T23" s="926">
        <f t="shared" si="2"/>
        <v>0</v>
      </c>
      <c r="U23" s="933" t="s">
        <v>554</v>
      </c>
      <c r="V23" s="878" t="s">
        <v>554</v>
      </c>
      <c r="W23" s="878" t="s">
        <v>554</v>
      </c>
      <c r="X23" s="931" t="s">
        <v>554</v>
      </c>
      <c r="Y23" s="929"/>
    </row>
    <row r="24" spans="1:25" ht="14.4" customHeight="1" x14ac:dyDescent="0.3">
      <c r="A24" s="896" t="s">
        <v>3643</v>
      </c>
      <c r="B24" s="878"/>
      <c r="C24" s="879"/>
      <c r="D24" s="880"/>
      <c r="E24" s="863">
        <v>1</v>
      </c>
      <c r="F24" s="864">
        <v>1.07</v>
      </c>
      <c r="G24" s="865">
        <v>4</v>
      </c>
      <c r="H24" s="867"/>
      <c r="I24" s="861"/>
      <c r="J24" s="862"/>
      <c r="K24" s="866">
        <v>1.07</v>
      </c>
      <c r="L24" s="867">
        <v>3</v>
      </c>
      <c r="M24" s="867">
        <v>24</v>
      </c>
      <c r="N24" s="868">
        <v>8</v>
      </c>
      <c r="O24" s="867" t="s">
        <v>3607</v>
      </c>
      <c r="P24" s="882" t="s">
        <v>3644</v>
      </c>
      <c r="Q24" s="869">
        <f t="shared" si="0"/>
        <v>0</v>
      </c>
      <c r="R24" s="926">
        <f t="shared" si="0"/>
        <v>0</v>
      </c>
      <c r="S24" s="869">
        <f t="shared" si="1"/>
        <v>-1</v>
      </c>
      <c r="T24" s="926">
        <f t="shared" si="2"/>
        <v>-1.07</v>
      </c>
      <c r="U24" s="933" t="s">
        <v>554</v>
      </c>
      <c r="V24" s="878" t="s">
        <v>554</v>
      </c>
      <c r="W24" s="878" t="s">
        <v>554</v>
      </c>
      <c r="X24" s="931" t="s">
        <v>554</v>
      </c>
      <c r="Y24" s="929"/>
    </row>
    <row r="25" spans="1:25" ht="14.4" customHeight="1" x14ac:dyDescent="0.3">
      <c r="A25" s="896" t="s">
        <v>3645</v>
      </c>
      <c r="B25" s="878">
        <v>10</v>
      </c>
      <c r="C25" s="879">
        <v>6.83</v>
      </c>
      <c r="D25" s="880">
        <v>5.2</v>
      </c>
      <c r="E25" s="863">
        <v>19</v>
      </c>
      <c r="F25" s="864">
        <v>12.89</v>
      </c>
      <c r="G25" s="865">
        <v>4.2</v>
      </c>
      <c r="H25" s="867">
        <v>11</v>
      </c>
      <c r="I25" s="861">
        <v>7.1</v>
      </c>
      <c r="J25" s="876">
        <v>6.1</v>
      </c>
      <c r="K25" s="866">
        <v>0.67</v>
      </c>
      <c r="L25" s="867">
        <v>2</v>
      </c>
      <c r="M25" s="867">
        <v>18</v>
      </c>
      <c r="N25" s="868">
        <v>6</v>
      </c>
      <c r="O25" s="867" t="s">
        <v>3607</v>
      </c>
      <c r="P25" s="882" t="s">
        <v>3646</v>
      </c>
      <c r="Q25" s="869">
        <f t="shared" si="0"/>
        <v>1</v>
      </c>
      <c r="R25" s="926">
        <f t="shared" si="0"/>
        <v>0.26999999999999957</v>
      </c>
      <c r="S25" s="869">
        <f t="shared" si="1"/>
        <v>-8</v>
      </c>
      <c r="T25" s="926">
        <f t="shared" si="2"/>
        <v>-5.7900000000000009</v>
      </c>
      <c r="U25" s="933">
        <v>66</v>
      </c>
      <c r="V25" s="878">
        <v>67.099999999999994</v>
      </c>
      <c r="W25" s="878">
        <v>1.0999999999999943</v>
      </c>
      <c r="X25" s="931">
        <v>1.0166666666666666</v>
      </c>
      <c r="Y25" s="929">
        <v>16</v>
      </c>
    </row>
    <row r="26" spans="1:25" ht="14.4" customHeight="1" x14ac:dyDescent="0.3">
      <c r="A26" s="897" t="s">
        <v>3647</v>
      </c>
      <c r="B26" s="504"/>
      <c r="C26" s="884"/>
      <c r="D26" s="883"/>
      <c r="E26" s="887"/>
      <c r="F26" s="888"/>
      <c r="G26" s="874"/>
      <c r="H26" s="890">
        <v>1</v>
      </c>
      <c r="I26" s="886">
        <v>1.1200000000000001</v>
      </c>
      <c r="J26" s="873">
        <v>8</v>
      </c>
      <c r="K26" s="889">
        <v>1.1200000000000001</v>
      </c>
      <c r="L26" s="890">
        <v>3</v>
      </c>
      <c r="M26" s="890">
        <v>27</v>
      </c>
      <c r="N26" s="891">
        <v>9</v>
      </c>
      <c r="O26" s="890" t="s">
        <v>3607</v>
      </c>
      <c r="P26" s="892" t="s">
        <v>3648</v>
      </c>
      <c r="Q26" s="893">
        <f t="shared" si="0"/>
        <v>1</v>
      </c>
      <c r="R26" s="927">
        <f t="shared" si="0"/>
        <v>1.1200000000000001</v>
      </c>
      <c r="S26" s="893">
        <f t="shared" si="1"/>
        <v>1</v>
      </c>
      <c r="T26" s="927">
        <f t="shared" si="2"/>
        <v>1.1200000000000001</v>
      </c>
      <c r="U26" s="934">
        <v>9</v>
      </c>
      <c r="V26" s="504">
        <v>8</v>
      </c>
      <c r="W26" s="504">
        <v>-1</v>
      </c>
      <c r="X26" s="932">
        <v>0.88888888888888884</v>
      </c>
      <c r="Y26" s="930"/>
    </row>
    <row r="27" spans="1:25" ht="14.4" customHeight="1" x14ac:dyDescent="0.3">
      <c r="A27" s="897" t="s">
        <v>3649</v>
      </c>
      <c r="B27" s="504"/>
      <c r="C27" s="884"/>
      <c r="D27" s="883"/>
      <c r="E27" s="887">
        <v>2</v>
      </c>
      <c r="F27" s="888">
        <v>4.96</v>
      </c>
      <c r="G27" s="874">
        <v>8</v>
      </c>
      <c r="H27" s="890">
        <v>2</v>
      </c>
      <c r="I27" s="886">
        <v>9.0399999999999991</v>
      </c>
      <c r="J27" s="875">
        <v>29</v>
      </c>
      <c r="K27" s="889">
        <v>2.38</v>
      </c>
      <c r="L27" s="890">
        <v>3</v>
      </c>
      <c r="M27" s="890">
        <v>30</v>
      </c>
      <c r="N27" s="891">
        <v>10</v>
      </c>
      <c r="O27" s="890" t="s">
        <v>3607</v>
      </c>
      <c r="P27" s="892" t="s">
        <v>3650</v>
      </c>
      <c r="Q27" s="893">
        <f t="shared" si="0"/>
        <v>2</v>
      </c>
      <c r="R27" s="927">
        <f t="shared" si="0"/>
        <v>9.0399999999999991</v>
      </c>
      <c r="S27" s="893">
        <f t="shared" si="1"/>
        <v>0</v>
      </c>
      <c r="T27" s="927">
        <f t="shared" si="2"/>
        <v>4.0799999999999992</v>
      </c>
      <c r="U27" s="934">
        <v>20</v>
      </c>
      <c r="V27" s="504">
        <v>58</v>
      </c>
      <c r="W27" s="504">
        <v>38</v>
      </c>
      <c r="X27" s="932">
        <v>2.9</v>
      </c>
      <c r="Y27" s="930">
        <v>38</v>
      </c>
    </row>
    <row r="28" spans="1:25" ht="14.4" customHeight="1" x14ac:dyDescent="0.3">
      <c r="A28" s="896" t="s">
        <v>3651</v>
      </c>
      <c r="B28" s="878">
        <v>1</v>
      </c>
      <c r="C28" s="879">
        <v>0.41</v>
      </c>
      <c r="D28" s="880">
        <v>2</v>
      </c>
      <c r="E28" s="881">
        <v>1</v>
      </c>
      <c r="F28" s="861">
        <v>0.4</v>
      </c>
      <c r="G28" s="862">
        <v>3</v>
      </c>
      <c r="H28" s="863">
        <v>3</v>
      </c>
      <c r="I28" s="864">
        <v>1.19</v>
      </c>
      <c r="J28" s="865">
        <v>3</v>
      </c>
      <c r="K28" s="866">
        <v>0.38</v>
      </c>
      <c r="L28" s="867">
        <v>1</v>
      </c>
      <c r="M28" s="867">
        <v>9</v>
      </c>
      <c r="N28" s="868">
        <v>3</v>
      </c>
      <c r="O28" s="867" t="s">
        <v>3607</v>
      </c>
      <c r="P28" s="882" t="s">
        <v>3652</v>
      </c>
      <c r="Q28" s="869">
        <f t="shared" si="0"/>
        <v>2</v>
      </c>
      <c r="R28" s="926">
        <f t="shared" si="0"/>
        <v>0.78</v>
      </c>
      <c r="S28" s="869">
        <f t="shared" si="1"/>
        <v>2</v>
      </c>
      <c r="T28" s="926">
        <f t="shared" si="2"/>
        <v>0.78999999999999992</v>
      </c>
      <c r="U28" s="933">
        <v>9</v>
      </c>
      <c r="V28" s="878">
        <v>9</v>
      </c>
      <c r="W28" s="878">
        <v>0</v>
      </c>
      <c r="X28" s="931">
        <v>1</v>
      </c>
      <c r="Y28" s="929"/>
    </row>
    <row r="29" spans="1:25" ht="14.4" customHeight="1" x14ac:dyDescent="0.3">
      <c r="A29" s="896" t="s">
        <v>3653</v>
      </c>
      <c r="B29" s="878"/>
      <c r="C29" s="879"/>
      <c r="D29" s="880"/>
      <c r="E29" s="863">
        <v>1</v>
      </c>
      <c r="F29" s="864">
        <v>0.41</v>
      </c>
      <c r="G29" s="865">
        <v>4</v>
      </c>
      <c r="H29" s="867"/>
      <c r="I29" s="861"/>
      <c r="J29" s="862"/>
      <c r="K29" s="866">
        <v>0.41</v>
      </c>
      <c r="L29" s="867">
        <v>1</v>
      </c>
      <c r="M29" s="867">
        <v>12</v>
      </c>
      <c r="N29" s="868">
        <v>4</v>
      </c>
      <c r="O29" s="867" t="s">
        <v>3607</v>
      </c>
      <c r="P29" s="882" t="s">
        <v>3654</v>
      </c>
      <c r="Q29" s="869">
        <f t="shared" si="0"/>
        <v>0</v>
      </c>
      <c r="R29" s="926">
        <f t="shared" si="0"/>
        <v>0</v>
      </c>
      <c r="S29" s="869">
        <f t="shared" si="1"/>
        <v>-1</v>
      </c>
      <c r="T29" s="926">
        <f t="shared" si="2"/>
        <v>-0.41</v>
      </c>
      <c r="U29" s="933" t="s">
        <v>554</v>
      </c>
      <c r="V29" s="878" t="s">
        <v>554</v>
      </c>
      <c r="W29" s="878" t="s">
        <v>554</v>
      </c>
      <c r="X29" s="931" t="s">
        <v>554</v>
      </c>
      <c r="Y29" s="929"/>
    </row>
    <row r="30" spans="1:25" ht="14.4" customHeight="1" x14ac:dyDescent="0.3">
      <c r="A30" s="896" t="s">
        <v>3655</v>
      </c>
      <c r="B30" s="870">
        <v>1</v>
      </c>
      <c r="C30" s="871">
        <v>1.41</v>
      </c>
      <c r="D30" s="872">
        <v>6</v>
      </c>
      <c r="E30" s="881"/>
      <c r="F30" s="861"/>
      <c r="G30" s="862"/>
      <c r="H30" s="867"/>
      <c r="I30" s="861"/>
      <c r="J30" s="862"/>
      <c r="K30" s="866">
        <v>1.41</v>
      </c>
      <c r="L30" s="867">
        <v>3</v>
      </c>
      <c r="M30" s="867">
        <v>24</v>
      </c>
      <c r="N30" s="868">
        <v>8</v>
      </c>
      <c r="O30" s="867" t="s">
        <v>3607</v>
      </c>
      <c r="P30" s="882" t="s">
        <v>3656</v>
      </c>
      <c r="Q30" s="869">
        <f t="shared" si="0"/>
        <v>-1</v>
      </c>
      <c r="R30" s="926">
        <f t="shared" si="0"/>
        <v>-1.41</v>
      </c>
      <c r="S30" s="869">
        <f t="shared" si="1"/>
        <v>0</v>
      </c>
      <c r="T30" s="926">
        <f t="shared" si="2"/>
        <v>0</v>
      </c>
      <c r="U30" s="933" t="s">
        <v>554</v>
      </c>
      <c r="V30" s="878" t="s">
        <v>554</v>
      </c>
      <c r="W30" s="878" t="s">
        <v>554</v>
      </c>
      <c r="X30" s="931" t="s">
        <v>554</v>
      </c>
      <c r="Y30" s="929"/>
    </row>
    <row r="31" spans="1:25" ht="14.4" customHeight="1" x14ac:dyDescent="0.3">
      <c r="A31" s="896" t="s">
        <v>3657</v>
      </c>
      <c r="B31" s="870">
        <v>1</v>
      </c>
      <c r="C31" s="871">
        <v>1.67</v>
      </c>
      <c r="D31" s="872">
        <v>3</v>
      </c>
      <c r="E31" s="881"/>
      <c r="F31" s="861"/>
      <c r="G31" s="862"/>
      <c r="H31" s="867"/>
      <c r="I31" s="861"/>
      <c r="J31" s="862"/>
      <c r="K31" s="866">
        <v>1.67</v>
      </c>
      <c r="L31" s="867">
        <v>3</v>
      </c>
      <c r="M31" s="867">
        <v>27</v>
      </c>
      <c r="N31" s="868">
        <v>9</v>
      </c>
      <c r="O31" s="867" t="s">
        <v>3607</v>
      </c>
      <c r="P31" s="882" t="s">
        <v>3658</v>
      </c>
      <c r="Q31" s="869">
        <f t="shared" si="0"/>
        <v>-1</v>
      </c>
      <c r="R31" s="926">
        <f t="shared" si="0"/>
        <v>-1.67</v>
      </c>
      <c r="S31" s="869">
        <f t="shared" si="1"/>
        <v>0</v>
      </c>
      <c r="T31" s="926">
        <f t="shared" si="2"/>
        <v>0</v>
      </c>
      <c r="U31" s="933" t="s">
        <v>554</v>
      </c>
      <c r="V31" s="878" t="s">
        <v>554</v>
      </c>
      <c r="W31" s="878" t="s">
        <v>554</v>
      </c>
      <c r="X31" s="931" t="s">
        <v>554</v>
      </c>
      <c r="Y31" s="929"/>
    </row>
    <row r="32" spans="1:25" ht="14.4" customHeight="1" x14ac:dyDescent="0.3">
      <c r="A32" s="896" t="s">
        <v>3659</v>
      </c>
      <c r="B32" s="878"/>
      <c r="C32" s="879"/>
      <c r="D32" s="880"/>
      <c r="E32" s="881"/>
      <c r="F32" s="861"/>
      <c r="G32" s="862"/>
      <c r="H32" s="863">
        <v>1</v>
      </c>
      <c r="I32" s="864">
        <v>0.36</v>
      </c>
      <c r="J32" s="865">
        <v>2</v>
      </c>
      <c r="K32" s="866">
        <v>0.36</v>
      </c>
      <c r="L32" s="867">
        <v>2</v>
      </c>
      <c r="M32" s="867">
        <v>15</v>
      </c>
      <c r="N32" s="868">
        <v>5</v>
      </c>
      <c r="O32" s="867" t="s">
        <v>3607</v>
      </c>
      <c r="P32" s="882" t="s">
        <v>3660</v>
      </c>
      <c r="Q32" s="869">
        <f t="shared" si="0"/>
        <v>1</v>
      </c>
      <c r="R32" s="926">
        <f t="shared" si="0"/>
        <v>0.36</v>
      </c>
      <c r="S32" s="869">
        <f t="shared" si="1"/>
        <v>1</v>
      </c>
      <c r="T32" s="926">
        <f t="shared" si="2"/>
        <v>0.36</v>
      </c>
      <c r="U32" s="933">
        <v>5</v>
      </c>
      <c r="V32" s="878">
        <v>2</v>
      </c>
      <c r="W32" s="878">
        <v>-3</v>
      </c>
      <c r="X32" s="931">
        <v>0.4</v>
      </c>
      <c r="Y32" s="929"/>
    </row>
    <row r="33" spans="1:25" ht="14.4" customHeight="1" x14ac:dyDescent="0.3">
      <c r="A33" s="896" t="s">
        <v>3661</v>
      </c>
      <c r="B33" s="870">
        <v>119</v>
      </c>
      <c r="C33" s="871">
        <v>565.32000000000005</v>
      </c>
      <c r="D33" s="872">
        <v>5.6</v>
      </c>
      <c r="E33" s="881">
        <v>87</v>
      </c>
      <c r="F33" s="861">
        <v>415.68</v>
      </c>
      <c r="G33" s="862">
        <v>6.4</v>
      </c>
      <c r="H33" s="867">
        <v>72</v>
      </c>
      <c r="I33" s="861">
        <v>337.98</v>
      </c>
      <c r="J33" s="862">
        <v>5.8</v>
      </c>
      <c r="K33" s="866">
        <v>4.99</v>
      </c>
      <c r="L33" s="867">
        <v>3</v>
      </c>
      <c r="M33" s="867">
        <v>27</v>
      </c>
      <c r="N33" s="868">
        <v>9</v>
      </c>
      <c r="O33" s="867" t="s">
        <v>3607</v>
      </c>
      <c r="P33" s="882" t="s">
        <v>3662</v>
      </c>
      <c r="Q33" s="869">
        <f t="shared" si="0"/>
        <v>-47</v>
      </c>
      <c r="R33" s="926">
        <f t="shared" si="0"/>
        <v>-227.34000000000003</v>
      </c>
      <c r="S33" s="869">
        <f t="shared" si="1"/>
        <v>-15</v>
      </c>
      <c r="T33" s="926">
        <f t="shared" si="2"/>
        <v>-77.699999999999989</v>
      </c>
      <c r="U33" s="933">
        <v>648</v>
      </c>
      <c r="V33" s="878">
        <v>417.59999999999997</v>
      </c>
      <c r="W33" s="878">
        <v>-230.40000000000003</v>
      </c>
      <c r="X33" s="931">
        <v>0.64444444444444438</v>
      </c>
      <c r="Y33" s="929">
        <v>22</v>
      </c>
    </row>
    <row r="34" spans="1:25" ht="14.4" customHeight="1" x14ac:dyDescent="0.3">
      <c r="A34" s="897" t="s">
        <v>3663</v>
      </c>
      <c r="B34" s="894">
        <v>8</v>
      </c>
      <c r="C34" s="895">
        <v>41.44</v>
      </c>
      <c r="D34" s="877">
        <v>7.8</v>
      </c>
      <c r="E34" s="885">
        <v>5</v>
      </c>
      <c r="F34" s="886">
        <v>25.9</v>
      </c>
      <c r="G34" s="873">
        <v>9</v>
      </c>
      <c r="H34" s="890">
        <v>14</v>
      </c>
      <c r="I34" s="886">
        <v>74.069999999999993</v>
      </c>
      <c r="J34" s="873">
        <v>8.4</v>
      </c>
      <c r="K34" s="889">
        <v>5.18</v>
      </c>
      <c r="L34" s="890">
        <v>3</v>
      </c>
      <c r="M34" s="890">
        <v>27</v>
      </c>
      <c r="N34" s="891">
        <v>9</v>
      </c>
      <c r="O34" s="890" t="s">
        <v>3607</v>
      </c>
      <c r="P34" s="892" t="s">
        <v>3664</v>
      </c>
      <c r="Q34" s="893">
        <f t="shared" si="0"/>
        <v>6</v>
      </c>
      <c r="R34" s="927">
        <f t="shared" si="0"/>
        <v>32.629999999999995</v>
      </c>
      <c r="S34" s="893">
        <f t="shared" si="1"/>
        <v>9</v>
      </c>
      <c r="T34" s="927">
        <f t="shared" si="2"/>
        <v>48.169999999999995</v>
      </c>
      <c r="U34" s="934">
        <v>126</v>
      </c>
      <c r="V34" s="504">
        <v>117.60000000000001</v>
      </c>
      <c r="W34" s="504">
        <v>-8.3999999999999915</v>
      </c>
      <c r="X34" s="932">
        <v>0.93333333333333335</v>
      </c>
      <c r="Y34" s="930">
        <v>30</v>
      </c>
    </row>
    <row r="35" spans="1:25" ht="14.4" customHeight="1" x14ac:dyDescent="0.3">
      <c r="A35" s="896" t="s">
        <v>3665</v>
      </c>
      <c r="B35" s="878">
        <v>1</v>
      </c>
      <c r="C35" s="879">
        <v>3.12</v>
      </c>
      <c r="D35" s="880">
        <v>4</v>
      </c>
      <c r="E35" s="863">
        <v>2</v>
      </c>
      <c r="F35" s="864">
        <v>6.24</v>
      </c>
      <c r="G35" s="865">
        <v>12</v>
      </c>
      <c r="H35" s="867">
        <v>1</v>
      </c>
      <c r="I35" s="861">
        <v>3.12</v>
      </c>
      <c r="J35" s="862">
        <v>3</v>
      </c>
      <c r="K35" s="866">
        <v>3.12</v>
      </c>
      <c r="L35" s="867">
        <v>3</v>
      </c>
      <c r="M35" s="867">
        <v>27</v>
      </c>
      <c r="N35" s="868">
        <v>9</v>
      </c>
      <c r="O35" s="867" t="s">
        <v>3607</v>
      </c>
      <c r="P35" s="882" t="s">
        <v>3666</v>
      </c>
      <c r="Q35" s="869">
        <f t="shared" si="0"/>
        <v>0</v>
      </c>
      <c r="R35" s="926">
        <f t="shared" si="0"/>
        <v>0</v>
      </c>
      <c r="S35" s="869">
        <f t="shared" si="1"/>
        <v>-1</v>
      </c>
      <c r="T35" s="926">
        <f t="shared" si="2"/>
        <v>-3.12</v>
      </c>
      <c r="U35" s="933">
        <v>9</v>
      </c>
      <c r="V35" s="878">
        <v>3</v>
      </c>
      <c r="W35" s="878">
        <v>-6</v>
      </c>
      <c r="X35" s="931">
        <v>0.33333333333333331</v>
      </c>
      <c r="Y35" s="929"/>
    </row>
    <row r="36" spans="1:25" ht="14.4" customHeight="1" x14ac:dyDescent="0.3">
      <c r="A36" s="896" t="s">
        <v>3667</v>
      </c>
      <c r="B36" s="870">
        <v>104</v>
      </c>
      <c r="C36" s="871">
        <v>174.75</v>
      </c>
      <c r="D36" s="872">
        <v>5.9</v>
      </c>
      <c r="E36" s="881">
        <v>100</v>
      </c>
      <c r="F36" s="861">
        <v>169.15</v>
      </c>
      <c r="G36" s="862">
        <v>5.9</v>
      </c>
      <c r="H36" s="867">
        <v>89</v>
      </c>
      <c r="I36" s="861">
        <v>150.13</v>
      </c>
      <c r="J36" s="862">
        <v>5.2</v>
      </c>
      <c r="K36" s="866">
        <v>1.68</v>
      </c>
      <c r="L36" s="867">
        <v>3</v>
      </c>
      <c r="M36" s="867">
        <v>24</v>
      </c>
      <c r="N36" s="868">
        <v>8</v>
      </c>
      <c r="O36" s="867" t="s">
        <v>3607</v>
      </c>
      <c r="P36" s="882" t="s">
        <v>3668</v>
      </c>
      <c r="Q36" s="869">
        <f t="shared" si="0"/>
        <v>-15</v>
      </c>
      <c r="R36" s="926">
        <f t="shared" si="0"/>
        <v>-24.620000000000005</v>
      </c>
      <c r="S36" s="869">
        <f t="shared" si="1"/>
        <v>-11</v>
      </c>
      <c r="T36" s="926">
        <f t="shared" si="2"/>
        <v>-19.02000000000001</v>
      </c>
      <c r="U36" s="933">
        <v>712</v>
      </c>
      <c r="V36" s="878">
        <v>462.8</v>
      </c>
      <c r="W36" s="878">
        <v>-249.2</v>
      </c>
      <c r="X36" s="931">
        <v>0.65</v>
      </c>
      <c r="Y36" s="929">
        <v>11</v>
      </c>
    </row>
    <row r="37" spans="1:25" ht="14.4" customHeight="1" x14ac:dyDescent="0.3">
      <c r="A37" s="896" t="s">
        <v>3669</v>
      </c>
      <c r="B37" s="878">
        <v>1</v>
      </c>
      <c r="C37" s="879">
        <v>0.61</v>
      </c>
      <c r="D37" s="880">
        <v>4</v>
      </c>
      <c r="E37" s="881">
        <v>1</v>
      </c>
      <c r="F37" s="861">
        <v>0.61</v>
      </c>
      <c r="G37" s="862">
        <v>1</v>
      </c>
      <c r="H37" s="863">
        <v>1</v>
      </c>
      <c r="I37" s="864">
        <v>0.61</v>
      </c>
      <c r="J37" s="865">
        <v>2</v>
      </c>
      <c r="K37" s="866">
        <v>0.61</v>
      </c>
      <c r="L37" s="867">
        <v>1</v>
      </c>
      <c r="M37" s="867">
        <v>12</v>
      </c>
      <c r="N37" s="868">
        <v>4</v>
      </c>
      <c r="O37" s="867" t="s">
        <v>3607</v>
      </c>
      <c r="P37" s="882" t="s">
        <v>3670</v>
      </c>
      <c r="Q37" s="869">
        <f t="shared" si="0"/>
        <v>0</v>
      </c>
      <c r="R37" s="926">
        <f t="shared" si="0"/>
        <v>0</v>
      </c>
      <c r="S37" s="869">
        <f t="shared" si="1"/>
        <v>0</v>
      </c>
      <c r="T37" s="926">
        <f t="shared" si="2"/>
        <v>0</v>
      </c>
      <c r="U37" s="933">
        <v>4</v>
      </c>
      <c r="V37" s="878">
        <v>2</v>
      </c>
      <c r="W37" s="878">
        <v>-2</v>
      </c>
      <c r="X37" s="931">
        <v>0.5</v>
      </c>
      <c r="Y37" s="929"/>
    </row>
    <row r="38" spans="1:25" ht="14.4" customHeight="1" x14ac:dyDescent="0.3">
      <c r="A38" s="896" t="s">
        <v>3671</v>
      </c>
      <c r="B38" s="878"/>
      <c r="C38" s="879"/>
      <c r="D38" s="880"/>
      <c r="E38" s="881"/>
      <c r="F38" s="861"/>
      <c r="G38" s="862"/>
      <c r="H38" s="863">
        <v>1</v>
      </c>
      <c r="I38" s="864">
        <v>0.56999999999999995</v>
      </c>
      <c r="J38" s="865">
        <v>3</v>
      </c>
      <c r="K38" s="866">
        <v>0.56999999999999995</v>
      </c>
      <c r="L38" s="867">
        <v>2</v>
      </c>
      <c r="M38" s="867">
        <v>21</v>
      </c>
      <c r="N38" s="868">
        <v>7</v>
      </c>
      <c r="O38" s="867" t="s">
        <v>3607</v>
      </c>
      <c r="P38" s="882" t="s">
        <v>3672</v>
      </c>
      <c r="Q38" s="869">
        <f t="shared" si="0"/>
        <v>1</v>
      </c>
      <c r="R38" s="926">
        <f t="shared" si="0"/>
        <v>0.56999999999999995</v>
      </c>
      <c r="S38" s="869">
        <f t="shared" si="1"/>
        <v>1</v>
      </c>
      <c r="T38" s="926">
        <f t="shared" si="2"/>
        <v>0.56999999999999995</v>
      </c>
      <c r="U38" s="933">
        <v>7</v>
      </c>
      <c r="V38" s="878">
        <v>3</v>
      </c>
      <c r="W38" s="878">
        <v>-4</v>
      </c>
      <c r="X38" s="931">
        <v>0.42857142857142855</v>
      </c>
      <c r="Y38" s="929"/>
    </row>
    <row r="39" spans="1:25" ht="14.4" customHeight="1" x14ac:dyDescent="0.3">
      <c r="A39" s="896" t="s">
        <v>3673</v>
      </c>
      <c r="B39" s="878">
        <v>9</v>
      </c>
      <c r="C39" s="879">
        <v>3.86</v>
      </c>
      <c r="D39" s="880">
        <v>4.4000000000000004</v>
      </c>
      <c r="E39" s="881">
        <v>8</v>
      </c>
      <c r="F39" s="861">
        <v>3.42</v>
      </c>
      <c r="G39" s="862">
        <v>3.6</v>
      </c>
      <c r="H39" s="863">
        <v>13</v>
      </c>
      <c r="I39" s="864">
        <v>5.61</v>
      </c>
      <c r="J39" s="865">
        <v>4.9000000000000004</v>
      </c>
      <c r="K39" s="866">
        <v>0.43</v>
      </c>
      <c r="L39" s="867">
        <v>2</v>
      </c>
      <c r="M39" s="867">
        <v>18</v>
      </c>
      <c r="N39" s="868">
        <v>6</v>
      </c>
      <c r="O39" s="867" t="s">
        <v>3607</v>
      </c>
      <c r="P39" s="882" t="s">
        <v>3674</v>
      </c>
      <c r="Q39" s="869">
        <f t="shared" si="0"/>
        <v>4</v>
      </c>
      <c r="R39" s="926">
        <f t="shared" si="0"/>
        <v>1.7500000000000004</v>
      </c>
      <c r="S39" s="869">
        <f t="shared" si="1"/>
        <v>5</v>
      </c>
      <c r="T39" s="926">
        <f t="shared" si="2"/>
        <v>2.1900000000000004</v>
      </c>
      <c r="U39" s="933">
        <v>78</v>
      </c>
      <c r="V39" s="878">
        <v>63.7</v>
      </c>
      <c r="W39" s="878">
        <v>-14.299999999999997</v>
      </c>
      <c r="X39" s="931">
        <v>0.81666666666666665</v>
      </c>
      <c r="Y39" s="929">
        <v>4</v>
      </c>
    </row>
    <row r="40" spans="1:25" ht="14.4" customHeight="1" x14ac:dyDescent="0.3">
      <c r="A40" s="897" t="s">
        <v>3675</v>
      </c>
      <c r="B40" s="504">
        <v>2</v>
      </c>
      <c r="C40" s="884">
        <v>1.01</v>
      </c>
      <c r="D40" s="883">
        <v>8.5</v>
      </c>
      <c r="E40" s="885"/>
      <c r="F40" s="886"/>
      <c r="G40" s="873"/>
      <c r="H40" s="887">
        <v>1</v>
      </c>
      <c r="I40" s="888">
        <v>0.5</v>
      </c>
      <c r="J40" s="874">
        <v>6</v>
      </c>
      <c r="K40" s="889">
        <v>0.5</v>
      </c>
      <c r="L40" s="890">
        <v>2</v>
      </c>
      <c r="M40" s="890">
        <v>21</v>
      </c>
      <c r="N40" s="891">
        <v>7</v>
      </c>
      <c r="O40" s="890" t="s">
        <v>3607</v>
      </c>
      <c r="P40" s="892" t="s">
        <v>3676</v>
      </c>
      <c r="Q40" s="893">
        <f t="shared" si="0"/>
        <v>-1</v>
      </c>
      <c r="R40" s="927">
        <f t="shared" si="0"/>
        <v>-0.51</v>
      </c>
      <c r="S40" s="893">
        <f t="shared" si="1"/>
        <v>1</v>
      </c>
      <c r="T40" s="927">
        <f t="shared" si="2"/>
        <v>0.5</v>
      </c>
      <c r="U40" s="934">
        <v>7</v>
      </c>
      <c r="V40" s="504">
        <v>6</v>
      </c>
      <c r="W40" s="504">
        <v>-1</v>
      </c>
      <c r="X40" s="932">
        <v>0.8571428571428571</v>
      </c>
      <c r="Y40" s="930"/>
    </row>
    <row r="41" spans="1:25" ht="14.4" customHeight="1" x14ac:dyDescent="0.3">
      <c r="A41" s="897" t="s">
        <v>3677</v>
      </c>
      <c r="B41" s="504">
        <v>1</v>
      </c>
      <c r="C41" s="884">
        <v>0.51</v>
      </c>
      <c r="D41" s="883">
        <v>2</v>
      </c>
      <c r="E41" s="885"/>
      <c r="F41" s="886"/>
      <c r="G41" s="873"/>
      <c r="H41" s="887"/>
      <c r="I41" s="888"/>
      <c r="J41" s="874"/>
      <c r="K41" s="889">
        <v>0.75</v>
      </c>
      <c r="L41" s="890">
        <v>3</v>
      </c>
      <c r="M41" s="890">
        <v>27</v>
      </c>
      <c r="N41" s="891">
        <v>9</v>
      </c>
      <c r="O41" s="890" t="s">
        <v>3607</v>
      </c>
      <c r="P41" s="892" t="s">
        <v>3678</v>
      </c>
      <c r="Q41" s="893">
        <f t="shared" si="0"/>
        <v>-1</v>
      </c>
      <c r="R41" s="927">
        <f t="shared" si="0"/>
        <v>-0.51</v>
      </c>
      <c r="S41" s="893">
        <f t="shared" si="1"/>
        <v>0</v>
      </c>
      <c r="T41" s="927">
        <f t="shared" si="2"/>
        <v>0</v>
      </c>
      <c r="U41" s="934" t="s">
        <v>554</v>
      </c>
      <c r="V41" s="504" t="s">
        <v>554</v>
      </c>
      <c r="W41" s="504" t="s">
        <v>554</v>
      </c>
      <c r="X41" s="932" t="s">
        <v>554</v>
      </c>
      <c r="Y41" s="930"/>
    </row>
    <row r="42" spans="1:25" ht="14.4" customHeight="1" x14ac:dyDescent="0.3">
      <c r="A42" s="896" t="s">
        <v>3679</v>
      </c>
      <c r="B42" s="878"/>
      <c r="C42" s="879"/>
      <c r="D42" s="880"/>
      <c r="E42" s="881">
        <v>1</v>
      </c>
      <c r="F42" s="861">
        <v>0.3</v>
      </c>
      <c r="G42" s="862">
        <v>2</v>
      </c>
      <c r="H42" s="863"/>
      <c r="I42" s="864"/>
      <c r="J42" s="865"/>
      <c r="K42" s="866">
        <v>0.3</v>
      </c>
      <c r="L42" s="867">
        <v>1</v>
      </c>
      <c r="M42" s="867">
        <v>12</v>
      </c>
      <c r="N42" s="868">
        <v>4</v>
      </c>
      <c r="O42" s="867" t="s">
        <v>3607</v>
      </c>
      <c r="P42" s="882" t="s">
        <v>3680</v>
      </c>
      <c r="Q42" s="869">
        <f t="shared" si="0"/>
        <v>0</v>
      </c>
      <c r="R42" s="926">
        <f t="shared" si="0"/>
        <v>0</v>
      </c>
      <c r="S42" s="869">
        <f t="shared" si="1"/>
        <v>-1</v>
      </c>
      <c r="T42" s="926">
        <f t="shared" si="2"/>
        <v>-0.3</v>
      </c>
      <c r="U42" s="933" t="s">
        <v>554</v>
      </c>
      <c r="V42" s="878" t="s">
        <v>554</v>
      </c>
      <c r="W42" s="878" t="s">
        <v>554</v>
      </c>
      <c r="X42" s="931" t="s">
        <v>554</v>
      </c>
      <c r="Y42" s="929"/>
    </row>
    <row r="43" spans="1:25" ht="14.4" customHeight="1" x14ac:dyDescent="0.3">
      <c r="A43" s="897" t="s">
        <v>3681</v>
      </c>
      <c r="B43" s="504"/>
      <c r="C43" s="884"/>
      <c r="D43" s="883"/>
      <c r="E43" s="885"/>
      <c r="F43" s="886"/>
      <c r="G43" s="873"/>
      <c r="H43" s="887">
        <v>1</v>
      </c>
      <c r="I43" s="888">
        <v>0.46</v>
      </c>
      <c r="J43" s="874">
        <v>4</v>
      </c>
      <c r="K43" s="889">
        <v>0.46</v>
      </c>
      <c r="L43" s="890">
        <v>2</v>
      </c>
      <c r="M43" s="890">
        <v>18</v>
      </c>
      <c r="N43" s="891">
        <v>6</v>
      </c>
      <c r="O43" s="890" t="s">
        <v>3607</v>
      </c>
      <c r="P43" s="892" t="s">
        <v>3682</v>
      </c>
      <c r="Q43" s="893">
        <f t="shared" si="0"/>
        <v>1</v>
      </c>
      <c r="R43" s="927">
        <f t="shared" si="0"/>
        <v>0.46</v>
      </c>
      <c r="S43" s="893">
        <f t="shared" si="1"/>
        <v>1</v>
      </c>
      <c r="T43" s="927">
        <f t="shared" si="2"/>
        <v>0.46</v>
      </c>
      <c r="U43" s="934">
        <v>6</v>
      </c>
      <c r="V43" s="504">
        <v>4</v>
      </c>
      <c r="W43" s="504">
        <v>-2</v>
      </c>
      <c r="X43" s="932">
        <v>0.66666666666666663</v>
      </c>
      <c r="Y43" s="930"/>
    </row>
    <row r="44" spans="1:25" ht="14.4" customHeight="1" x14ac:dyDescent="0.3">
      <c r="A44" s="896" t="s">
        <v>3683</v>
      </c>
      <c r="B44" s="878">
        <v>3</v>
      </c>
      <c r="C44" s="879">
        <v>8</v>
      </c>
      <c r="D44" s="880">
        <v>7.3</v>
      </c>
      <c r="E44" s="881">
        <v>3</v>
      </c>
      <c r="F44" s="861">
        <v>8</v>
      </c>
      <c r="G44" s="862">
        <v>9.3000000000000007</v>
      </c>
      <c r="H44" s="863">
        <v>5</v>
      </c>
      <c r="I44" s="864">
        <v>13.33</v>
      </c>
      <c r="J44" s="865">
        <v>8.6</v>
      </c>
      <c r="K44" s="866">
        <v>2.67</v>
      </c>
      <c r="L44" s="867">
        <v>3</v>
      </c>
      <c r="M44" s="867">
        <v>27</v>
      </c>
      <c r="N44" s="868">
        <v>9</v>
      </c>
      <c r="O44" s="867" t="s">
        <v>3607</v>
      </c>
      <c r="P44" s="882" t="s">
        <v>3684</v>
      </c>
      <c r="Q44" s="869">
        <f t="shared" si="0"/>
        <v>2</v>
      </c>
      <c r="R44" s="926">
        <f t="shared" si="0"/>
        <v>5.33</v>
      </c>
      <c r="S44" s="869">
        <f t="shared" si="1"/>
        <v>2</v>
      </c>
      <c r="T44" s="926">
        <f t="shared" si="2"/>
        <v>5.33</v>
      </c>
      <c r="U44" s="933">
        <v>45</v>
      </c>
      <c r="V44" s="878">
        <v>43</v>
      </c>
      <c r="W44" s="878">
        <v>-2</v>
      </c>
      <c r="X44" s="931">
        <v>0.9555555555555556</v>
      </c>
      <c r="Y44" s="929">
        <v>1</v>
      </c>
    </row>
    <row r="45" spans="1:25" ht="14.4" customHeight="1" x14ac:dyDescent="0.3">
      <c r="A45" s="896" t="s">
        <v>3685</v>
      </c>
      <c r="B45" s="870">
        <v>1</v>
      </c>
      <c r="C45" s="871">
        <v>1.03</v>
      </c>
      <c r="D45" s="872">
        <v>2</v>
      </c>
      <c r="E45" s="881"/>
      <c r="F45" s="861"/>
      <c r="G45" s="862"/>
      <c r="H45" s="867"/>
      <c r="I45" s="861"/>
      <c r="J45" s="862"/>
      <c r="K45" s="866">
        <v>1.03</v>
      </c>
      <c r="L45" s="867">
        <v>2</v>
      </c>
      <c r="M45" s="867">
        <v>18</v>
      </c>
      <c r="N45" s="868">
        <v>6</v>
      </c>
      <c r="O45" s="867" t="s">
        <v>3607</v>
      </c>
      <c r="P45" s="882" t="s">
        <v>3686</v>
      </c>
      <c r="Q45" s="869">
        <f t="shared" si="0"/>
        <v>-1</v>
      </c>
      <c r="R45" s="926">
        <f t="shared" si="0"/>
        <v>-1.03</v>
      </c>
      <c r="S45" s="869">
        <f t="shared" si="1"/>
        <v>0</v>
      </c>
      <c r="T45" s="926">
        <f t="shared" si="2"/>
        <v>0</v>
      </c>
      <c r="U45" s="933" t="s">
        <v>554</v>
      </c>
      <c r="V45" s="878" t="s">
        <v>554</v>
      </c>
      <c r="W45" s="878" t="s">
        <v>554</v>
      </c>
      <c r="X45" s="931" t="s">
        <v>554</v>
      </c>
      <c r="Y45" s="929"/>
    </row>
    <row r="46" spans="1:25" ht="14.4" customHeight="1" x14ac:dyDescent="0.3">
      <c r="A46" s="896" t="s">
        <v>3687</v>
      </c>
      <c r="B46" s="870">
        <v>1</v>
      </c>
      <c r="C46" s="871">
        <v>1.43</v>
      </c>
      <c r="D46" s="872">
        <v>8</v>
      </c>
      <c r="E46" s="881"/>
      <c r="F46" s="861"/>
      <c r="G46" s="862"/>
      <c r="H46" s="867"/>
      <c r="I46" s="861"/>
      <c r="J46" s="862"/>
      <c r="K46" s="866">
        <v>1.43</v>
      </c>
      <c r="L46" s="867">
        <v>4</v>
      </c>
      <c r="M46" s="867">
        <v>36</v>
      </c>
      <c r="N46" s="868">
        <v>12</v>
      </c>
      <c r="O46" s="867" t="s">
        <v>3607</v>
      </c>
      <c r="P46" s="882" t="s">
        <v>3688</v>
      </c>
      <c r="Q46" s="869">
        <f t="shared" si="0"/>
        <v>-1</v>
      </c>
      <c r="R46" s="926">
        <f t="shared" si="0"/>
        <v>-1.43</v>
      </c>
      <c r="S46" s="869">
        <f t="shared" si="1"/>
        <v>0</v>
      </c>
      <c r="T46" s="926">
        <f t="shared" si="2"/>
        <v>0</v>
      </c>
      <c r="U46" s="933" t="s">
        <v>554</v>
      </c>
      <c r="V46" s="878" t="s">
        <v>554</v>
      </c>
      <c r="W46" s="878" t="s">
        <v>554</v>
      </c>
      <c r="X46" s="931" t="s">
        <v>554</v>
      </c>
      <c r="Y46" s="929"/>
    </row>
    <row r="47" spans="1:25" ht="14.4" customHeight="1" x14ac:dyDescent="0.3">
      <c r="A47" s="896" t="s">
        <v>3689</v>
      </c>
      <c r="B47" s="878"/>
      <c r="C47" s="879"/>
      <c r="D47" s="880"/>
      <c r="E47" s="881"/>
      <c r="F47" s="861"/>
      <c r="G47" s="862"/>
      <c r="H47" s="863">
        <v>2</v>
      </c>
      <c r="I47" s="864">
        <v>2.16</v>
      </c>
      <c r="J47" s="865">
        <v>3.5</v>
      </c>
      <c r="K47" s="866">
        <v>1.28</v>
      </c>
      <c r="L47" s="867">
        <v>3</v>
      </c>
      <c r="M47" s="867">
        <v>24</v>
      </c>
      <c r="N47" s="868">
        <v>8</v>
      </c>
      <c r="O47" s="867" t="s">
        <v>3607</v>
      </c>
      <c r="P47" s="882" t="s">
        <v>3690</v>
      </c>
      <c r="Q47" s="869">
        <f t="shared" si="0"/>
        <v>2</v>
      </c>
      <c r="R47" s="926">
        <f t="shared" si="0"/>
        <v>2.16</v>
      </c>
      <c r="S47" s="869">
        <f t="shared" si="1"/>
        <v>2</v>
      </c>
      <c r="T47" s="926">
        <f t="shared" si="2"/>
        <v>2.16</v>
      </c>
      <c r="U47" s="933">
        <v>16</v>
      </c>
      <c r="V47" s="878">
        <v>7</v>
      </c>
      <c r="W47" s="878">
        <v>-9</v>
      </c>
      <c r="X47" s="931">
        <v>0.4375</v>
      </c>
      <c r="Y47" s="929"/>
    </row>
    <row r="48" spans="1:25" ht="14.4" customHeight="1" x14ac:dyDescent="0.3">
      <c r="A48" s="896" t="s">
        <v>3691</v>
      </c>
      <c r="B48" s="870">
        <v>14</v>
      </c>
      <c r="C48" s="871">
        <v>17.63</v>
      </c>
      <c r="D48" s="872">
        <v>5.2</v>
      </c>
      <c r="E48" s="881">
        <v>8</v>
      </c>
      <c r="F48" s="861">
        <v>5.21</v>
      </c>
      <c r="G48" s="862">
        <v>5.6</v>
      </c>
      <c r="H48" s="867">
        <v>5</v>
      </c>
      <c r="I48" s="861">
        <v>3.3</v>
      </c>
      <c r="J48" s="876">
        <v>6.2</v>
      </c>
      <c r="K48" s="866">
        <v>0.64</v>
      </c>
      <c r="L48" s="867">
        <v>1</v>
      </c>
      <c r="M48" s="867">
        <v>12</v>
      </c>
      <c r="N48" s="868">
        <v>4</v>
      </c>
      <c r="O48" s="867" t="s">
        <v>3607</v>
      </c>
      <c r="P48" s="882" t="s">
        <v>3692</v>
      </c>
      <c r="Q48" s="869">
        <f t="shared" si="0"/>
        <v>-9</v>
      </c>
      <c r="R48" s="926">
        <f t="shared" si="0"/>
        <v>-14.329999999999998</v>
      </c>
      <c r="S48" s="869">
        <f t="shared" si="1"/>
        <v>-3</v>
      </c>
      <c r="T48" s="926">
        <f t="shared" si="2"/>
        <v>-1.9100000000000001</v>
      </c>
      <c r="U48" s="933">
        <v>20</v>
      </c>
      <c r="V48" s="878">
        <v>31</v>
      </c>
      <c r="W48" s="878">
        <v>11</v>
      </c>
      <c r="X48" s="931">
        <v>1.55</v>
      </c>
      <c r="Y48" s="929">
        <v>11</v>
      </c>
    </row>
    <row r="49" spans="1:25" ht="14.4" customHeight="1" x14ac:dyDescent="0.3">
      <c r="A49" s="897" t="s">
        <v>3693</v>
      </c>
      <c r="B49" s="894">
        <v>1</v>
      </c>
      <c r="C49" s="895">
        <v>0.88</v>
      </c>
      <c r="D49" s="877">
        <v>5</v>
      </c>
      <c r="E49" s="885"/>
      <c r="F49" s="886"/>
      <c r="G49" s="873"/>
      <c r="H49" s="890"/>
      <c r="I49" s="886"/>
      <c r="J49" s="873"/>
      <c r="K49" s="889">
        <v>0.88</v>
      </c>
      <c r="L49" s="890">
        <v>2</v>
      </c>
      <c r="M49" s="890">
        <v>18</v>
      </c>
      <c r="N49" s="891">
        <v>6</v>
      </c>
      <c r="O49" s="890" t="s">
        <v>3607</v>
      </c>
      <c r="P49" s="892" t="s">
        <v>3692</v>
      </c>
      <c r="Q49" s="893">
        <f t="shared" si="0"/>
        <v>-1</v>
      </c>
      <c r="R49" s="927">
        <f t="shared" si="0"/>
        <v>-0.88</v>
      </c>
      <c r="S49" s="893">
        <f t="shared" si="1"/>
        <v>0</v>
      </c>
      <c r="T49" s="927">
        <f t="shared" si="2"/>
        <v>0</v>
      </c>
      <c r="U49" s="934" t="s">
        <v>554</v>
      </c>
      <c r="V49" s="504" t="s">
        <v>554</v>
      </c>
      <c r="W49" s="504" t="s">
        <v>554</v>
      </c>
      <c r="X49" s="932" t="s">
        <v>554</v>
      </c>
      <c r="Y49" s="930"/>
    </row>
    <row r="50" spans="1:25" ht="14.4" customHeight="1" x14ac:dyDescent="0.3">
      <c r="A50" s="896" t="s">
        <v>3694</v>
      </c>
      <c r="B50" s="878"/>
      <c r="C50" s="879"/>
      <c r="D50" s="880"/>
      <c r="E50" s="881"/>
      <c r="F50" s="861"/>
      <c r="G50" s="862"/>
      <c r="H50" s="863">
        <v>1</v>
      </c>
      <c r="I50" s="864">
        <v>0.31</v>
      </c>
      <c r="J50" s="876">
        <v>5</v>
      </c>
      <c r="K50" s="866">
        <v>0.31</v>
      </c>
      <c r="L50" s="867">
        <v>1</v>
      </c>
      <c r="M50" s="867">
        <v>12</v>
      </c>
      <c r="N50" s="868">
        <v>4</v>
      </c>
      <c r="O50" s="867" t="s">
        <v>3607</v>
      </c>
      <c r="P50" s="882" t="s">
        <v>3695</v>
      </c>
      <c r="Q50" s="869">
        <f t="shared" si="0"/>
        <v>1</v>
      </c>
      <c r="R50" s="926">
        <f t="shared" si="0"/>
        <v>0.31</v>
      </c>
      <c r="S50" s="869">
        <f t="shared" si="1"/>
        <v>1</v>
      </c>
      <c r="T50" s="926">
        <f t="shared" si="2"/>
        <v>0.31</v>
      </c>
      <c r="U50" s="933">
        <v>4</v>
      </c>
      <c r="V50" s="878">
        <v>5</v>
      </c>
      <c r="W50" s="878">
        <v>1</v>
      </c>
      <c r="X50" s="931">
        <v>1.25</v>
      </c>
      <c r="Y50" s="929">
        <v>1</v>
      </c>
    </row>
    <row r="51" spans="1:25" ht="14.4" customHeight="1" x14ac:dyDescent="0.3">
      <c r="A51" s="896" t="s">
        <v>3696</v>
      </c>
      <c r="B51" s="878">
        <v>2</v>
      </c>
      <c r="C51" s="879">
        <v>10.4</v>
      </c>
      <c r="D51" s="880">
        <v>7</v>
      </c>
      <c r="E51" s="863">
        <v>1</v>
      </c>
      <c r="F51" s="864">
        <v>4.79</v>
      </c>
      <c r="G51" s="865">
        <v>7</v>
      </c>
      <c r="H51" s="867"/>
      <c r="I51" s="861"/>
      <c r="J51" s="862"/>
      <c r="K51" s="866">
        <v>4.79</v>
      </c>
      <c r="L51" s="867">
        <v>5</v>
      </c>
      <c r="M51" s="867">
        <v>42</v>
      </c>
      <c r="N51" s="868">
        <v>14</v>
      </c>
      <c r="O51" s="867" t="s">
        <v>3607</v>
      </c>
      <c r="P51" s="882" t="s">
        <v>3697</v>
      </c>
      <c r="Q51" s="869">
        <f t="shared" si="0"/>
        <v>-2</v>
      </c>
      <c r="R51" s="926">
        <f t="shared" si="0"/>
        <v>-10.4</v>
      </c>
      <c r="S51" s="869">
        <f t="shared" si="1"/>
        <v>-1</v>
      </c>
      <c r="T51" s="926">
        <f t="shared" si="2"/>
        <v>-4.79</v>
      </c>
      <c r="U51" s="933" t="s">
        <v>554</v>
      </c>
      <c r="V51" s="878" t="s">
        <v>554</v>
      </c>
      <c r="W51" s="878" t="s">
        <v>554</v>
      </c>
      <c r="X51" s="931" t="s">
        <v>554</v>
      </c>
      <c r="Y51" s="929"/>
    </row>
    <row r="52" spans="1:25" ht="14.4" customHeight="1" x14ac:dyDescent="0.3">
      <c r="A52" s="897" t="s">
        <v>3698</v>
      </c>
      <c r="B52" s="504"/>
      <c r="C52" s="884"/>
      <c r="D52" s="883"/>
      <c r="E52" s="887">
        <v>1</v>
      </c>
      <c r="F52" s="888">
        <v>9.14</v>
      </c>
      <c r="G52" s="874">
        <v>18</v>
      </c>
      <c r="H52" s="890"/>
      <c r="I52" s="886"/>
      <c r="J52" s="873"/>
      <c r="K52" s="889">
        <v>9.14</v>
      </c>
      <c r="L52" s="890">
        <v>7</v>
      </c>
      <c r="M52" s="890">
        <v>66</v>
      </c>
      <c r="N52" s="891">
        <v>22</v>
      </c>
      <c r="O52" s="890" t="s">
        <v>3607</v>
      </c>
      <c r="P52" s="892" t="s">
        <v>3697</v>
      </c>
      <c r="Q52" s="893">
        <f t="shared" si="0"/>
        <v>0</v>
      </c>
      <c r="R52" s="927">
        <f t="shared" si="0"/>
        <v>0</v>
      </c>
      <c r="S52" s="893">
        <f t="shared" si="1"/>
        <v>-1</v>
      </c>
      <c r="T52" s="927">
        <f t="shared" si="2"/>
        <v>-9.14</v>
      </c>
      <c r="U52" s="934" t="s">
        <v>554</v>
      </c>
      <c r="V52" s="504" t="s">
        <v>554</v>
      </c>
      <c r="W52" s="504" t="s">
        <v>554</v>
      </c>
      <c r="X52" s="932" t="s">
        <v>554</v>
      </c>
      <c r="Y52" s="930"/>
    </row>
    <row r="53" spans="1:25" ht="14.4" customHeight="1" x14ac:dyDescent="0.3">
      <c r="A53" s="896" t="s">
        <v>3699</v>
      </c>
      <c r="B53" s="878">
        <v>1</v>
      </c>
      <c r="C53" s="879">
        <v>17.34</v>
      </c>
      <c r="D53" s="880">
        <v>13</v>
      </c>
      <c r="E53" s="863"/>
      <c r="F53" s="864"/>
      <c r="G53" s="865"/>
      <c r="H53" s="867"/>
      <c r="I53" s="861"/>
      <c r="J53" s="862"/>
      <c r="K53" s="866">
        <v>17.34</v>
      </c>
      <c r="L53" s="867">
        <v>7</v>
      </c>
      <c r="M53" s="867">
        <v>60</v>
      </c>
      <c r="N53" s="868">
        <v>20</v>
      </c>
      <c r="O53" s="867" t="s">
        <v>3607</v>
      </c>
      <c r="P53" s="882" t="s">
        <v>3700</v>
      </c>
      <c r="Q53" s="869">
        <f t="shared" si="0"/>
        <v>-1</v>
      </c>
      <c r="R53" s="926">
        <f t="shared" si="0"/>
        <v>-17.34</v>
      </c>
      <c r="S53" s="869">
        <f t="shared" si="1"/>
        <v>0</v>
      </c>
      <c r="T53" s="926">
        <f t="shared" si="2"/>
        <v>0</v>
      </c>
      <c r="U53" s="933" t="s">
        <v>554</v>
      </c>
      <c r="V53" s="878" t="s">
        <v>554</v>
      </c>
      <c r="W53" s="878" t="s">
        <v>554</v>
      </c>
      <c r="X53" s="931" t="s">
        <v>554</v>
      </c>
      <c r="Y53" s="929"/>
    </row>
    <row r="54" spans="1:25" ht="14.4" customHeight="1" x14ac:dyDescent="0.3">
      <c r="A54" s="897" t="s">
        <v>3701</v>
      </c>
      <c r="B54" s="504"/>
      <c r="C54" s="884"/>
      <c r="D54" s="883"/>
      <c r="E54" s="887">
        <v>1</v>
      </c>
      <c r="F54" s="888">
        <v>17.34</v>
      </c>
      <c r="G54" s="874">
        <v>25</v>
      </c>
      <c r="H54" s="890"/>
      <c r="I54" s="886"/>
      <c r="J54" s="873"/>
      <c r="K54" s="889">
        <v>17.34</v>
      </c>
      <c r="L54" s="890">
        <v>7</v>
      </c>
      <c r="M54" s="890">
        <v>60</v>
      </c>
      <c r="N54" s="891">
        <v>20</v>
      </c>
      <c r="O54" s="890" t="s">
        <v>3607</v>
      </c>
      <c r="P54" s="892" t="s">
        <v>3700</v>
      </c>
      <c r="Q54" s="893">
        <f t="shared" si="0"/>
        <v>0</v>
      </c>
      <c r="R54" s="927">
        <f t="shared" si="0"/>
        <v>0</v>
      </c>
      <c r="S54" s="893">
        <f t="shared" si="1"/>
        <v>-1</v>
      </c>
      <c r="T54" s="927">
        <f t="shared" si="2"/>
        <v>-17.34</v>
      </c>
      <c r="U54" s="934" t="s">
        <v>554</v>
      </c>
      <c r="V54" s="504" t="s">
        <v>554</v>
      </c>
      <c r="W54" s="504" t="s">
        <v>554</v>
      </c>
      <c r="X54" s="932" t="s">
        <v>554</v>
      </c>
      <c r="Y54" s="930"/>
    </row>
    <row r="55" spans="1:25" ht="14.4" customHeight="1" x14ac:dyDescent="0.3">
      <c r="A55" s="896" t="s">
        <v>3702</v>
      </c>
      <c r="B55" s="878"/>
      <c r="C55" s="879"/>
      <c r="D55" s="880"/>
      <c r="E55" s="863">
        <v>1</v>
      </c>
      <c r="F55" s="864">
        <v>16.940000000000001</v>
      </c>
      <c r="G55" s="865">
        <v>9</v>
      </c>
      <c r="H55" s="867"/>
      <c r="I55" s="861"/>
      <c r="J55" s="862"/>
      <c r="K55" s="866">
        <v>16.940000000000001</v>
      </c>
      <c r="L55" s="867">
        <v>5</v>
      </c>
      <c r="M55" s="867">
        <v>72</v>
      </c>
      <c r="N55" s="868">
        <v>24</v>
      </c>
      <c r="O55" s="867" t="s">
        <v>3607</v>
      </c>
      <c r="P55" s="882" t="s">
        <v>3703</v>
      </c>
      <c r="Q55" s="869">
        <f t="shared" si="0"/>
        <v>0</v>
      </c>
      <c r="R55" s="926">
        <f t="shared" si="0"/>
        <v>0</v>
      </c>
      <c r="S55" s="869">
        <f t="shared" si="1"/>
        <v>-1</v>
      </c>
      <c r="T55" s="926">
        <f t="shared" si="2"/>
        <v>-16.940000000000001</v>
      </c>
      <c r="U55" s="933" t="s">
        <v>554</v>
      </c>
      <c r="V55" s="878" t="s">
        <v>554</v>
      </c>
      <c r="W55" s="878" t="s">
        <v>554</v>
      </c>
      <c r="X55" s="931" t="s">
        <v>554</v>
      </c>
      <c r="Y55" s="929"/>
    </row>
    <row r="56" spans="1:25" ht="14.4" customHeight="1" thickBot="1" x14ac:dyDescent="0.35">
      <c r="A56" s="913" t="s">
        <v>3704</v>
      </c>
      <c r="B56" s="914">
        <v>1</v>
      </c>
      <c r="C56" s="915">
        <v>0.89</v>
      </c>
      <c r="D56" s="916">
        <v>8</v>
      </c>
      <c r="E56" s="917"/>
      <c r="F56" s="918"/>
      <c r="G56" s="919"/>
      <c r="H56" s="920"/>
      <c r="I56" s="918"/>
      <c r="J56" s="919"/>
      <c r="K56" s="921">
        <v>0.89</v>
      </c>
      <c r="L56" s="920">
        <v>3</v>
      </c>
      <c r="M56" s="920">
        <v>24</v>
      </c>
      <c r="N56" s="922">
        <v>8</v>
      </c>
      <c r="O56" s="920" t="s">
        <v>3607</v>
      </c>
      <c r="P56" s="923" t="s">
        <v>3705</v>
      </c>
      <c r="Q56" s="924">
        <f t="shared" si="0"/>
        <v>-1</v>
      </c>
      <c r="R56" s="928">
        <f t="shared" si="0"/>
        <v>-0.89</v>
      </c>
      <c r="S56" s="924">
        <f t="shared" si="1"/>
        <v>0</v>
      </c>
      <c r="T56" s="928">
        <f t="shared" si="2"/>
        <v>0</v>
      </c>
      <c r="U56" s="938" t="s">
        <v>554</v>
      </c>
      <c r="V56" s="939" t="s">
        <v>554</v>
      </c>
      <c r="W56" s="939" t="s">
        <v>554</v>
      </c>
      <c r="X56" s="940" t="s">
        <v>554</v>
      </c>
      <c r="Y56" s="941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57:Q1048576">
    <cfRule type="cellIs" dxfId="13" priority="10" stopIfTrue="1" operator="lessThan">
      <formula>0</formula>
    </cfRule>
  </conditionalFormatting>
  <conditionalFormatting sqref="W57:W1048576">
    <cfRule type="cellIs" dxfId="12" priority="9" stopIfTrue="1" operator="greaterThan">
      <formula>0</formula>
    </cfRule>
  </conditionalFormatting>
  <conditionalFormatting sqref="X57:X1048576">
    <cfRule type="cellIs" dxfId="11" priority="8" stopIfTrue="1" operator="greaterThan">
      <formula>1</formula>
    </cfRule>
  </conditionalFormatting>
  <conditionalFormatting sqref="X57:X1048576">
    <cfRule type="cellIs" dxfId="10" priority="5" stopIfTrue="1" operator="greaterThan">
      <formula>1</formula>
    </cfRule>
  </conditionalFormatting>
  <conditionalFormatting sqref="W57:W1048576">
    <cfRule type="cellIs" dxfId="9" priority="6" stopIfTrue="1" operator="greaterThan">
      <formula>0</formula>
    </cfRule>
  </conditionalFormatting>
  <conditionalFormatting sqref="Q57:Q1048576">
    <cfRule type="cellIs" dxfId="8" priority="7" stopIfTrue="1" operator="lessThan">
      <formula>0</formula>
    </cfRule>
  </conditionalFormatting>
  <conditionalFormatting sqref="Q5:Q56">
    <cfRule type="cellIs" dxfId="7" priority="4" stopIfTrue="1" operator="lessThan">
      <formula>0</formula>
    </cfRule>
  </conditionalFormatting>
  <conditionalFormatting sqref="X5:X56">
    <cfRule type="cellIs" dxfId="6" priority="2" stopIfTrue="1" operator="greaterThan">
      <formula>1</formula>
    </cfRule>
  </conditionalFormatting>
  <conditionalFormatting sqref="W5:W56">
    <cfRule type="cellIs" dxfId="5" priority="3" stopIfTrue="1" operator="greaterThan">
      <formula>0</formula>
    </cfRule>
  </conditionalFormatting>
  <conditionalFormatting sqref="S5:S56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37" t="s">
        <v>175</v>
      </c>
      <c r="B1" s="537"/>
      <c r="C1" s="537"/>
      <c r="D1" s="537"/>
      <c r="E1" s="537"/>
      <c r="F1" s="537"/>
      <c r="G1" s="537"/>
      <c r="H1" s="537"/>
      <c r="I1" s="537"/>
      <c r="J1" s="537"/>
    </row>
    <row r="2" spans="1:10" ht="14.4" customHeight="1" thickBot="1" x14ac:dyDescent="0.35">
      <c r="A2" s="374" t="s">
        <v>323</v>
      </c>
      <c r="B2" s="220"/>
      <c r="C2" s="220"/>
      <c r="D2" s="220"/>
      <c r="E2" s="220"/>
      <c r="F2" s="220"/>
    </row>
    <row r="3" spans="1:10" ht="14.4" customHeight="1" x14ac:dyDescent="0.3">
      <c r="A3" s="528"/>
      <c r="B3" s="216">
        <v>2015</v>
      </c>
      <c r="C3" s="44">
        <v>2016</v>
      </c>
      <c r="D3" s="11"/>
      <c r="E3" s="532">
        <v>2017</v>
      </c>
      <c r="F3" s="533"/>
      <c r="G3" s="533"/>
      <c r="H3" s="534"/>
      <c r="I3" s="535">
        <v>2017</v>
      </c>
      <c r="J3" s="536"/>
    </row>
    <row r="4" spans="1:10" ht="14.4" customHeight="1" thickBot="1" x14ac:dyDescent="0.35">
      <c r="A4" s="529"/>
      <c r="B4" s="530" t="s">
        <v>94</v>
      </c>
      <c r="C4" s="531"/>
      <c r="D4" s="11"/>
      <c r="E4" s="237" t="s">
        <v>94</v>
      </c>
      <c r="F4" s="218" t="s">
        <v>95</v>
      </c>
      <c r="G4" s="218" t="s">
        <v>69</v>
      </c>
      <c r="H4" s="219" t="s">
        <v>96</v>
      </c>
      <c r="I4" s="475" t="s">
        <v>310</v>
      </c>
      <c r="J4" s="476" t="s">
        <v>311</v>
      </c>
    </row>
    <row r="5" spans="1:10" ht="14.4" customHeight="1" x14ac:dyDescent="0.3">
      <c r="A5" s="221" t="str">
        <f>HYPERLINK("#'Léky Žádanky'!A1","Léky (Kč)")</f>
        <v>Léky (Kč)</v>
      </c>
      <c r="B5" s="31">
        <v>1291.8567</v>
      </c>
      <c r="C5" s="33">
        <v>1579.2912799999999</v>
      </c>
      <c r="D5" s="12"/>
      <c r="E5" s="226">
        <v>1937.9864900000007</v>
      </c>
      <c r="F5" s="32">
        <v>1745.7091648349806</v>
      </c>
      <c r="G5" s="225">
        <f>E5-F5</f>
        <v>192.2773251650201</v>
      </c>
      <c r="H5" s="231">
        <f>IF(F5&lt;0.00000001,"",E5/F5)</f>
        <v>1.1101428170500529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15121.914920000012</v>
      </c>
      <c r="C6" s="35">
        <v>14806.603190000002</v>
      </c>
      <c r="D6" s="12"/>
      <c r="E6" s="227">
        <v>13487.941090000011</v>
      </c>
      <c r="F6" s="34">
        <v>15105.303795199521</v>
      </c>
      <c r="G6" s="228">
        <f>E6-F6</f>
        <v>-1617.3627051995099</v>
      </c>
      <c r="H6" s="232">
        <f>IF(F6&lt;0.00000001,"",E6/F6)</f>
        <v>0.89292749572415031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13088.706820000007</v>
      </c>
      <c r="C7" s="35">
        <v>13801.744780000001</v>
      </c>
      <c r="D7" s="12"/>
      <c r="E7" s="227">
        <v>15167.711170000006</v>
      </c>
      <c r="F7" s="34">
        <v>15276</v>
      </c>
      <c r="G7" s="228">
        <f>E7-F7</f>
        <v>-108.28882999999405</v>
      </c>
      <c r="H7" s="232">
        <f>IF(F7&lt;0.00000001,"",E7/F7)</f>
        <v>0.99291117897355363</v>
      </c>
    </row>
    <row r="8" spans="1:10" ht="14.4" customHeight="1" thickBot="1" x14ac:dyDescent="0.35">
      <c r="A8" s="1" t="s">
        <v>97</v>
      </c>
      <c r="B8" s="15">
        <v>4873.8529900000085</v>
      </c>
      <c r="C8" s="37">
        <v>4752.8995699999978</v>
      </c>
      <c r="D8" s="12"/>
      <c r="E8" s="229">
        <v>4505.0286699999888</v>
      </c>
      <c r="F8" s="36">
        <v>4441.1418491476434</v>
      </c>
      <c r="G8" s="230">
        <f>E8-F8</f>
        <v>63.886820852345409</v>
      </c>
      <c r="H8" s="233">
        <f>IF(F8&lt;0.00000001,"",E8/F8)</f>
        <v>1.0143852241208209</v>
      </c>
    </row>
    <row r="9" spans="1:10" ht="14.4" customHeight="1" thickBot="1" x14ac:dyDescent="0.35">
      <c r="A9" s="2" t="s">
        <v>98</v>
      </c>
      <c r="B9" s="3">
        <v>34376.331430000027</v>
      </c>
      <c r="C9" s="39">
        <v>34940.538820000002</v>
      </c>
      <c r="D9" s="12"/>
      <c r="E9" s="3">
        <v>35098.667420000012</v>
      </c>
      <c r="F9" s="38">
        <v>36568.154809182146</v>
      </c>
      <c r="G9" s="38">
        <f>E9-F9</f>
        <v>-1469.4873891821335</v>
      </c>
      <c r="H9" s="234">
        <f>IF(F9&lt;0.00000001,"",E9/F9)</f>
        <v>0.95981510697353667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497.40600000000001</v>
      </c>
      <c r="C11" s="33">
        <f>IF(ISERROR(VLOOKUP("Celkem:",'ZV Vykáz.-A'!A:H,5,0)),0,VLOOKUP("Celkem:",'ZV Vykáz.-A'!A:H,5,0)/1000)</f>
        <v>578.12660000000017</v>
      </c>
      <c r="D11" s="12"/>
      <c r="E11" s="226">
        <f>IF(ISERROR(VLOOKUP("Celkem:",'ZV Vykáz.-A'!A:H,8,0)),0,VLOOKUP("Celkem:",'ZV Vykáz.-A'!A:H,8,0)/1000)</f>
        <v>621.32059000000004</v>
      </c>
      <c r="F11" s="32">
        <f>C11</f>
        <v>578.12660000000017</v>
      </c>
      <c r="G11" s="225">
        <f>E11-F11</f>
        <v>43.193989999999872</v>
      </c>
      <c r="H11" s="231">
        <f>IF(F11&lt;0.00000001,"",E11/F11)</f>
        <v>1.0747137218733749</v>
      </c>
      <c r="I11" s="225">
        <f>E11-B11</f>
        <v>123.91459000000003</v>
      </c>
      <c r="J11" s="231">
        <f>IF(B11&lt;0.00000001,"",E11/B11)</f>
        <v>1.2491216229800204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40746.030000000006</v>
      </c>
      <c r="C12" s="37">
        <f>IF(ISERROR(VLOOKUP("Celkem",CaseMix!A:D,3,0)),0,VLOOKUP("Celkem",CaseMix!A:D,3,0)*30)</f>
        <v>36322.5</v>
      </c>
      <c r="D12" s="12"/>
      <c r="E12" s="229">
        <f>IF(ISERROR(VLOOKUP("Celkem",CaseMix!A:D,4,0)),0,VLOOKUP("Celkem",CaseMix!A:D,4,0)*30)</f>
        <v>34571.879999999997</v>
      </c>
      <c r="F12" s="36">
        <f>C12</f>
        <v>36322.5</v>
      </c>
      <c r="G12" s="230">
        <f>E12-F12</f>
        <v>-1750.6200000000026</v>
      </c>
      <c r="H12" s="233">
        <f>IF(F12&lt;0.00000001,"",E12/F12)</f>
        <v>0.95180342762750358</v>
      </c>
      <c r="I12" s="230">
        <f>E12-B12</f>
        <v>-6174.1500000000087</v>
      </c>
      <c r="J12" s="233">
        <f>IF(B12&lt;0.00000001,"",E12/B12)</f>
        <v>0.84847235423917355</v>
      </c>
    </row>
    <row r="13" spans="1:10" ht="14.4" customHeight="1" thickBot="1" x14ac:dyDescent="0.35">
      <c r="A13" s="4" t="s">
        <v>101</v>
      </c>
      <c r="B13" s="9">
        <f>SUM(B11:B12)</f>
        <v>41243.436000000009</v>
      </c>
      <c r="C13" s="41">
        <f>SUM(C11:C12)</f>
        <v>36900.626600000003</v>
      </c>
      <c r="D13" s="12"/>
      <c r="E13" s="9">
        <f>SUM(E11:E12)</f>
        <v>35193.20059</v>
      </c>
      <c r="F13" s="40">
        <f>SUM(F11:F12)</f>
        <v>36900.626600000003</v>
      </c>
      <c r="G13" s="40">
        <f>E13-F13</f>
        <v>-1707.4260100000029</v>
      </c>
      <c r="H13" s="235">
        <f>IF(F13&lt;0.00000001,"",E13/F13)</f>
        <v>0.95372907813982755</v>
      </c>
      <c r="I13" s="40">
        <f>SUM(I11:I12)</f>
        <v>-6050.2354100000084</v>
      </c>
      <c r="J13" s="235">
        <f>IF(B13&lt;0.00000001,"",E13/B13)</f>
        <v>0.8533042831348967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1.1997625774577882</v>
      </c>
      <c r="C15" s="43">
        <f>IF(C9=0,"",C13/C9)</f>
        <v>1.0560978120600146</v>
      </c>
      <c r="D15" s="12"/>
      <c r="E15" s="10">
        <f>IF(E9=0,"",E13/E9)</f>
        <v>1.0026933549604258</v>
      </c>
      <c r="F15" s="42">
        <f>IF(F9=0,"",F13/F9)</f>
        <v>1.0090918394037858</v>
      </c>
      <c r="G15" s="42">
        <f>IF(ISERROR(F15-E15),"",E15-F15)</f>
        <v>-6.3984844433599974E-3</v>
      </c>
      <c r="H15" s="236">
        <f>IF(ISERROR(F15-E15),"",IF(F15&lt;0.00000001,"",E15/F15))</f>
        <v>0.9936591654064505</v>
      </c>
    </row>
    <row r="17" spans="1:8" ht="14.4" customHeight="1" x14ac:dyDescent="0.3">
      <c r="A17" s="222" t="s">
        <v>202</v>
      </c>
    </row>
    <row r="18" spans="1:8" ht="14.4" customHeight="1" x14ac:dyDescent="0.3">
      <c r="A18" s="413" t="s">
        <v>239</v>
      </c>
      <c r="B18" s="414"/>
      <c r="C18" s="414"/>
      <c r="D18" s="414"/>
      <c r="E18" s="414"/>
      <c r="F18" s="414"/>
      <c r="G18" s="414"/>
      <c r="H18" s="414"/>
    </row>
    <row r="19" spans="1:8" x14ac:dyDescent="0.3">
      <c r="A19" s="412" t="s">
        <v>238</v>
      </c>
      <c r="B19" s="414"/>
      <c r="C19" s="414"/>
      <c r="D19" s="414"/>
      <c r="E19" s="414"/>
      <c r="F19" s="414"/>
      <c r="G19" s="414"/>
      <c r="H19" s="414"/>
    </row>
    <row r="20" spans="1:8" ht="14.4" customHeight="1" x14ac:dyDescent="0.3">
      <c r="A20" s="223" t="s">
        <v>266</v>
      </c>
    </row>
    <row r="21" spans="1:8" ht="14.4" customHeight="1" x14ac:dyDescent="0.3">
      <c r="A21" s="223" t="s">
        <v>203</v>
      </c>
    </row>
    <row r="22" spans="1:8" ht="14.4" customHeight="1" x14ac:dyDescent="0.3">
      <c r="A22" s="224" t="s">
        <v>309</v>
      </c>
    </row>
    <row r="23" spans="1:8" ht="14.4" customHeight="1" x14ac:dyDescent="0.3">
      <c r="A23" s="224" t="s">
        <v>204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6" priority="8" operator="greaterThan">
      <formula>0</formula>
    </cfRule>
  </conditionalFormatting>
  <conditionalFormatting sqref="G11:G13 G15">
    <cfRule type="cellIs" dxfId="85" priority="7" operator="lessThan">
      <formula>0</formula>
    </cfRule>
  </conditionalFormatting>
  <conditionalFormatting sqref="H5:H9">
    <cfRule type="cellIs" dxfId="84" priority="6" operator="greaterThan">
      <formula>1</formula>
    </cfRule>
  </conditionalFormatting>
  <conditionalFormatting sqref="H11:H13 H15">
    <cfRule type="cellIs" dxfId="83" priority="5" operator="lessThan">
      <formula>1</formula>
    </cfRule>
  </conditionalFormatting>
  <conditionalFormatting sqref="I11:I13">
    <cfRule type="cellIs" dxfId="82" priority="4" operator="lessThan">
      <formula>0</formula>
    </cfRule>
  </conditionalFormatting>
  <conditionalFormatting sqref="J11:J13">
    <cfRule type="cellIs" dxfId="81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38" t="s">
        <v>158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</row>
    <row r="2" spans="1:13" ht="14.4" customHeight="1" thickBot="1" x14ac:dyDescent="0.35">
      <c r="A2" s="374" t="s">
        <v>323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159</v>
      </c>
      <c r="B3" s="343">
        <f>SUBTOTAL(9,B6:B1048576)</f>
        <v>3159151</v>
      </c>
      <c r="C3" s="344">
        <f t="shared" ref="C3:L3" si="0">SUBTOTAL(9,C6:C1048576)</f>
        <v>7.8517607971079393</v>
      </c>
      <c r="D3" s="344">
        <f t="shared" si="0"/>
        <v>3786044</v>
      </c>
      <c r="E3" s="344">
        <f t="shared" si="0"/>
        <v>9</v>
      </c>
      <c r="F3" s="344">
        <f t="shared" si="0"/>
        <v>3473579</v>
      </c>
      <c r="G3" s="347">
        <f>IF(D3&lt;&gt;0,F3/D3,"")</f>
        <v>0.9174692634316981</v>
      </c>
      <c r="H3" s="343">
        <f t="shared" si="0"/>
        <v>1418982.0000000002</v>
      </c>
      <c r="I3" s="344">
        <f t="shared" si="0"/>
        <v>0.52713421184106901</v>
      </c>
      <c r="J3" s="344">
        <f t="shared" si="0"/>
        <v>2701751.3400000008</v>
      </c>
      <c r="K3" s="344">
        <f t="shared" si="0"/>
        <v>2</v>
      </c>
      <c r="L3" s="344">
        <f t="shared" si="0"/>
        <v>1791891.8899999997</v>
      </c>
      <c r="M3" s="345">
        <f>IF(J3&lt;&gt;0,L3/J3,"")</f>
        <v>0.66323346026359298</v>
      </c>
    </row>
    <row r="4" spans="1:13" ht="14.4" customHeight="1" x14ac:dyDescent="0.3">
      <c r="A4" s="671" t="s">
        <v>118</v>
      </c>
      <c r="B4" s="603" t="s">
        <v>123</v>
      </c>
      <c r="C4" s="604"/>
      <c r="D4" s="604"/>
      <c r="E4" s="604"/>
      <c r="F4" s="604"/>
      <c r="G4" s="606"/>
      <c r="H4" s="603" t="s">
        <v>124</v>
      </c>
      <c r="I4" s="604"/>
      <c r="J4" s="604"/>
      <c r="K4" s="604"/>
      <c r="L4" s="604"/>
      <c r="M4" s="606"/>
    </row>
    <row r="5" spans="1:13" s="330" customFormat="1" ht="14.4" customHeight="1" thickBot="1" x14ac:dyDescent="0.35">
      <c r="A5" s="942"/>
      <c r="B5" s="943">
        <v>2015</v>
      </c>
      <c r="C5" s="944"/>
      <c r="D5" s="944">
        <v>2016</v>
      </c>
      <c r="E5" s="944"/>
      <c r="F5" s="944">
        <v>2017</v>
      </c>
      <c r="G5" s="855" t="s">
        <v>2</v>
      </c>
      <c r="H5" s="943">
        <v>2015</v>
      </c>
      <c r="I5" s="944"/>
      <c r="J5" s="944">
        <v>2016</v>
      </c>
      <c r="K5" s="944"/>
      <c r="L5" s="944">
        <v>2017</v>
      </c>
      <c r="M5" s="855" t="s">
        <v>2</v>
      </c>
    </row>
    <row r="6" spans="1:13" ht="14.4" customHeight="1" x14ac:dyDescent="0.3">
      <c r="A6" s="814" t="s">
        <v>3043</v>
      </c>
      <c r="B6" s="837"/>
      <c r="C6" s="800"/>
      <c r="D6" s="837"/>
      <c r="E6" s="800"/>
      <c r="F6" s="837">
        <v>0</v>
      </c>
      <c r="G6" s="805"/>
      <c r="H6" s="837"/>
      <c r="I6" s="800"/>
      <c r="J6" s="837"/>
      <c r="K6" s="800"/>
      <c r="L6" s="837"/>
      <c r="M6" s="231"/>
    </row>
    <row r="7" spans="1:13" ht="14.4" customHeight="1" x14ac:dyDescent="0.3">
      <c r="A7" s="751" t="s">
        <v>1885</v>
      </c>
      <c r="B7" s="839">
        <v>165437</v>
      </c>
      <c r="C7" s="725">
        <v>1.2335734311620139</v>
      </c>
      <c r="D7" s="839">
        <v>134112</v>
      </c>
      <c r="E7" s="725">
        <v>1</v>
      </c>
      <c r="F7" s="839">
        <v>146581</v>
      </c>
      <c r="G7" s="741">
        <v>1.0929745287520878</v>
      </c>
      <c r="H7" s="839"/>
      <c r="I7" s="725"/>
      <c r="J7" s="839"/>
      <c r="K7" s="725"/>
      <c r="L7" s="839"/>
      <c r="M7" s="764"/>
    </row>
    <row r="8" spans="1:13" ht="14.4" customHeight="1" x14ac:dyDescent="0.3">
      <c r="A8" s="751" t="s">
        <v>3707</v>
      </c>
      <c r="B8" s="839"/>
      <c r="C8" s="725"/>
      <c r="D8" s="839">
        <v>19498</v>
      </c>
      <c r="E8" s="725">
        <v>1</v>
      </c>
      <c r="F8" s="839">
        <v>14507</v>
      </c>
      <c r="G8" s="741">
        <v>0.7440250282080213</v>
      </c>
      <c r="H8" s="839"/>
      <c r="I8" s="725"/>
      <c r="J8" s="839">
        <v>9871.42</v>
      </c>
      <c r="K8" s="725">
        <v>1</v>
      </c>
      <c r="L8" s="839">
        <v>9270.5700000000015</v>
      </c>
      <c r="M8" s="764">
        <v>0.93913236393548261</v>
      </c>
    </row>
    <row r="9" spans="1:13" ht="14.4" customHeight="1" x14ac:dyDescent="0.3">
      <c r="A9" s="751" t="s">
        <v>3062</v>
      </c>
      <c r="B9" s="839">
        <v>41084</v>
      </c>
      <c r="C9" s="725">
        <v>1.0223969739199681</v>
      </c>
      <c r="D9" s="839">
        <v>40184</v>
      </c>
      <c r="E9" s="725">
        <v>1</v>
      </c>
      <c r="F9" s="839">
        <v>80425</v>
      </c>
      <c r="G9" s="741">
        <v>2.0014184750149315</v>
      </c>
      <c r="H9" s="839"/>
      <c r="I9" s="725"/>
      <c r="J9" s="839"/>
      <c r="K9" s="725"/>
      <c r="L9" s="839"/>
      <c r="M9" s="764"/>
    </row>
    <row r="10" spans="1:13" ht="14.4" customHeight="1" x14ac:dyDescent="0.3">
      <c r="A10" s="751" t="s">
        <v>3708</v>
      </c>
      <c r="B10" s="839">
        <v>203731</v>
      </c>
      <c r="C10" s="725">
        <v>0.94061239000156971</v>
      </c>
      <c r="D10" s="839">
        <v>216594</v>
      </c>
      <c r="E10" s="725">
        <v>1</v>
      </c>
      <c r="F10" s="839">
        <v>231431</v>
      </c>
      <c r="G10" s="741">
        <v>1.0685014358661828</v>
      </c>
      <c r="H10" s="839"/>
      <c r="I10" s="725"/>
      <c r="J10" s="839"/>
      <c r="K10" s="725"/>
      <c r="L10" s="839"/>
      <c r="M10" s="764"/>
    </row>
    <row r="11" spans="1:13" ht="14.4" customHeight="1" x14ac:dyDescent="0.3">
      <c r="A11" s="751" t="s">
        <v>3709</v>
      </c>
      <c r="B11" s="839">
        <v>1393498</v>
      </c>
      <c r="C11" s="725">
        <v>0.78116698161914533</v>
      </c>
      <c r="D11" s="839">
        <v>1783867</v>
      </c>
      <c r="E11" s="725">
        <v>1</v>
      </c>
      <c r="F11" s="839">
        <v>1502644</v>
      </c>
      <c r="G11" s="741">
        <v>0.84235203633454736</v>
      </c>
      <c r="H11" s="839">
        <v>1418982.0000000002</v>
      </c>
      <c r="I11" s="725">
        <v>0.52713421184106901</v>
      </c>
      <c r="J11" s="839">
        <v>2691879.9200000009</v>
      </c>
      <c r="K11" s="725">
        <v>1</v>
      </c>
      <c r="L11" s="839">
        <v>1782621.3199999996</v>
      </c>
      <c r="M11" s="764">
        <v>0.66222170861172702</v>
      </c>
    </row>
    <row r="12" spans="1:13" ht="14.4" customHeight="1" x14ac:dyDescent="0.3">
      <c r="A12" s="751" t="s">
        <v>3710</v>
      </c>
      <c r="B12" s="839">
        <v>225413</v>
      </c>
      <c r="C12" s="725">
        <v>1.2199059416925084</v>
      </c>
      <c r="D12" s="839">
        <v>184779</v>
      </c>
      <c r="E12" s="725">
        <v>1</v>
      </c>
      <c r="F12" s="839">
        <v>149743</v>
      </c>
      <c r="G12" s="741">
        <v>0.81038970878725392</v>
      </c>
      <c r="H12" s="839"/>
      <c r="I12" s="725"/>
      <c r="J12" s="839"/>
      <c r="K12" s="725"/>
      <c r="L12" s="839"/>
      <c r="M12" s="764"/>
    </row>
    <row r="13" spans="1:13" ht="14.4" customHeight="1" x14ac:dyDescent="0.3">
      <c r="A13" s="751" t="s">
        <v>3711</v>
      </c>
      <c r="B13" s="839">
        <v>213981</v>
      </c>
      <c r="C13" s="725">
        <v>0.97893277703055093</v>
      </c>
      <c r="D13" s="839">
        <v>218586</v>
      </c>
      <c r="E13" s="725">
        <v>1</v>
      </c>
      <c r="F13" s="839">
        <v>289193</v>
      </c>
      <c r="G13" s="741">
        <v>1.3230170276229951</v>
      </c>
      <c r="H13" s="839"/>
      <c r="I13" s="725"/>
      <c r="J13" s="839"/>
      <c r="K13" s="725"/>
      <c r="L13" s="839"/>
      <c r="M13" s="764"/>
    </row>
    <row r="14" spans="1:13" ht="14.4" customHeight="1" x14ac:dyDescent="0.3">
      <c r="A14" s="751" t="s">
        <v>3712</v>
      </c>
      <c r="B14" s="839">
        <v>111967</v>
      </c>
      <c r="C14" s="725">
        <v>0.92156943438467109</v>
      </c>
      <c r="D14" s="839">
        <v>121496</v>
      </c>
      <c r="E14" s="725">
        <v>1</v>
      </c>
      <c r="F14" s="839">
        <v>126304</v>
      </c>
      <c r="G14" s="741">
        <v>1.0395733192862318</v>
      </c>
      <c r="H14" s="839"/>
      <c r="I14" s="725"/>
      <c r="J14" s="839"/>
      <c r="K14" s="725"/>
      <c r="L14" s="839"/>
      <c r="M14" s="764"/>
    </row>
    <row r="15" spans="1:13" ht="14.4" customHeight="1" thickBot="1" x14ac:dyDescent="0.35">
      <c r="A15" s="843" t="s">
        <v>3713</v>
      </c>
      <c r="B15" s="841">
        <v>804040</v>
      </c>
      <c r="C15" s="731">
        <v>0.75360286729751214</v>
      </c>
      <c r="D15" s="841">
        <v>1066928</v>
      </c>
      <c r="E15" s="731">
        <v>1</v>
      </c>
      <c r="F15" s="841">
        <v>932751</v>
      </c>
      <c r="G15" s="742">
        <v>0.87423987373093592</v>
      </c>
      <c r="H15" s="841"/>
      <c r="I15" s="731"/>
      <c r="J15" s="841"/>
      <c r="K15" s="731"/>
      <c r="L15" s="841"/>
      <c r="M15" s="765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276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38" t="s">
        <v>4245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7" ht="14.4" customHeight="1" thickBot="1" x14ac:dyDescent="0.35">
      <c r="A2" s="374" t="s">
        <v>323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159</v>
      </c>
      <c r="F3" s="207">
        <f t="shared" ref="F3:O3" si="0">SUBTOTAL(9,F6:F1048576)</f>
        <v>10232.5</v>
      </c>
      <c r="G3" s="211">
        <f t="shared" si="0"/>
        <v>4578133</v>
      </c>
      <c r="H3" s="212"/>
      <c r="I3" s="212"/>
      <c r="J3" s="207">
        <f t="shared" si="0"/>
        <v>11475.67</v>
      </c>
      <c r="K3" s="211">
        <f t="shared" si="0"/>
        <v>6487795.3400000008</v>
      </c>
      <c r="L3" s="212"/>
      <c r="M3" s="212"/>
      <c r="N3" s="207">
        <f t="shared" si="0"/>
        <v>10726.52</v>
      </c>
      <c r="O3" s="211">
        <f t="shared" si="0"/>
        <v>5265470.8899999997</v>
      </c>
      <c r="P3" s="177">
        <f>IF(K3=0,"",O3/K3)</f>
        <v>0.81159633034910117</v>
      </c>
      <c r="Q3" s="209">
        <f>IF(N3=0,"",O3/N3)</f>
        <v>490.88342631160896</v>
      </c>
    </row>
    <row r="4" spans="1:17" ht="14.4" customHeight="1" x14ac:dyDescent="0.3">
      <c r="A4" s="611" t="s">
        <v>74</v>
      </c>
      <c r="B4" s="609" t="s">
        <v>119</v>
      </c>
      <c r="C4" s="611" t="s">
        <v>120</v>
      </c>
      <c r="D4" s="620" t="s">
        <v>90</v>
      </c>
      <c r="E4" s="612" t="s">
        <v>11</v>
      </c>
      <c r="F4" s="618">
        <v>2015</v>
      </c>
      <c r="G4" s="619"/>
      <c r="H4" s="210"/>
      <c r="I4" s="210"/>
      <c r="J4" s="618">
        <v>2016</v>
      </c>
      <c r="K4" s="619"/>
      <c r="L4" s="210"/>
      <c r="M4" s="210"/>
      <c r="N4" s="618">
        <v>2017</v>
      </c>
      <c r="O4" s="619"/>
      <c r="P4" s="621" t="s">
        <v>2</v>
      </c>
      <c r="Q4" s="610" t="s">
        <v>122</v>
      </c>
    </row>
    <row r="5" spans="1:17" ht="14.4" customHeight="1" thickBot="1" x14ac:dyDescent="0.35">
      <c r="A5" s="846"/>
      <c r="B5" s="844"/>
      <c r="C5" s="846"/>
      <c r="D5" s="856"/>
      <c r="E5" s="848"/>
      <c r="F5" s="857" t="s">
        <v>91</v>
      </c>
      <c r="G5" s="858" t="s">
        <v>14</v>
      </c>
      <c r="H5" s="859"/>
      <c r="I5" s="859"/>
      <c r="J5" s="857" t="s">
        <v>91</v>
      </c>
      <c r="K5" s="858" t="s">
        <v>14</v>
      </c>
      <c r="L5" s="859"/>
      <c r="M5" s="859"/>
      <c r="N5" s="857" t="s">
        <v>91</v>
      </c>
      <c r="O5" s="858" t="s">
        <v>14</v>
      </c>
      <c r="P5" s="860"/>
      <c r="Q5" s="853"/>
    </row>
    <row r="6" spans="1:17" ht="14.4" customHeight="1" x14ac:dyDescent="0.3">
      <c r="A6" s="799" t="s">
        <v>3065</v>
      </c>
      <c r="B6" s="800" t="s">
        <v>3714</v>
      </c>
      <c r="C6" s="800" t="s">
        <v>2989</v>
      </c>
      <c r="D6" s="800" t="s">
        <v>3715</v>
      </c>
      <c r="E6" s="800" t="s">
        <v>3716</v>
      </c>
      <c r="F6" s="225"/>
      <c r="G6" s="225"/>
      <c r="H6" s="225"/>
      <c r="I6" s="225"/>
      <c r="J6" s="225"/>
      <c r="K6" s="225"/>
      <c r="L6" s="225"/>
      <c r="M6" s="225"/>
      <c r="N6" s="225">
        <v>0</v>
      </c>
      <c r="O6" s="225">
        <v>0</v>
      </c>
      <c r="P6" s="805"/>
      <c r="Q6" s="813"/>
    </row>
    <row r="7" spans="1:17" ht="14.4" customHeight="1" x14ac:dyDescent="0.3">
      <c r="A7" s="724" t="s">
        <v>552</v>
      </c>
      <c r="B7" s="725" t="s">
        <v>3582</v>
      </c>
      <c r="C7" s="725" t="s">
        <v>2989</v>
      </c>
      <c r="D7" s="725" t="s">
        <v>3583</v>
      </c>
      <c r="E7" s="725" t="s">
        <v>3584</v>
      </c>
      <c r="F7" s="728">
        <v>220</v>
      </c>
      <c r="G7" s="728">
        <v>165437</v>
      </c>
      <c r="H7" s="728">
        <v>1.2335734311620139</v>
      </c>
      <c r="I7" s="728">
        <v>751.98636363636365</v>
      </c>
      <c r="J7" s="728">
        <v>168</v>
      </c>
      <c r="K7" s="728">
        <v>134112</v>
      </c>
      <c r="L7" s="728">
        <v>1</v>
      </c>
      <c r="M7" s="728">
        <v>798.28571428571433</v>
      </c>
      <c r="N7" s="728">
        <v>183</v>
      </c>
      <c r="O7" s="728">
        <v>146581</v>
      </c>
      <c r="P7" s="741">
        <v>1.0929745287520878</v>
      </c>
      <c r="Q7" s="729">
        <v>800.98907103825138</v>
      </c>
    </row>
    <row r="8" spans="1:17" ht="14.4" customHeight="1" x14ac:dyDescent="0.3">
      <c r="A8" s="724" t="s">
        <v>3717</v>
      </c>
      <c r="B8" s="725" t="s">
        <v>3718</v>
      </c>
      <c r="C8" s="725" t="s">
        <v>2983</v>
      </c>
      <c r="D8" s="725" t="s">
        <v>3719</v>
      </c>
      <c r="E8" s="725" t="s">
        <v>3720</v>
      </c>
      <c r="F8" s="728"/>
      <c r="G8" s="728"/>
      <c r="H8" s="728"/>
      <c r="I8" s="728"/>
      <c r="J8" s="728"/>
      <c r="K8" s="728"/>
      <c r="L8" s="728"/>
      <c r="M8" s="728"/>
      <c r="N8" s="728">
        <v>0.45</v>
      </c>
      <c r="O8" s="728">
        <v>904.34</v>
      </c>
      <c r="P8" s="741"/>
      <c r="Q8" s="729">
        <v>2009.6444444444444</v>
      </c>
    </row>
    <row r="9" spans="1:17" ht="14.4" customHeight="1" x14ac:dyDescent="0.3">
      <c r="A9" s="724" t="s">
        <v>3717</v>
      </c>
      <c r="B9" s="725" t="s">
        <v>3718</v>
      </c>
      <c r="C9" s="725" t="s">
        <v>2983</v>
      </c>
      <c r="D9" s="725" t="s">
        <v>3721</v>
      </c>
      <c r="E9" s="725" t="s">
        <v>3722</v>
      </c>
      <c r="F9" s="728"/>
      <c r="G9" s="728"/>
      <c r="H9" s="728"/>
      <c r="I9" s="728"/>
      <c r="J9" s="728">
        <v>0.02</v>
      </c>
      <c r="K9" s="728">
        <v>177.08</v>
      </c>
      <c r="L9" s="728">
        <v>1</v>
      </c>
      <c r="M9" s="728">
        <v>8854</v>
      </c>
      <c r="N9" s="728"/>
      <c r="O9" s="728"/>
      <c r="P9" s="741"/>
      <c r="Q9" s="729"/>
    </row>
    <row r="10" spans="1:17" ht="14.4" customHeight="1" x14ac:dyDescent="0.3">
      <c r="A10" s="724" t="s">
        <v>3717</v>
      </c>
      <c r="B10" s="725" t="s">
        <v>3718</v>
      </c>
      <c r="C10" s="725" t="s">
        <v>2983</v>
      </c>
      <c r="D10" s="725" t="s">
        <v>3723</v>
      </c>
      <c r="E10" s="725" t="s">
        <v>3722</v>
      </c>
      <c r="F10" s="728"/>
      <c r="G10" s="728"/>
      <c r="H10" s="728"/>
      <c r="I10" s="728"/>
      <c r="J10" s="728">
        <v>0.5</v>
      </c>
      <c r="K10" s="728">
        <v>885.4</v>
      </c>
      <c r="L10" s="728">
        <v>1</v>
      </c>
      <c r="M10" s="728">
        <v>1770.8</v>
      </c>
      <c r="N10" s="728"/>
      <c r="O10" s="728"/>
      <c r="P10" s="741"/>
      <c r="Q10" s="729"/>
    </row>
    <row r="11" spans="1:17" ht="14.4" customHeight="1" x14ac:dyDescent="0.3">
      <c r="A11" s="724" t="s">
        <v>3717</v>
      </c>
      <c r="B11" s="725" t="s">
        <v>3718</v>
      </c>
      <c r="C11" s="725" t="s">
        <v>2983</v>
      </c>
      <c r="D11" s="725" t="s">
        <v>3724</v>
      </c>
      <c r="E11" s="725" t="s">
        <v>3725</v>
      </c>
      <c r="F11" s="728"/>
      <c r="G11" s="728"/>
      <c r="H11" s="728"/>
      <c r="I11" s="728"/>
      <c r="J11" s="728"/>
      <c r="K11" s="728"/>
      <c r="L11" s="728"/>
      <c r="M11" s="728"/>
      <c r="N11" s="728">
        <v>0.05</v>
      </c>
      <c r="O11" s="728">
        <v>45.19</v>
      </c>
      <c r="P11" s="741"/>
      <c r="Q11" s="729">
        <v>903.8</v>
      </c>
    </row>
    <row r="12" spans="1:17" ht="14.4" customHeight="1" x14ac:dyDescent="0.3">
      <c r="A12" s="724" t="s">
        <v>3717</v>
      </c>
      <c r="B12" s="725" t="s">
        <v>3718</v>
      </c>
      <c r="C12" s="725" t="s">
        <v>3116</v>
      </c>
      <c r="D12" s="725" t="s">
        <v>3726</v>
      </c>
      <c r="E12" s="725" t="s">
        <v>3727</v>
      </c>
      <c r="F12" s="728"/>
      <c r="G12" s="728"/>
      <c r="H12" s="728"/>
      <c r="I12" s="728"/>
      <c r="J12" s="728">
        <v>626</v>
      </c>
      <c r="K12" s="728">
        <v>2140.92</v>
      </c>
      <c r="L12" s="728">
        <v>1</v>
      </c>
      <c r="M12" s="728">
        <v>3.42</v>
      </c>
      <c r="N12" s="728"/>
      <c r="O12" s="728"/>
      <c r="P12" s="741"/>
      <c r="Q12" s="729"/>
    </row>
    <row r="13" spans="1:17" ht="14.4" customHeight="1" x14ac:dyDescent="0.3">
      <c r="A13" s="724" t="s">
        <v>3717</v>
      </c>
      <c r="B13" s="725" t="s">
        <v>3718</v>
      </c>
      <c r="C13" s="725" t="s">
        <v>3116</v>
      </c>
      <c r="D13" s="725" t="s">
        <v>3728</v>
      </c>
      <c r="E13" s="725" t="s">
        <v>3729</v>
      </c>
      <c r="F13" s="728"/>
      <c r="G13" s="728"/>
      <c r="H13" s="728"/>
      <c r="I13" s="728"/>
      <c r="J13" s="728">
        <v>202</v>
      </c>
      <c r="K13" s="728">
        <v>6668.02</v>
      </c>
      <c r="L13" s="728">
        <v>1</v>
      </c>
      <c r="M13" s="728">
        <v>33.010000000000005</v>
      </c>
      <c r="N13" s="728">
        <v>252</v>
      </c>
      <c r="O13" s="728">
        <v>8321.0400000000009</v>
      </c>
      <c r="P13" s="741">
        <v>1.2479026757568215</v>
      </c>
      <c r="Q13" s="729">
        <v>33.020000000000003</v>
      </c>
    </row>
    <row r="14" spans="1:17" ht="14.4" customHeight="1" x14ac:dyDescent="0.3">
      <c r="A14" s="724" t="s">
        <v>3717</v>
      </c>
      <c r="B14" s="725" t="s">
        <v>3718</v>
      </c>
      <c r="C14" s="725" t="s">
        <v>2989</v>
      </c>
      <c r="D14" s="725" t="s">
        <v>3730</v>
      </c>
      <c r="E14" s="725" t="s">
        <v>3731</v>
      </c>
      <c r="F14" s="728"/>
      <c r="G14" s="728"/>
      <c r="H14" s="728"/>
      <c r="I14" s="728"/>
      <c r="J14" s="728">
        <v>2</v>
      </c>
      <c r="K14" s="728">
        <v>3650</v>
      </c>
      <c r="L14" s="728">
        <v>1</v>
      </c>
      <c r="M14" s="728">
        <v>1825</v>
      </c>
      <c r="N14" s="728"/>
      <c r="O14" s="728"/>
      <c r="P14" s="741"/>
      <c r="Q14" s="729"/>
    </row>
    <row r="15" spans="1:17" ht="14.4" customHeight="1" x14ac:dyDescent="0.3">
      <c r="A15" s="724" t="s">
        <v>3717</v>
      </c>
      <c r="B15" s="725" t="s">
        <v>3718</v>
      </c>
      <c r="C15" s="725" t="s">
        <v>2989</v>
      </c>
      <c r="D15" s="725" t="s">
        <v>3732</v>
      </c>
      <c r="E15" s="725" t="s">
        <v>3733</v>
      </c>
      <c r="F15" s="728"/>
      <c r="G15" s="728"/>
      <c r="H15" s="728"/>
      <c r="I15" s="728"/>
      <c r="J15" s="728">
        <v>1</v>
      </c>
      <c r="K15" s="728">
        <v>14506</v>
      </c>
      <c r="L15" s="728">
        <v>1</v>
      </c>
      <c r="M15" s="728">
        <v>14506</v>
      </c>
      <c r="N15" s="728">
        <v>1</v>
      </c>
      <c r="O15" s="728">
        <v>14507</v>
      </c>
      <c r="P15" s="741">
        <v>1.0000689369915896</v>
      </c>
      <c r="Q15" s="729">
        <v>14507</v>
      </c>
    </row>
    <row r="16" spans="1:17" ht="14.4" customHeight="1" x14ac:dyDescent="0.3">
      <c r="A16" s="724" t="s">
        <v>3717</v>
      </c>
      <c r="B16" s="725" t="s">
        <v>3718</v>
      </c>
      <c r="C16" s="725" t="s">
        <v>2989</v>
      </c>
      <c r="D16" s="725" t="s">
        <v>3734</v>
      </c>
      <c r="E16" s="725" t="s">
        <v>3735</v>
      </c>
      <c r="F16" s="728"/>
      <c r="G16" s="728"/>
      <c r="H16" s="728"/>
      <c r="I16" s="728"/>
      <c r="J16" s="728">
        <v>1</v>
      </c>
      <c r="K16" s="728">
        <v>1342</v>
      </c>
      <c r="L16" s="728">
        <v>1</v>
      </c>
      <c r="M16" s="728">
        <v>1342</v>
      </c>
      <c r="N16" s="728"/>
      <c r="O16" s="728"/>
      <c r="P16" s="741"/>
      <c r="Q16" s="729"/>
    </row>
    <row r="17" spans="1:17" ht="14.4" customHeight="1" x14ac:dyDescent="0.3">
      <c r="A17" s="724" t="s">
        <v>3602</v>
      </c>
      <c r="B17" s="725" t="s">
        <v>3736</v>
      </c>
      <c r="C17" s="725" t="s">
        <v>2989</v>
      </c>
      <c r="D17" s="725" t="s">
        <v>3737</v>
      </c>
      <c r="E17" s="725" t="s">
        <v>3738</v>
      </c>
      <c r="F17" s="728"/>
      <c r="G17" s="728"/>
      <c r="H17" s="728"/>
      <c r="I17" s="728"/>
      <c r="J17" s="728"/>
      <c r="K17" s="728"/>
      <c r="L17" s="728"/>
      <c r="M17" s="728"/>
      <c r="N17" s="728">
        <v>3</v>
      </c>
      <c r="O17" s="728">
        <v>38382</v>
      </c>
      <c r="P17" s="741"/>
      <c r="Q17" s="729">
        <v>12794</v>
      </c>
    </row>
    <row r="18" spans="1:17" ht="14.4" customHeight="1" x14ac:dyDescent="0.3">
      <c r="A18" s="724" t="s">
        <v>3602</v>
      </c>
      <c r="B18" s="725" t="s">
        <v>3739</v>
      </c>
      <c r="C18" s="725" t="s">
        <v>2989</v>
      </c>
      <c r="D18" s="725" t="s">
        <v>3740</v>
      </c>
      <c r="E18" s="725" t="s">
        <v>3741</v>
      </c>
      <c r="F18" s="728"/>
      <c r="G18" s="728"/>
      <c r="H18" s="728"/>
      <c r="I18" s="728"/>
      <c r="J18" s="728">
        <v>1</v>
      </c>
      <c r="K18" s="728">
        <v>354</v>
      </c>
      <c r="L18" s="728">
        <v>1</v>
      </c>
      <c r="M18" s="728">
        <v>354</v>
      </c>
      <c r="N18" s="728">
        <v>2</v>
      </c>
      <c r="O18" s="728">
        <v>708</v>
      </c>
      <c r="P18" s="741">
        <v>2</v>
      </c>
      <c r="Q18" s="729">
        <v>354</v>
      </c>
    </row>
    <row r="19" spans="1:17" ht="14.4" customHeight="1" x14ac:dyDescent="0.3">
      <c r="A19" s="724" t="s">
        <v>3602</v>
      </c>
      <c r="B19" s="725" t="s">
        <v>3739</v>
      </c>
      <c r="C19" s="725" t="s">
        <v>2989</v>
      </c>
      <c r="D19" s="725" t="s">
        <v>3742</v>
      </c>
      <c r="E19" s="725" t="s">
        <v>3743</v>
      </c>
      <c r="F19" s="728">
        <v>47</v>
      </c>
      <c r="G19" s="728">
        <v>3055</v>
      </c>
      <c r="H19" s="728">
        <v>1.7407407407407407</v>
      </c>
      <c r="I19" s="728">
        <v>65</v>
      </c>
      <c r="J19" s="728">
        <v>27</v>
      </c>
      <c r="K19" s="728">
        <v>1755</v>
      </c>
      <c r="L19" s="728">
        <v>1</v>
      </c>
      <c r="M19" s="728">
        <v>65</v>
      </c>
      <c r="N19" s="728">
        <v>58</v>
      </c>
      <c r="O19" s="728">
        <v>3770</v>
      </c>
      <c r="P19" s="741">
        <v>2.1481481481481484</v>
      </c>
      <c r="Q19" s="729">
        <v>65</v>
      </c>
    </row>
    <row r="20" spans="1:17" ht="14.4" customHeight="1" x14ac:dyDescent="0.3">
      <c r="A20" s="724" t="s">
        <v>3602</v>
      </c>
      <c r="B20" s="725" t="s">
        <v>3739</v>
      </c>
      <c r="C20" s="725" t="s">
        <v>2989</v>
      </c>
      <c r="D20" s="725" t="s">
        <v>3744</v>
      </c>
      <c r="E20" s="725" t="s">
        <v>3745</v>
      </c>
      <c r="F20" s="728"/>
      <c r="G20" s="728"/>
      <c r="H20" s="728"/>
      <c r="I20" s="728"/>
      <c r="J20" s="728">
        <v>5</v>
      </c>
      <c r="K20" s="728">
        <v>2960</v>
      </c>
      <c r="L20" s="728">
        <v>1</v>
      </c>
      <c r="M20" s="728">
        <v>592</v>
      </c>
      <c r="N20" s="728"/>
      <c r="O20" s="728"/>
      <c r="P20" s="741"/>
      <c r="Q20" s="729"/>
    </row>
    <row r="21" spans="1:17" ht="14.4" customHeight="1" x14ac:dyDescent="0.3">
      <c r="A21" s="724" t="s">
        <v>3602</v>
      </c>
      <c r="B21" s="725" t="s">
        <v>3739</v>
      </c>
      <c r="C21" s="725" t="s">
        <v>2989</v>
      </c>
      <c r="D21" s="725" t="s">
        <v>3746</v>
      </c>
      <c r="E21" s="725" t="s">
        <v>3747</v>
      </c>
      <c r="F21" s="728">
        <v>6</v>
      </c>
      <c r="G21" s="728">
        <v>144</v>
      </c>
      <c r="H21" s="728">
        <v>1.5</v>
      </c>
      <c r="I21" s="728">
        <v>24</v>
      </c>
      <c r="J21" s="728">
        <v>4</v>
      </c>
      <c r="K21" s="728">
        <v>96</v>
      </c>
      <c r="L21" s="728">
        <v>1</v>
      </c>
      <c r="M21" s="728">
        <v>24</v>
      </c>
      <c r="N21" s="728">
        <v>3</v>
      </c>
      <c r="O21" s="728">
        <v>72</v>
      </c>
      <c r="P21" s="741">
        <v>0.75</v>
      </c>
      <c r="Q21" s="729">
        <v>24</v>
      </c>
    </row>
    <row r="22" spans="1:17" ht="14.4" customHeight="1" x14ac:dyDescent="0.3">
      <c r="A22" s="724" t="s">
        <v>3602</v>
      </c>
      <c r="B22" s="725" t="s">
        <v>3739</v>
      </c>
      <c r="C22" s="725" t="s">
        <v>2989</v>
      </c>
      <c r="D22" s="725" t="s">
        <v>3748</v>
      </c>
      <c r="E22" s="725" t="s">
        <v>3749</v>
      </c>
      <c r="F22" s="728">
        <v>8</v>
      </c>
      <c r="G22" s="728">
        <v>432</v>
      </c>
      <c r="H22" s="728">
        <v>0.98181818181818181</v>
      </c>
      <c r="I22" s="728">
        <v>54</v>
      </c>
      <c r="J22" s="728">
        <v>8</v>
      </c>
      <c r="K22" s="728">
        <v>440</v>
      </c>
      <c r="L22" s="728">
        <v>1</v>
      </c>
      <c r="M22" s="728">
        <v>55</v>
      </c>
      <c r="N22" s="728">
        <v>30</v>
      </c>
      <c r="O22" s="728">
        <v>1650</v>
      </c>
      <c r="P22" s="741">
        <v>3.75</v>
      </c>
      <c r="Q22" s="729">
        <v>55</v>
      </c>
    </row>
    <row r="23" spans="1:17" ht="14.4" customHeight="1" x14ac:dyDescent="0.3">
      <c r="A23" s="724" t="s">
        <v>3602</v>
      </c>
      <c r="B23" s="725" t="s">
        <v>3739</v>
      </c>
      <c r="C23" s="725" t="s">
        <v>2989</v>
      </c>
      <c r="D23" s="725" t="s">
        <v>3750</v>
      </c>
      <c r="E23" s="725" t="s">
        <v>3751</v>
      </c>
      <c r="F23" s="728">
        <v>244</v>
      </c>
      <c r="G23" s="728">
        <v>18788</v>
      </c>
      <c r="H23" s="728">
        <v>0.84722222222222221</v>
      </c>
      <c r="I23" s="728">
        <v>77</v>
      </c>
      <c r="J23" s="728">
        <v>288</v>
      </c>
      <c r="K23" s="728">
        <v>22176</v>
      </c>
      <c r="L23" s="728">
        <v>1</v>
      </c>
      <c r="M23" s="728">
        <v>77</v>
      </c>
      <c r="N23" s="728">
        <v>285</v>
      </c>
      <c r="O23" s="728">
        <v>21945</v>
      </c>
      <c r="P23" s="741">
        <v>0.98958333333333337</v>
      </c>
      <c r="Q23" s="729">
        <v>77</v>
      </c>
    </row>
    <row r="24" spans="1:17" ht="14.4" customHeight="1" x14ac:dyDescent="0.3">
      <c r="A24" s="724" t="s">
        <v>3602</v>
      </c>
      <c r="B24" s="725" t="s">
        <v>3739</v>
      </c>
      <c r="C24" s="725" t="s">
        <v>2989</v>
      </c>
      <c r="D24" s="725" t="s">
        <v>3752</v>
      </c>
      <c r="E24" s="725" t="s">
        <v>3753</v>
      </c>
      <c r="F24" s="728">
        <v>12</v>
      </c>
      <c r="G24" s="728">
        <v>276</v>
      </c>
      <c r="H24" s="728">
        <v>1.6428571428571428</v>
      </c>
      <c r="I24" s="728">
        <v>23</v>
      </c>
      <c r="J24" s="728">
        <v>7</v>
      </c>
      <c r="K24" s="728">
        <v>168</v>
      </c>
      <c r="L24" s="728">
        <v>1</v>
      </c>
      <c r="M24" s="728">
        <v>24</v>
      </c>
      <c r="N24" s="728">
        <v>5</v>
      </c>
      <c r="O24" s="728">
        <v>120</v>
      </c>
      <c r="P24" s="741">
        <v>0.7142857142857143</v>
      </c>
      <c r="Q24" s="729">
        <v>24</v>
      </c>
    </row>
    <row r="25" spans="1:17" ht="14.4" customHeight="1" x14ac:dyDescent="0.3">
      <c r="A25" s="724" t="s">
        <v>3602</v>
      </c>
      <c r="B25" s="725" t="s">
        <v>3739</v>
      </c>
      <c r="C25" s="725" t="s">
        <v>2989</v>
      </c>
      <c r="D25" s="725" t="s">
        <v>3754</v>
      </c>
      <c r="E25" s="725" t="s">
        <v>3755</v>
      </c>
      <c r="F25" s="728">
        <v>2</v>
      </c>
      <c r="G25" s="728">
        <v>132</v>
      </c>
      <c r="H25" s="728">
        <v>0.4</v>
      </c>
      <c r="I25" s="728">
        <v>66</v>
      </c>
      <c r="J25" s="728">
        <v>5</v>
      </c>
      <c r="K25" s="728">
        <v>330</v>
      </c>
      <c r="L25" s="728">
        <v>1</v>
      </c>
      <c r="M25" s="728">
        <v>66</v>
      </c>
      <c r="N25" s="728">
        <v>4</v>
      </c>
      <c r="O25" s="728">
        <v>264</v>
      </c>
      <c r="P25" s="741">
        <v>0.8</v>
      </c>
      <c r="Q25" s="729">
        <v>66</v>
      </c>
    </row>
    <row r="26" spans="1:17" ht="14.4" customHeight="1" x14ac:dyDescent="0.3">
      <c r="A26" s="724" t="s">
        <v>3602</v>
      </c>
      <c r="B26" s="725" t="s">
        <v>3739</v>
      </c>
      <c r="C26" s="725" t="s">
        <v>2989</v>
      </c>
      <c r="D26" s="725" t="s">
        <v>3756</v>
      </c>
      <c r="E26" s="725" t="s">
        <v>3757</v>
      </c>
      <c r="F26" s="728">
        <v>6</v>
      </c>
      <c r="G26" s="728">
        <v>144</v>
      </c>
      <c r="H26" s="728">
        <v>5.76</v>
      </c>
      <c r="I26" s="728">
        <v>24</v>
      </c>
      <c r="J26" s="728">
        <v>1</v>
      </c>
      <c r="K26" s="728">
        <v>25</v>
      </c>
      <c r="L26" s="728">
        <v>1</v>
      </c>
      <c r="M26" s="728">
        <v>25</v>
      </c>
      <c r="N26" s="728">
        <v>2</v>
      </c>
      <c r="O26" s="728">
        <v>50</v>
      </c>
      <c r="P26" s="741">
        <v>2</v>
      </c>
      <c r="Q26" s="729">
        <v>25</v>
      </c>
    </row>
    <row r="27" spans="1:17" ht="14.4" customHeight="1" x14ac:dyDescent="0.3">
      <c r="A27" s="724" t="s">
        <v>3602</v>
      </c>
      <c r="B27" s="725" t="s">
        <v>3739</v>
      </c>
      <c r="C27" s="725" t="s">
        <v>2989</v>
      </c>
      <c r="D27" s="725" t="s">
        <v>3758</v>
      </c>
      <c r="E27" s="725" t="s">
        <v>3759</v>
      </c>
      <c r="F27" s="728">
        <v>28</v>
      </c>
      <c r="G27" s="728">
        <v>5040</v>
      </c>
      <c r="H27" s="728">
        <v>1.4655423088107007</v>
      </c>
      <c r="I27" s="728">
        <v>180</v>
      </c>
      <c r="J27" s="728">
        <v>19</v>
      </c>
      <c r="K27" s="728">
        <v>3439</v>
      </c>
      <c r="L27" s="728">
        <v>1</v>
      </c>
      <c r="M27" s="728">
        <v>181</v>
      </c>
      <c r="N27" s="728">
        <v>16</v>
      </c>
      <c r="O27" s="728">
        <v>2896</v>
      </c>
      <c r="P27" s="741">
        <v>0.84210526315789469</v>
      </c>
      <c r="Q27" s="729">
        <v>181</v>
      </c>
    </row>
    <row r="28" spans="1:17" ht="14.4" customHeight="1" x14ac:dyDescent="0.3">
      <c r="A28" s="724" t="s">
        <v>3602</v>
      </c>
      <c r="B28" s="725" t="s">
        <v>3739</v>
      </c>
      <c r="C28" s="725" t="s">
        <v>2989</v>
      </c>
      <c r="D28" s="725" t="s">
        <v>3760</v>
      </c>
      <c r="E28" s="725" t="s">
        <v>3761</v>
      </c>
      <c r="F28" s="728">
        <v>26</v>
      </c>
      <c r="G28" s="728">
        <v>6578</v>
      </c>
      <c r="H28" s="728">
        <v>1.523390458545623</v>
      </c>
      <c r="I28" s="728">
        <v>253</v>
      </c>
      <c r="J28" s="728">
        <v>17</v>
      </c>
      <c r="K28" s="728">
        <v>4318</v>
      </c>
      <c r="L28" s="728">
        <v>1</v>
      </c>
      <c r="M28" s="728">
        <v>254</v>
      </c>
      <c r="N28" s="728">
        <v>24</v>
      </c>
      <c r="O28" s="728">
        <v>6096</v>
      </c>
      <c r="P28" s="741">
        <v>1.411764705882353</v>
      </c>
      <c r="Q28" s="729">
        <v>254</v>
      </c>
    </row>
    <row r="29" spans="1:17" ht="14.4" customHeight="1" x14ac:dyDescent="0.3">
      <c r="A29" s="724" t="s">
        <v>3602</v>
      </c>
      <c r="B29" s="725" t="s">
        <v>3739</v>
      </c>
      <c r="C29" s="725" t="s">
        <v>2989</v>
      </c>
      <c r="D29" s="725" t="s">
        <v>3762</v>
      </c>
      <c r="E29" s="725" t="s">
        <v>3763</v>
      </c>
      <c r="F29" s="728">
        <v>29</v>
      </c>
      <c r="G29" s="728">
        <v>6264</v>
      </c>
      <c r="H29" s="728">
        <v>1.5192820761581374</v>
      </c>
      <c r="I29" s="728">
        <v>216</v>
      </c>
      <c r="J29" s="728">
        <v>19</v>
      </c>
      <c r="K29" s="728">
        <v>4123</v>
      </c>
      <c r="L29" s="728">
        <v>1</v>
      </c>
      <c r="M29" s="728">
        <v>217</v>
      </c>
      <c r="N29" s="728">
        <v>18</v>
      </c>
      <c r="O29" s="728">
        <v>3906</v>
      </c>
      <c r="P29" s="741">
        <v>0.94736842105263153</v>
      </c>
      <c r="Q29" s="729">
        <v>217</v>
      </c>
    </row>
    <row r="30" spans="1:17" ht="14.4" customHeight="1" x14ac:dyDescent="0.3">
      <c r="A30" s="724" t="s">
        <v>3602</v>
      </c>
      <c r="B30" s="725" t="s">
        <v>3739</v>
      </c>
      <c r="C30" s="725" t="s">
        <v>2989</v>
      </c>
      <c r="D30" s="725" t="s">
        <v>3764</v>
      </c>
      <c r="E30" s="725" t="s">
        <v>3765</v>
      </c>
      <c r="F30" s="728">
        <v>1</v>
      </c>
      <c r="G30" s="728">
        <v>231</v>
      </c>
      <c r="H30" s="728"/>
      <c r="I30" s="728">
        <v>231</v>
      </c>
      <c r="J30" s="728"/>
      <c r="K30" s="728"/>
      <c r="L30" s="728"/>
      <c r="M30" s="728"/>
      <c r="N30" s="728"/>
      <c r="O30" s="728"/>
      <c r="P30" s="741"/>
      <c r="Q30" s="729"/>
    </row>
    <row r="31" spans="1:17" ht="14.4" customHeight="1" x14ac:dyDescent="0.3">
      <c r="A31" s="724" t="s">
        <v>3602</v>
      </c>
      <c r="B31" s="725" t="s">
        <v>3739</v>
      </c>
      <c r="C31" s="725" t="s">
        <v>2989</v>
      </c>
      <c r="D31" s="725" t="s">
        <v>3766</v>
      </c>
      <c r="E31" s="725" t="s">
        <v>3767</v>
      </c>
      <c r="F31" s="728"/>
      <c r="G31" s="728"/>
      <c r="H31" s="728"/>
      <c r="I31" s="728"/>
      <c r="J31" s="728"/>
      <c r="K31" s="728"/>
      <c r="L31" s="728"/>
      <c r="M31" s="728"/>
      <c r="N31" s="728">
        <v>1</v>
      </c>
      <c r="O31" s="728">
        <v>566</v>
      </c>
      <c r="P31" s="741"/>
      <c r="Q31" s="729">
        <v>566</v>
      </c>
    </row>
    <row r="32" spans="1:17" ht="14.4" customHeight="1" x14ac:dyDescent="0.3">
      <c r="A32" s="724" t="s">
        <v>3768</v>
      </c>
      <c r="B32" s="725" t="s">
        <v>3769</v>
      </c>
      <c r="C32" s="725" t="s">
        <v>2989</v>
      </c>
      <c r="D32" s="725" t="s">
        <v>3770</v>
      </c>
      <c r="E32" s="725" t="s">
        <v>3771</v>
      </c>
      <c r="F32" s="728">
        <v>116</v>
      </c>
      <c r="G32" s="728">
        <v>3132</v>
      </c>
      <c r="H32" s="728">
        <v>0.92063492063492058</v>
      </c>
      <c r="I32" s="728">
        <v>27</v>
      </c>
      <c r="J32" s="728">
        <v>126</v>
      </c>
      <c r="K32" s="728">
        <v>3402</v>
      </c>
      <c r="L32" s="728">
        <v>1</v>
      </c>
      <c r="M32" s="728">
        <v>27</v>
      </c>
      <c r="N32" s="728">
        <v>131</v>
      </c>
      <c r="O32" s="728">
        <v>3537</v>
      </c>
      <c r="P32" s="741">
        <v>1.0396825396825398</v>
      </c>
      <c r="Q32" s="729">
        <v>27</v>
      </c>
    </row>
    <row r="33" spans="1:17" ht="14.4" customHeight="1" x14ac:dyDescent="0.3">
      <c r="A33" s="724" t="s">
        <v>3768</v>
      </c>
      <c r="B33" s="725" t="s">
        <v>3769</v>
      </c>
      <c r="C33" s="725" t="s">
        <v>2989</v>
      </c>
      <c r="D33" s="725" t="s">
        <v>3772</v>
      </c>
      <c r="E33" s="725" t="s">
        <v>3773</v>
      </c>
      <c r="F33" s="728">
        <v>32</v>
      </c>
      <c r="G33" s="728">
        <v>1728</v>
      </c>
      <c r="H33" s="728">
        <v>1.3913043478260869</v>
      </c>
      <c r="I33" s="728">
        <v>54</v>
      </c>
      <c r="J33" s="728">
        <v>23</v>
      </c>
      <c r="K33" s="728">
        <v>1242</v>
      </c>
      <c r="L33" s="728">
        <v>1</v>
      </c>
      <c r="M33" s="728">
        <v>54</v>
      </c>
      <c r="N33" s="728">
        <v>33</v>
      </c>
      <c r="O33" s="728">
        <v>1782</v>
      </c>
      <c r="P33" s="741">
        <v>1.4347826086956521</v>
      </c>
      <c r="Q33" s="729">
        <v>54</v>
      </c>
    </row>
    <row r="34" spans="1:17" ht="14.4" customHeight="1" x14ac:dyDescent="0.3">
      <c r="A34" s="724" t="s">
        <v>3768</v>
      </c>
      <c r="B34" s="725" t="s">
        <v>3769</v>
      </c>
      <c r="C34" s="725" t="s">
        <v>2989</v>
      </c>
      <c r="D34" s="725" t="s">
        <v>3774</v>
      </c>
      <c r="E34" s="725" t="s">
        <v>3775</v>
      </c>
      <c r="F34" s="728">
        <v>104</v>
      </c>
      <c r="G34" s="728">
        <v>2496</v>
      </c>
      <c r="H34" s="728">
        <v>0.9285714285714286</v>
      </c>
      <c r="I34" s="728">
        <v>24</v>
      </c>
      <c r="J34" s="728">
        <v>112</v>
      </c>
      <c r="K34" s="728">
        <v>2688</v>
      </c>
      <c r="L34" s="728">
        <v>1</v>
      </c>
      <c r="M34" s="728">
        <v>24</v>
      </c>
      <c r="N34" s="728">
        <v>113</v>
      </c>
      <c r="O34" s="728">
        <v>2712</v>
      </c>
      <c r="P34" s="741">
        <v>1.0089285714285714</v>
      </c>
      <c r="Q34" s="729">
        <v>24</v>
      </c>
    </row>
    <row r="35" spans="1:17" ht="14.4" customHeight="1" x14ac:dyDescent="0.3">
      <c r="A35" s="724" t="s">
        <v>3768</v>
      </c>
      <c r="B35" s="725" t="s">
        <v>3769</v>
      </c>
      <c r="C35" s="725" t="s">
        <v>2989</v>
      </c>
      <c r="D35" s="725" t="s">
        <v>3776</v>
      </c>
      <c r="E35" s="725" t="s">
        <v>3777</v>
      </c>
      <c r="F35" s="728">
        <v>142</v>
      </c>
      <c r="G35" s="728">
        <v>3834</v>
      </c>
      <c r="H35" s="728">
        <v>0.92810457516339873</v>
      </c>
      <c r="I35" s="728">
        <v>27</v>
      </c>
      <c r="J35" s="728">
        <v>153</v>
      </c>
      <c r="K35" s="728">
        <v>4131</v>
      </c>
      <c r="L35" s="728">
        <v>1</v>
      </c>
      <c r="M35" s="728">
        <v>27</v>
      </c>
      <c r="N35" s="728">
        <v>162</v>
      </c>
      <c r="O35" s="728">
        <v>4374</v>
      </c>
      <c r="P35" s="741">
        <v>1.0588235294117647</v>
      </c>
      <c r="Q35" s="729">
        <v>27</v>
      </c>
    </row>
    <row r="36" spans="1:17" ht="14.4" customHeight="1" x14ac:dyDescent="0.3">
      <c r="A36" s="724" t="s">
        <v>3768</v>
      </c>
      <c r="B36" s="725" t="s">
        <v>3769</v>
      </c>
      <c r="C36" s="725" t="s">
        <v>2989</v>
      </c>
      <c r="D36" s="725" t="s">
        <v>3778</v>
      </c>
      <c r="E36" s="725" t="s">
        <v>3779</v>
      </c>
      <c r="F36" s="728">
        <v>56</v>
      </c>
      <c r="G36" s="728">
        <v>1512</v>
      </c>
      <c r="H36" s="728">
        <v>0.82352941176470584</v>
      </c>
      <c r="I36" s="728">
        <v>27</v>
      </c>
      <c r="J36" s="728">
        <v>68</v>
      </c>
      <c r="K36" s="728">
        <v>1836</v>
      </c>
      <c r="L36" s="728">
        <v>1</v>
      </c>
      <c r="M36" s="728">
        <v>27</v>
      </c>
      <c r="N36" s="728">
        <v>65</v>
      </c>
      <c r="O36" s="728">
        <v>1755</v>
      </c>
      <c r="P36" s="741">
        <v>0.95588235294117652</v>
      </c>
      <c r="Q36" s="729">
        <v>27</v>
      </c>
    </row>
    <row r="37" spans="1:17" ht="14.4" customHeight="1" x14ac:dyDescent="0.3">
      <c r="A37" s="724" t="s">
        <v>3768</v>
      </c>
      <c r="B37" s="725" t="s">
        <v>3769</v>
      </c>
      <c r="C37" s="725" t="s">
        <v>2989</v>
      </c>
      <c r="D37" s="725" t="s">
        <v>3780</v>
      </c>
      <c r="E37" s="725" t="s">
        <v>3781</v>
      </c>
      <c r="F37" s="728">
        <v>662</v>
      </c>
      <c r="G37" s="728">
        <v>14564</v>
      </c>
      <c r="H37" s="728">
        <v>0.97067448680351909</v>
      </c>
      <c r="I37" s="728">
        <v>22</v>
      </c>
      <c r="J37" s="728">
        <v>682</v>
      </c>
      <c r="K37" s="728">
        <v>15004</v>
      </c>
      <c r="L37" s="728">
        <v>1</v>
      </c>
      <c r="M37" s="728">
        <v>22</v>
      </c>
      <c r="N37" s="728">
        <v>661</v>
      </c>
      <c r="O37" s="728">
        <v>14542</v>
      </c>
      <c r="P37" s="741">
        <v>0.96920821114369504</v>
      </c>
      <c r="Q37" s="729">
        <v>22</v>
      </c>
    </row>
    <row r="38" spans="1:17" ht="14.4" customHeight="1" x14ac:dyDescent="0.3">
      <c r="A38" s="724" t="s">
        <v>3768</v>
      </c>
      <c r="B38" s="725" t="s">
        <v>3769</v>
      </c>
      <c r="C38" s="725" t="s">
        <v>2989</v>
      </c>
      <c r="D38" s="725" t="s">
        <v>3782</v>
      </c>
      <c r="E38" s="725" t="s">
        <v>3783</v>
      </c>
      <c r="F38" s="728"/>
      <c r="G38" s="728"/>
      <c r="H38" s="728"/>
      <c r="I38" s="728"/>
      <c r="J38" s="728">
        <v>2</v>
      </c>
      <c r="K38" s="728">
        <v>136</v>
      </c>
      <c r="L38" s="728">
        <v>1</v>
      </c>
      <c r="M38" s="728">
        <v>68</v>
      </c>
      <c r="N38" s="728">
        <v>10</v>
      </c>
      <c r="O38" s="728">
        <v>680</v>
      </c>
      <c r="P38" s="741">
        <v>5</v>
      </c>
      <c r="Q38" s="729">
        <v>68</v>
      </c>
    </row>
    <row r="39" spans="1:17" ht="14.4" customHeight="1" x14ac:dyDescent="0.3">
      <c r="A39" s="724" t="s">
        <v>3768</v>
      </c>
      <c r="B39" s="725" t="s">
        <v>3769</v>
      </c>
      <c r="C39" s="725" t="s">
        <v>2989</v>
      </c>
      <c r="D39" s="725" t="s">
        <v>3784</v>
      </c>
      <c r="E39" s="725" t="s">
        <v>3785</v>
      </c>
      <c r="F39" s="728">
        <v>2</v>
      </c>
      <c r="G39" s="728">
        <v>124</v>
      </c>
      <c r="H39" s="728"/>
      <c r="I39" s="728">
        <v>62</v>
      </c>
      <c r="J39" s="728"/>
      <c r="K39" s="728"/>
      <c r="L39" s="728"/>
      <c r="M39" s="728"/>
      <c r="N39" s="728"/>
      <c r="O39" s="728"/>
      <c r="P39" s="741"/>
      <c r="Q39" s="729"/>
    </row>
    <row r="40" spans="1:17" ht="14.4" customHeight="1" x14ac:dyDescent="0.3">
      <c r="A40" s="724" t="s">
        <v>3768</v>
      </c>
      <c r="B40" s="725" t="s">
        <v>3769</v>
      </c>
      <c r="C40" s="725" t="s">
        <v>2989</v>
      </c>
      <c r="D40" s="725" t="s">
        <v>3786</v>
      </c>
      <c r="E40" s="725" t="s">
        <v>3787</v>
      </c>
      <c r="F40" s="728">
        <v>27</v>
      </c>
      <c r="G40" s="728">
        <v>1674</v>
      </c>
      <c r="H40" s="728">
        <v>1.35</v>
      </c>
      <c r="I40" s="728">
        <v>62</v>
      </c>
      <c r="J40" s="728">
        <v>20</v>
      </c>
      <c r="K40" s="728">
        <v>1240</v>
      </c>
      <c r="L40" s="728">
        <v>1</v>
      </c>
      <c r="M40" s="728">
        <v>62</v>
      </c>
      <c r="N40" s="728">
        <v>33</v>
      </c>
      <c r="O40" s="728">
        <v>2046</v>
      </c>
      <c r="P40" s="741">
        <v>1.65</v>
      </c>
      <c r="Q40" s="729">
        <v>62</v>
      </c>
    </row>
    <row r="41" spans="1:17" ht="14.4" customHeight="1" x14ac:dyDescent="0.3">
      <c r="A41" s="724" t="s">
        <v>3768</v>
      </c>
      <c r="B41" s="725" t="s">
        <v>3769</v>
      </c>
      <c r="C41" s="725" t="s">
        <v>2989</v>
      </c>
      <c r="D41" s="725" t="s">
        <v>3788</v>
      </c>
      <c r="E41" s="725" t="s">
        <v>3789</v>
      </c>
      <c r="F41" s="728"/>
      <c r="G41" s="728"/>
      <c r="H41" s="728"/>
      <c r="I41" s="728"/>
      <c r="J41" s="728"/>
      <c r="K41" s="728"/>
      <c r="L41" s="728"/>
      <c r="M41" s="728"/>
      <c r="N41" s="728">
        <v>2</v>
      </c>
      <c r="O41" s="728">
        <v>788</v>
      </c>
      <c r="P41" s="741"/>
      <c r="Q41" s="729">
        <v>394</v>
      </c>
    </row>
    <row r="42" spans="1:17" ht="14.4" customHeight="1" x14ac:dyDescent="0.3">
      <c r="A42" s="724" t="s">
        <v>3768</v>
      </c>
      <c r="B42" s="725" t="s">
        <v>3769</v>
      </c>
      <c r="C42" s="725" t="s">
        <v>2989</v>
      </c>
      <c r="D42" s="725" t="s">
        <v>3790</v>
      </c>
      <c r="E42" s="725" t="s">
        <v>3791</v>
      </c>
      <c r="F42" s="728">
        <v>48</v>
      </c>
      <c r="G42" s="728">
        <v>3936</v>
      </c>
      <c r="H42" s="728">
        <v>1.8461538461538463</v>
      </c>
      <c r="I42" s="728">
        <v>82</v>
      </c>
      <c r="J42" s="728">
        <v>26</v>
      </c>
      <c r="K42" s="728">
        <v>2132</v>
      </c>
      <c r="L42" s="728">
        <v>1</v>
      </c>
      <c r="M42" s="728">
        <v>82</v>
      </c>
      <c r="N42" s="728">
        <v>42</v>
      </c>
      <c r="O42" s="728">
        <v>3444</v>
      </c>
      <c r="P42" s="741">
        <v>1.6153846153846154</v>
      </c>
      <c r="Q42" s="729">
        <v>82</v>
      </c>
    </row>
    <row r="43" spans="1:17" ht="14.4" customHeight="1" x14ac:dyDescent="0.3">
      <c r="A43" s="724" t="s">
        <v>3768</v>
      </c>
      <c r="B43" s="725" t="s">
        <v>3769</v>
      </c>
      <c r="C43" s="725" t="s">
        <v>2989</v>
      </c>
      <c r="D43" s="725" t="s">
        <v>3792</v>
      </c>
      <c r="E43" s="725" t="s">
        <v>3793</v>
      </c>
      <c r="F43" s="728">
        <v>20</v>
      </c>
      <c r="G43" s="728">
        <v>19740</v>
      </c>
      <c r="H43" s="728">
        <v>1.3319838056680162</v>
      </c>
      <c r="I43" s="728">
        <v>987</v>
      </c>
      <c r="J43" s="728">
        <v>15</v>
      </c>
      <c r="K43" s="728">
        <v>14820</v>
      </c>
      <c r="L43" s="728">
        <v>1</v>
      </c>
      <c r="M43" s="728">
        <v>988</v>
      </c>
      <c r="N43" s="728">
        <v>14</v>
      </c>
      <c r="O43" s="728">
        <v>13832</v>
      </c>
      <c r="P43" s="741">
        <v>0.93333333333333335</v>
      </c>
      <c r="Q43" s="729">
        <v>988</v>
      </c>
    </row>
    <row r="44" spans="1:17" ht="14.4" customHeight="1" x14ac:dyDescent="0.3">
      <c r="A44" s="724" t="s">
        <v>3768</v>
      </c>
      <c r="B44" s="725" t="s">
        <v>3769</v>
      </c>
      <c r="C44" s="725" t="s">
        <v>2989</v>
      </c>
      <c r="D44" s="725" t="s">
        <v>3794</v>
      </c>
      <c r="E44" s="725" t="s">
        <v>3795</v>
      </c>
      <c r="F44" s="728">
        <v>1</v>
      </c>
      <c r="G44" s="728">
        <v>191</v>
      </c>
      <c r="H44" s="728">
        <v>1</v>
      </c>
      <c r="I44" s="728">
        <v>191</v>
      </c>
      <c r="J44" s="728">
        <v>1</v>
      </c>
      <c r="K44" s="728">
        <v>191</v>
      </c>
      <c r="L44" s="728">
        <v>1</v>
      </c>
      <c r="M44" s="728">
        <v>191</v>
      </c>
      <c r="N44" s="728">
        <v>1</v>
      </c>
      <c r="O44" s="728">
        <v>191</v>
      </c>
      <c r="P44" s="741">
        <v>1</v>
      </c>
      <c r="Q44" s="729">
        <v>191</v>
      </c>
    </row>
    <row r="45" spans="1:17" ht="14.4" customHeight="1" x14ac:dyDescent="0.3">
      <c r="A45" s="724" t="s">
        <v>3768</v>
      </c>
      <c r="B45" s="725" t="s">
        <v>3769</v>
      </c>
      <c r="C45" s="725" t="s">
        <v>2989</v>
      </c>
      <c r="D45" s="725" t="s">
        <v>3796</v>
      </c>
      <c r="E45" s="725" t="s">
        <v>3797</v>
      </c>
      <c r="F45" s="728"/>
      <c r="G45" s="728"/>
      <c r="H45" s="728"/>
      <c r="I45" s="728"/>
      <c r="J45" s="728"/>
      <c r="K45" s="728"/>
      <c r="L45" s="728"/>
      <c r="M45" s="728"/>
      <c r="N45" s="728">
        <v>1</v>
      </c>
      <c r="O45" s="728">
        <v>264</v>
      </c>
      <c r="P45" s="741"/>
      <c r="Q45" s="729">
        <v>264</v>
      </c>
    </row>
    <row r="46" spans="1:17" ht="14.4" customHeight="1" x14ac:dyDescent="0.3">
      <c r="A46" s="724" t="s">
        <v>3768</v>
      </c>
      <c r="B46" s="725" t="s">
        <v>3769</v>
      </c>
      <c r="C46" s="725" t="s">
        <v>2989</v>
      </c>
      <c r="D46" s="725" t="s">
        <v>3798</v>
      </c>
      <c r="E46" s="725" t="s">
        <v>3799</v>
      </c>
      <c r="F46" s="728"/>
      <c r="G46" s="728"/>
      <c r="H46" s="728"/>
      <c r="I46" s="728"/>
      <c r="J46" s="728">
        <v>1</v>
      </c>
      <c r="K46" s="728">
        <v>63</v>
      </c>
      <c r="L46" s="728">
        <v>1</v>
      </c>
      <c r="M46" s="728">
        <v>63</v>
      </c>
      <c r="N46" s="728"/>
      <c r="O46" s="728"/>
      <c r="P46" s="741"/>
      <c r="Q46" s="729"/>
    </row>
    <row r="47" spans="1:17" ht="14.4" customHeight="1" x14ac:dyDescent="0.3">
      <c r="A47" s="724" t="s">
        <v>3768</v>
      </c>
      <c r="B47" s="725" t="s">
        <v>3769</v>
      </c>
      <c r="C47" s="725" t="s">
        <v>2989</v>
      </c>
      <c r="D47" s="725" t="s">
        <v>3800</v>
      </c>
      <c r="E47" s="725" t="s">
        <v>3801</v>
      </c>
      <c r="F47" s="728"/>
      <c r="G47" s="728"/>
      <c r="H47" s="728"/>
      <c r="I47" s="728"/>
      <c r="J47" s="728"/>
      <c r="K47" s="728"/>
      <c r="L47" s="728"/>
      <c r="M47" s="728"/>
      <c r="N47" s="728">
        <v>1</v>
      </c>
      <c r="O47" s="728">
        <v>17</v>
      </c>
      <c r="P47" s="741"/>
      <c r="Q47" s="729">
        <v>17</v>
      </c>
    </row>
    <row r="48" spans="1:17" ht="14.4" customHeight="1" x14ac:dyDescent="0.3">
      <c r="A48" s="724" t="s">
        <v>3768</v>
      </c>
      <c r="B48" s="725" t="s">
        <v>3769</v>
      </c>
      <c r="C48" s="725" t="s">
        <v>2989</v>
      </c>
      <c r="D48" s="725" t="s">
        <v>3802</v>
      </c>
      <c r="E48" s="725" t="s">
        <v>3803</v>
      </c>
      <c r="F48" s="728"/>
      <c r="G48" s="728"/>
      <c r="H48" s="728"/>
      <c r="I48" s="728"/>
      <c r="J48" s="728">
        <v>1</v>
      </c>
      <c r="K48" s="728">
        <v>47</v>
      </c>
      <c r="L48" s="728">
        <v>1</v>
      </c>
      <c r="M48" s="728">
        <v>47</v>
      </c>
      <c r="N48" s="728"/>
      <c r="O48" s="728"/>
      <c r="P48" s="741"/>
      <c r="Q48" s="729"/>
    </row>
    <row r="49" spans="1:17" ht="14.4" customHeight="1" x14ac:dyDescent="0.3">
      <c r="A49" s="724" t="s">
        <v>3768</v>
      </c>
      <c r="B49" s="725" t="s">
        <v>3769</v>
      </c>
      <c r="C49" s="725" t="s">
        <v>2989</v>
      </c>
      <c r="D49" s="725" t="s">
        <v>3804</v>
      </c>
      <c r="E49" s="725" t="s">
        <v>3805</v>
      </c>
      <c r="F49" s="728"/>
      <c r="G49" s="728"/>
      <c r="H49" s="728"/>
      <c r="I49" s="728"/>
      <c r="J49" s="728">
        <v>1</v>
      </c>
      <c r="K49" s="728">
        <v>60</v>
      </c>
      <c r="L49" s="728">
        <v>1</v>
      </c>
      <c r="M49" s="728">
        <v>60</v>
      </c>
      <c r="N49" s="728"/>
      <c r="O49" s="728"/>
      <c r="P49" s="741"/>
      <c r="Q49" s="729"/>
    </row>
    <row r="50" spans="1:17" ht="14.4" customHeight="1" x14ac:dyDescent="0.3">
      <c r="A50" s="724" t="s">
        <v>3768</v>
      </c>
      <c r="B50" s="725" t="s">
        <v>3769</v>
      </c>
      <c r="C50" s="725" t="s">
        <v>2989</v>
      </c>
      <c r="D50" s="725" t="s">
        <v>3806</v>
      </c>
      <c r="E50" s="725" t="s">
        <v>3807</v>
      </c>
      <c r="F50" s="728">
        <v>1</v>
      </c>
      <c r="G50" s="728">
        <v>19</v>
      </c>
      <c r="H50" s="728"/>
      <c r="I50" s="728">
        <v>19</v>
      </c>
      <c r="J50" s="728"/>
      <c r="K50" s="728"/>
      <c r="L50" s="728"/>
      <c r="M50" s="728"/>
      <c r="N50" s="728"/>
      <c r="O50" s="728"/>
      <c r="P50" s="741"/>
      <c r="Q50" s="729"/>
    </row>
    <row r="51" spans="1:17" ht="14.4" customHeight="1" x14ac:dyDescent="0.3">
      <c r="A51" s="724" t="s">
        <v>3768</v>
      </c>
      <c r="B51" s="725" t="s">
        <v>3769</v>
      </c>
      <c r="C51" s="725" t="s">
        <v>2989</v>
      </c>
      <c r="D51" s="725" t="s">
        <v>3808</v>
      </c>
      <c r="E51" s="725" t="s">
        <v>3809</v>
      </c>
      <c r="F51" s="728">
        <v>2</v>
      </c>
      <c r="G51" s="728">
        <v>1704</v>
      </c>
      <c r="H51" s="728">
        <v>0.28537933344498406</v>
      </c>
      <c r="I51" s="728">
        <v>852</v>
      </c>
      <c r="J51" s="728">
        <v>7</v>
      </c>
      <c r="K51" s="728">
        <v>5971</v>
      </c>
      <c r="L51" s="728">
        <v>1</v>
      </c>
      <c r="M51" s="728">
        <v>853</v>
      </c>
      <c r="N51" s="728">
        <v>6</v>
      </c>
      <c r="O51" s="728">
        <v>5118</v>
      </c>
      <c r="P51" s="741">
        <v>0.8571428571428571</v>
      </c>
      <c r="Q51" s="729">
        <v>853</v>
      </c>
    </row>
    <row r="52" spans="1:17" ht="14.4" customHeight="1" x14ac:dyDescent="0.3">
      <c r="A52" s="724" t="s">
        <v>3768</v>
      </c>
      <c r="B52" s="725" t="s">
        <v>3769</v>
      </c>
      <c r="C52" s="725" t="s">
        <v>2989</v>
      </c>
      <c r="D52" s="725" t="s">
        <v>3810</v>
      </c>
      <c r="E52" s="725" t="s">
        <v>3811</v>
      </c>
      <c r="F52" s="728"/>
      <c r="G52" s="728"/>
      <c r="H52" s="728"/>
      <c r="I52" s="728"/>
      <c r="J52" s="728"/>
      <c r="K52" s="728"/>
      <c r="L52" s="728"/>
      <c r="M52" s="728"/>
      <c r="N52" s="728">
        <v>3</v>
      </c>
      <c r="O52" s="728">
        <v>561</v>
      </c>
      <c r="P52" s="741"/>
      <c r="Q52" s="729">
        <v>187</v>
      </c>
    </row>
    <row r="53" spans="1:17" ht="14.4" customHeight="1" x14ac:dyDescent="0.3">
      <c r="A53" s="724" t="s">
        <v>3768</v>
      </c>
      <c r="B53" s="725" t="s">
        <v>3769</v>
      </c>
      <c r="C53" s="725" t="s">
        <v>2989</v>
      </c>
      <c r="D53" s="725" t="s">
        <v>3812</v>
      </c>
      <c r="E53" s="725" t="s">
        <v>3813</v>
      </c>
      <c r="F53" s="728"/>
      <c r="G53" s="728"/>
      <c r="H53" s="728"/>
      <c r="I53" s="728"/>
      <c r="J53" s="728"/>
      <c r="K53" s="728"/>
      <c r="L53" s="728"/>
      <c r="M53" s="728"/>
      <c r="N53" s="728">
        <v>1</v>
      </c>
      <c r="O53" s="728">
        <v>168</v>
      </c>
      <c r="P53" s="741"/>
      <c r="Q53" s="729">
        <v>168</v>
      </c>
    </row>
    <row r="54" spans="1:17" ht="14.4" customHeight="1" x14ac:dyDescent="0.3">
      <c r="A54" s="724" t="s">
        <v>3768</v>
      </c>
      <c r="B54" s="725" t="s">
        <v>3769</v>
      </c>
      <c r="C54" s="725" t="s">
        <v>2989</v>
      </c>
      <c r="D54" s="725" t="s">
        <v>3814</v>
      </c>
      <c r="E54" s="725" t="s">
        <v>3815</v>
      </c>
      <c r="F54" s="728"/>
      <c r="G54" s="728"/>
      <c r="H54" s="728"/>
      <c r="I54" s="728"/>
      <c r="J54" s="728"/>
      <c r="K54" s="728"/>
      <c r="L54" s="728"/>
      <c r="M54" s="728"/>
      <c r="N54" s="728">
        <v>1</v>
      </c>
      <c r="O54" s="728">
        <v>167</v>
      </c>
      <c r="P54" s="741"/>
      <c r="Q54" s="729">
        <v>167</v>
      </c>
    </row>
    <row r="55" spans="1:17" ht="14.4" customHeight="1" x14ac:dyDescent="0.3">
      <c r="A55" s="724" t="s">
        <v>3768</v>
      </c>
      <c r="B55" s="725" t="s">
        <v>3769</v>
      </c>
      <c r="C55" s="725" t="s">
        <v>2989</v>
      </c>
      <c r="D55" s="725" t="s">
        <v>3816</v>
      </c>
      <c r="E55" s="725" t="s">
        <v>3817</v>
      </c>
      <c r="F55" s="728"/>
      <c r="G55" s="728"/>
      <c r="H55" s="728"/>
      <c r="I55" s="728"/>
      <c r="J55" s="728"/>
      <c r="K55" s="728"/>
      <c r="L55" s="728"/>
      <c r="M55" s="728"/>
      <c r="N55" s="728">
        <v>2</v>
      </c>
      <c r="O55" s="728">
        <v>348</v>
      </c>
      <c r="P55" s="741"/>
      <c r="Q55" s="729">
        <v>174</v>
      </c>
    </row>
    <row r="56" spans="1:17" ht="14.4" customHeight="1" x14ac:dyDescent="0.3">
      <c r="A56" s="724" t="s">
        <v>3768</v>
      </c>
      <c r="B56" s="725" t="s">
        <v>3769</v>
      </c>
      <c r="C56" s="725" t="s">
        <v>2989</v>
      </c>
      <c r="D56" s="725" t="s">
        <v>3818</v>
      </c>
      <c r="E56" s="725" t="s">
        <v>3819</v>
      </c>
      <c r="F56" s="728"/>
      <c r="G56" s="728"/>
      <c r="H56" s="728"/>
      <c r="I56" s="728"/>
      <c r="J56" s="728">
        <v>1</v>
      </c>
      <c r="K56" s="728">
        <v>310</v>
      </c>
      <c r="L56" s="728">
        <v>1</v>
      </c>
      <c r="M56" s="728">
        <v>310</v>
      </c>
      <c r="N56" s="728">
        <v>1</v>
      </c>
      <c r="O56" s="728">
        <v>310</v>
      </c>
      <c r="P56" s="741">
        <v>1</v>
      </c>
      <c r="Q56" s="729">
        <v>310</v>
      </c>
    </row>
    <row r="57" spans="1:17" ht="14.4" customHeight="1" x14ac:dyDescent="0.3">
      <c r="A57" s="724" t="s">
        <v>3768</v>
      </c>
      <c r="B57" s="725" t="s">
        <v>3769</v>
      </c>
      <c r="C57" s="725" t="s">
        <v>2989</v>
      </c>
      <c r="D57" s="725" t="s">
        <v>3820</v>
      </c>
      <c r="E57" s="725" t="s">
        <v>3821</v>
      </c>
      <c r="F57" s="728"/>
      <c r="G57" s="728"/>
      <c r="H57" s="728"/>
      <c r="I57" s="728"/>
      <c r="J57" s="728"/>
      <c r="K57" s="728"/>
      <c r="L57" s="728"/>
      <c r="M57" s="728"/>
      <c r="N57" s="728">
        <v>1</v>
      </c>
      <c r="O57" s="728">
        <v>352</v>
      </c>
      <c r="P57" s="741"/>
      <c r="Q57" s="729">
        <v>352</v>
      </c>
    </row>
    <row r="58" spans="1:17" ht="14.4" customHeight="1" x14ac:dyDescent="0.3">
      <c r="A58" s="724" t="s">
        <v>3768</v>
      </c>
      <c r="B58" s="725" t="s">
        <v>3769</v>
      </c>
      <c r="C58" s="725" t="s">
        <v>2989</v>
      </c>
      <c r="D58" s="725" t="s">
        <v>3822</v>
      </c>
      <c r="E58" s="725" t="s">
        <v>3823</v>
      </c>
      <c r="F58" s="728"/>
      <c r="G58" s="728"/>
      <c r="H58" s="728"/>
      <c r="I58" s="728"/>
      <c r="J58" s="728"/>
      <c r="K58" s="728"/>
      <c r="L58" s="728"/>
      <c r="M58" s="728"/>
      <c r="N58" s="728">
        <v>1</v>
      </c>
      <c r="O58" s="728">
        <v>352</v>
      </c>
      <c r="P58" s="741"/>
      <c r="Q58" s="729">
        <v>352</v>
      </c>
    </row>
    <row r="59" spans="1:17" ht="14.4" customHeight="1" x14ac:dyDescent="0.3">
      <c r="A59" s="724" t="s">
        <v>3768</v>
      </c>
      <c r="B59" s="725" t="s">
        <v>3769</v>
      </c>
      <c r="C59" s="725" t="s">
        <v>2989</v>
      </c>
      <c r="D59" s="725" t="s">
        <v>3824</v>
      </c>
      <c r="E59" s="725" t="s">
        <v>3825</v>
      </c>
      <c r="F59" s="728"/>
      <c r="G59" s="728"/>
      <c r="H59" s="728"/>
      <c r="I59" s="728"/>
      <c r="J59" s="728">
        <v>1</v>
      </c>
      <c r="K59" s="728">
        <v>1221</v>
      </c>
      <c r="L59" s="728">
        <v>1</v>
      </c>
      <c r="M59" s="728">
        <v>1221</v>
      </c>
      <c r="N59" s="728"/>
      <c r="O59" s="728"/>
      <c r="P59" s="741"/>
      <c r="Q59" s="729"/>
    </row>
    <row r="60" spans="1:17" ht="14.4" customHeight="1" x14ac:dyDescent="0.3">
      <c r="A60" s="724" t="s">
        <v>3768</v>
      </c>
      <c r="B60" s="725" t="s">
        <v>3769</v>
      </c>
      <c r="C60" s="725" t="s">
        <v>2989</v>
      </c>
      <c r="D60" s="725" t="s">
        <v>3826</v>
      </c>
      <c r="E60" s="725" t="s">
        <v>3827</v>
      </c>
      <c r="F60" s="728">
        <v>12</v>
      </c>
      <c r="G60" s="728">
        <v>9432</v>
      </c>
      <c r="H60" s="728">
        <v>0.99872935196950441</v>
      </c>
      <c r="I60" s="728">
        <v>786</v>
      </c>
      <c r="J60" s="728">
        <v>12</v>
      </c>
      <c r="K60" s="728">
        <v>9444</v>
      </c>
      <c r="L60" s="728">
        <v>1</v>
      </c>
      <c r="M60" s="728">
        <v>787</v>
      </c>
      <c r="N60" s="728">
        <v>8</v>
      </c>
      <c r="O60" s="728">
        <v>6304</v>
      </c>
      <c r="P60" s="741">
        <v>0.66751376535366369</v>
      </c>
      <c r="Q60" s="729">
        <v>788</v>
      </c>
    </row>
    <row r="61" spans="1:17" ht="14.4" customHeight="1" x14ac:dyDescent="0.3">
      <c r="A61" s="724" t="s">
        <v>3768</v>
      </c>
      <c r="B61" s="725" t="s">
        <v>3769</v>
      </c>
      <c r="C61" s="725" t="s">
        <v>2989</v>
      </c>
      <c r="D61" s="725" t="s">
        <v>3828</v>
      </c>
      <c r="E61" s="725" t="s">
        <v>3829</v>
      </c>
      <c r="F61" s="728">
        <v>5</v>
      </c>
      <c r="G61" s="728">
        <v>940</v>
      </c>
      <c r="H61" s="728">
        <v>1.6578483245149911</v>
      </c>
      <c r="I61" s="728">
        <v>188</v>
      </c>
      <c r="J61" s="728">
        <v>3</v>
      </c>
      <c r="K61" s="728">
        <v>567</v>
      </c>
      <c r="L61" s="728">
        <v>1</v>
      </c>
      <c r="M61" s="728">
        <v>189</v>
      </c>
      <c r="N61" s="728">
        <v>10</v>
      </c>
      <c r="O61" s="728">
        <v>1890</v>
      </c>
      <c r="P61" s="741">
        <v>3.3333333333333335</v>
      </c>
      <c r="Q61" s="729">
        <v>189</v>
      </c>
    </row>
    <row r="62" spans="1:17" ht="14.4" customHeight="1" x14ac:dyDescent="0.3">
      <c r="A62" s="724" t="s">
        <v>3768</v>
      </c>
      <c r="B62" s="725" t="s">
        <v>3769</v>
      </c>
      <c r="C62" s="725" t="s">
        <v>2989</v>
      </c>
      <c r="D62" s="725" t="s">
        <v>3830</v>
      </c>
      <c r="E62" s="725" t="s">
        <v>3831</v>
      </c>
      <c r="F62" s="728"/>
      <c r="G62" s="728"/>
      <c r="H62" s="728"/>
      <c r="I62" s="728"/>
      <c r="J62" s="728"/>
      <c r="K62" s="728"/>
      <c r="L62" s="728"/>
      <c r="M62" s="728"/>
      <c r="N62" s="728">
        <v>1</v>
      </c>
      <c r="O62" s="728">
        <v>179</v>
      </c>
      <c r="P62" s="741"/>
      <c r="Q62" s="729">
        <v>179</v>
      </c>
    </row>
    <row r="63" spans="1:17" ht="14.4" customHeight="1" x14ac:dyDescent="0.3">
      <c r="A63" s="724" t="s">
        <v>3768</v>
      </c>
      <c r="B63" s="725" t="s">
        <v>3769</v>
      </c>
      <c r="C63" s="725" t="s">
        <v>2989</v>
      </c>
      <c r="D63" s="725" t="s">
        <v>3832</v>
      </c>
      <c r="E63" s="725" t="s">
        <v>3833</v>
      </c>
      <c r="F63" s="728"/>
      <c r="G63" s="728"/>
      <c r="H63" s="728"/>
      <c r="I63" s="728"/>
      <c r="J63" s="728">
        <v>1</v>
      </c>
      <c r="K63" s="728">
        <v>562</v>
      </c>
      <c r="L63" s="728">
        <v>1</v>
      </c>
      <c r="M63" s="728">
        <v>562</v>
      </c>
      <c r="N63" s="728"/>
      <c r="O63" s="728"/>
      <c r="P63" s="741"/>
      <c r="Q63" s="729"/>
    </row>
    <row r="64" spans="1:17" ht="14.4" customHeight="1" x14ac:dyDescent="0.3">
      <c r="A64" s="724" t="s">
        <v>3768</v>
      </c>
      <c r="B64" s="725" t="s">
        <v>3769</v>
      </c>
      <c r="C64" s="725" t="s">
        <v>2989</v>
      </c>
      <c r="D64" s="725" t="s">
        <v>3834</v>
      </c>
      <c r="E64" s="725" t="s">
        <v>3835</v>
      </c>
      <c r="F64" s="728">
        <v>3</v>
      </c>
      <c r="G64" s="728">
        <v>513</v>
      </c>
      <c r="H64" s="728">
        <v>0.9941860465116279</v>
      </c>
      <c r="I64" s="728">
        <v>171</v>
      </c>
      <c r="J64" s="728">
        <v>3</v>
      </c>
      <c r="K64" s="728">
        <v>516</v>
      </c>
      <c r="L64" s="728">
        <v>1</v>
      </c>
      <c r="M64" s="728">
        <v>172</v>
      </c>
      <c r="N64" s="728">
        <v>6</v>
      </c>
      <c r="O64" s="728">
        <v>1032</v>
      </c>
      <c r="P64" s="741">
        <v>2</v>
      </c>
      <c r="Q64" s="729">
        <v>172</v>
      </c>
    </row>
    <row r="65" spans="1:17" ht="14.4" customHeight="1" x14ac:dyDescent="0.3">
      <c r="A65" s="724" t="s">
        <v>3768</v>
      </c>
      <c r="B65" s="725" t="s">
        <v>3769</v>
      </c>
      <c r="C65" s="725" t="s">
        <v>2989</v>
      </c>
      <c r="D65" s="725" t="s">
        <v>3836</v>
      </c>
      <c r="E65" s="725" t="s">
        <v>3837</v>
      </c>
      <c r="F65" s="728"/>
      <c r="G65" s="728"/>
      <c r="H65" s="728"/>
      <c r="I65" s="728"/>
      <c r="J65" s="728"/>
      <c r="K65" s="728"/>
      <c r="L65" s="728"/>
      <c r="M65" s="728"/>
      <c r="N65" s="728">
        <v>1</v>
      </c>
      <c r="O65" s="728">
        <v>201</v>
      </c>
      <c r="P65" s="741"/>
      <c r="Q65" s="729">
        <v>201</v>
      </c>
    </row>
    <row r="66" spans="1:17" ht="14.4" customHeight="1" x14ac:dyDescent="0.3">
      <c r="A66" s="724" t="s">
        <v>3768</v>
      </c>
      <c r="B66" s="725" t="s">
        <v>3769</v>
      </c>
      <c r="C66" s="725" t="s">
        <v>2989</v>
      </c>
      <c r="D66" s="725" t="s">
        <v>3838</v>
      </c>
      <c r="E66" s="725" t="s">
        <v>3839</v>
      </c>
      <c r="F66" s="728"/>
      <c r="G66" s="728"/>
      <c r="H66" s="728"/>
      <c r="I66" s="728"/>
      <c r="J66" s="728"/>
      <c r="K66" s="728"/>
      <c r="L66" s="728"/>
      <c r="M66" s="728"/>
      <c r="N66" s="728">
        <v>1</v>
      </c>
      <c r="O66" s="728">
        <v>133</v>
      </c>
      <c r="P66" s="741"/>
      <c r="Q66" s="729">
        <v>133</v>
      </c>
    </row>
    <row r="67" spans="1:17" ht="14.4" customHeight="1" x14ac:dyDescent="0.3">
      <c r="A67" s="724" t="s">
        <v>3768</v>
      </c>
      <c r="B67" s="725" t="s">
        <v>3769</v>
      </c>
      <c r="C67" s="725" t="s">
        <v>2989</v>
      </c>
      <c r="D67" s="725" t="s">
        <v>3840</v>
      </c>
      <c r="E67" s="725" t="s">
        <v>3841</v>
      </c>
      <c r="F67" s="728">
        <v>666</v>
      </c>
      <c r="G67" s="728">
        <v>19980</v>
      </c>
      <c r="H67" s="728">
        <v>0.97653958944281527</v>
      </c>
      <c r="I67" s="728">
        <v>30</v>
      </c>
      <c r="J67" s="728">
        <v>682</v>
      </c>
      <c r="K67" s="728">
        <v>20460</v>
      </c>
      <c r="L67" s="728">
        <v>1</v>
      </c>
      <c r="M67" s="728">
        <v>30</v>
      </c>
      <c r="N67" s="728">
        <v>660</v>
      </c>
      <c r="O67" s="728">
        <v>19800</v>
      </c>
      <c r="P67" s="741">
        <v>0.967741935483871</v>
      </c>
      <c r="Q67" s="729">
        <v>30</v>
      </c>
    </row>
    <row r="68" spans="1:17" ht="14.4" customHeight="1" x14ac:dyDescent="0.3">
      <c r="A68" s="724" t="s">
        <v>3768</v>
      </c>
      <c r="B68" s="725" t="s">
        <v>3769</v>
      </c>
      <c r="C68" s="725" t="s">
        <v>2989</v>
      </c>
      <c r="D68" s="725" t="s">
        <v>3842</v>
      </c>
      <c r="E68" s="725" t="s">
        <v>3843</v>
      </c>
      <c r="F68" s="728"/>
      <c r="G68" s="728"/>
      <c r="H68" s="728"/>
      <c r="I68" s="728"/>
      <c r="J68" s="728">
        <v>1</v>
      </c>
      <c r="K68" s="728">
        <v>50</v>
      </c>
      <c r="L68" s="728">
        <v>1</v>
      </c>
      <c r="M68" s="728">
        <v>50</v>
      </c>
      <c r="N68" s="728"/>
      <c r="O68" s="728"/>
      <c r="P68" s="741"/>
      <c r="Q68" s="729"/>
    </row>
    <row r="69" spans="1:17" ht="14.4" customHeight="1" x14ac:dyDescent="0.3">
      <c r="A69" s="724" t="s">
        <v>3768</v>
      </c>
      <c r="B69" s="725" t="s">
        <v>3769</v>
      </c>
      <c r="C69" s="725" t="s">
        <v>2989</v>
      </c>
      <c r="D69" s="725" t="s">
        <v>3844</v>
      </c>
      <c r="E69" s="725" t="s">
        <v>3845</v>
      </c>
      <c r="F69" s="728">
        <v>612</v>
      </c>
      <c r="G69" s="728">
        <v>7344</v>
      </c>
      <c r="H69" s="728">
        <v>0.98550724637681164</v>
      </c>
      <c r="I69" s="728">
        <v>12</v>
      </c>
      <c r="J69" s="728">
        <v>621</v>
      </c>
      <c r="K69" s="728">
        <v>7452</v>
      </c>
      <c r="L69" s="728">
        <v>1</v>
      </c>
      <c r="M69" s="728">
        <v>12</v>
      </c>
      <c r="N69" s="728">
        <v>596</v>
      </c>
      <c r="O69" s="728">
        <v>7152</v>
      </c>
      <c r="P69" s="741">
        <v>0.95974235104669892</v>
      </c>
      <c r="Q69" s="729">
        <v>12</v>
      </c>
    </row>
    <row r="70" spans="1:17" ht="14.4" customHeight="1" x14ac:dyDescent="0.3">
      <c r="A70" s="724" t="s">
        <v>3768</v>
      </c>
      <c r="B70" s="725" t="s">
        <v>3769</v>
      </c>
      <c r="C70" s="725" t="s">
        <v>2989</v>
      </c>
      <c r="D70" s="725" t="s">
        <v>3846</v>
      </c>
      <c r="E70" s="725" t="s">
        <v>3847</v>
      </c>
      <c r="F70" s="728">
        <v>4</v>
      </c>
      <c r="G70" s="728">
        <v>728</v>
      </c>
      <c r="H70" s="728">
        <v>0.7956284153005464</v>
      </c>
      <c r="I70" s="728">
        <v>182</v>
      </c>
      <c r="J70" s="728">
        <v>5</v>
      </c>
      <c r="K70" s="728">
        <v>915</v>
      </c>
      <c r="L70" s="728">
        <v>1</v>
      </c>
      <c r="M70" s="728">
        <v>183</v>
      </c>
      <c r="N70" s="728">
        <v>6</v>
      </c>
      <c r="O70" s="728">
        <v>1098</v>
      </c>
      <c r="P70" s="741">
        <v>1.2</v>
      </c>
      <c r="Q70" s="729">
        <v>183</v>
      </c>
    </row>
    <row r="71" spans="1:17" ht="14.4" customHeight="1" x14ac:dyDescent="0.3">
      <c r="A71" s="724" t="s">
        <v>3768</v>
      </c>
      <c r="B71" s="725" t="s">
        <v>3769</v>
      </c>
      <c r="C71" s="725" t="s">
        <v>2989</v>
      </c>
      <c r="D71" s="725" t="s">
        <v>3848</v>
      </c>
      <c r="E71" s="725" t="s">
        <v>3849</v>
      </c>
      <c r="F71" s="728">
        <v>49</v>
      </c>
      <c r="G71" s="728">
        <v>3528</v>
      </c>
      <c r="H71" s="728">
        <v>1.7899543378995433</v>
      </c>
      <c r="I71" s="728">
        <v>72</v>
      </c>
      <c r="J71" s="728">
        <v>27</v>
      </c>
      <c r="K71" s="728">
        <v>1971</v>
      </c>
      <c r="L71" s="728">
        <v>1</v>
      </c>
      <c r="M71" s="728">
        <v>73</v>
      </c>
      <c r="N71" s="728">
        <v>42</v>
      </c>
      <c r="O71" s="728">
        <v>3066</v>
      </c>
      <c r="P71" s="741">
        <v>1.5555555555555556</v>
      </c>
      <c r="Q71" s="729">
        <v>73</v>
      </c>
    </row>
    <row r="72" spans="1:17" ht="14.4" customHeight="1" x14ac:dyDescent="0.3">
      <c r="A72" s="724" t="s">
        <v>3768</v>
      </c>
      <c r="B72" s="725" t="s">
        <v>3769</v>
      </c>
      <c r="C72" s="725" t="s">
        <v>2989</v>
      </c>
      <c r="D72" s="725" t="s">
        <v>3850</v>
      </c>
      <c r="E72" s="725" t="s">
        <v>3851</v>
      </c>
      <c r="F72" s="728">
        <v>4</v>
      </c>
      <c r="G72" s="728">
        <v>732</v>
      </c>
      <c r="H72" s="728">
        <v>0.99456521739130432</v>
      </c>
      <c r="I72" s="728">
        <v>183</v>
      </c>
      <c r="J72" s="728">
        <v>4</v>
      </c>
      <c r="K72" s="728">
        <v>736</v>
      </c>
      <c r="L72" s="728">
        <v>1</v>
      </c>
      <c r="M72" s="728">
        <v>184</v>
      </c>
      <c r="N72" s="728">
        <v>6</v>
      </c>
      <c r="O72" s="728">
        <v>1104</v>
      </c>
      <c r="P72" s="741">
        <v>1.5</v>
      </c>
      <c r="Q72" s="729">
        <v>184</v>
      </c>
    </row>
    <row r="73" spans="1:17" ht="14.4" customHeight="1" x14ac:dyDescent="0.3">
      <c r="A73" s="724" t="s">
        <v>3768</v>
      </c>
      <c r="B73" s="725" t="s">
        <v>3769</v>
      </c>
      <c r="C73" s="725" t="s">
        <v>2989</v>
      </c>
      <c r="D73" s="725" t="s">
        <v>3852</v>
      </c>
      <c r="E73" s="725" t="s">
        <v>3853</v>
      </c>
      <c r="F73" s="728">
        <v>332</v>
      </c>
      <c r="G73" s="728">
        <v>49136</v>
      </c>
      <c r="H73" s="728">
        <v>0.87241220127126162</v>
      </c>
      <c r="I73" s="728">
        <v>148</v>
      </c>
      <c r="J73" s="728">
        <v>378</v>
      </c>
      <c r="K73" s="728">
        <v>56322</v>
      </c>
      <c r="L73" s="728">
        <v>1</v>
      </c>
      <c r="M73" s="728">
        <v>149</v>
      </c>
      <c r="N73" s="728">
        <v>371</v>
      </c>
      <c r="O73" s="728">
        <v>55279</v>
      </c>
      <c r="P73" s="741">
        <v>0.98148148148148151</v>
      </c>
      <c r="Q73" s="729">
        <v>149</v>
      </c>
    </row>
    <row r="74" spans="1:17" ht="14.4" customHeight="1" x14ac:dyDescent="0.3">
      <c r="A74" s="724" t="s">
        <v>3768</v>
      </c>
      <c r="B74" s="725" t="s">
        <v>3769</v>
      </c>
      <c r="C74" s="725" t="s">
        <v>2989</v>
      </c>
      <c r="D74" s="725" t="s">
        <v>3854</v>
      </c>
      <c r="E74" s="725" t="s">
        <v>3855</v>
      </c>
      <c r="F74" s="728">
        <v>678</v>
      </c>
      <c r="G74" s="728">
        <v>20340</v>
      </c>
      <c r="H74" s="728">
        <v>0.97694524495677237</v>
      </c>
      <c r="I74" s="728">
        <v>30</v>
      </c>
      <c r="J74" s="728">
        <v>694</v>
      </c>
      <c r="K74" s="728">
        <v>20820</v>
      </c>
      <c r="L74" s="728">
        <v>1</v>
      </c>
      <c r="M74" s="728">
        <v>30</v>
      </c>
      <c r="N74" s="728">
        <v>673</v>
      </c>
      <c r="O74" s="728">
        <v>20190</v>
      </c>
      <c r="P74" s="741">
        <v>0.96974063400576371</v>
      </c>
      <c r="Q74" s="729">
        <v>30</v>
      </c>
    </row>
    <row r="75" spans="1:17" ht="14.4" customHeight="1" x14ac:dyDescent="0.3">
      <c r="A75" s="724" t="s">
        <v>3768</v>
      </c>
      <c r="B75" s="725" t="s">
        <v>3769</v>
      </c>
      <c r="C75" s="725" t="s">
        <v>2989</v>
      </c>
      <c r="D75" s="725" t="s">
        <v>3856</v>
      </c>
      <c r="E75" s="725" t="s">
        <v>3857</v>
      </c>
      <c r="F75" s="728">
        <v>82</v>
      </c>
      <c r="G75" s="728">
        <v>2542</v>
      </c>
      <c r="H75" s="728">
        <v>0.82</v>
      </c>
      <c r="I75" s="728">
        <v>31</v>
      </c>
      <c r="J75" s="728">
        <v>100</v>
      </c>
      <c r="K75" s="728">
        <v>3100</v>
      </c>
      <c r="L75" s="728">
        <v>1</v>
      </c>
      <c r="M75" s="728">
        <v>31</v>
      </c>
      <c r="N75" s="728">
        <v>92</v>
      </c>
      <c r="O75" s="728">
        <v>2852</v>
      </c>
      <c r="P75" s="741">
        <v>0.92</v>
      </c>
      <c r="Q75" s="729">
        <v>31</v>
      </c>
    </row>
    <row r="76" spans="1:17" ht="14.4" customHeight="1" x14ac:dyDescent="0.3">
      <c r="A76" s="724" t="s">
        <v>3768</v>
      </c>
      <c r="B76" s="725" t="s">
        <v>3769</v>
      </c>
      <c r="C76" s="725" t="s">
        <v>2989</v>
      </c>
      <c r="D76" s="725" t="s">
        <v>3858</v>
      </c>
      <c r="E76" s="725" t="s">
        <v>3859</v>
      </c>
      <c r="F76" s="728">
        <v>116</v>
      </c>
      <c r="G76" s="728">
        <v>3132</v>
      </c>
      <c r="H76" s="728">
        <v>0.92800000000000005</v>
      </c>
      <c r="I76" s="728">
        <v>27</v>
      </c>
      <c r="J76" s="728">
        <v>125</v>
      </c>
      <c r="K76" s="728">
        <v>3375</v>
      </c>
      <c r="L76" s="728">
        <v>1</v>
      </c>
      <c r="M76" s="728">
        <v>27</v>
      </c>
      <c r="N76" s="728">
        <v>131</v>
      </c>
      <c r="O76" s="728">
        <v>3537</v>
      </c>
      <c r="P76" s="741">
        <v>1.048</v>
      </c>
      <c r="Q76" s="729">
        <v>27</v>
      </c>
    </row>
    <row r="77" spans="1:17" ht="14.4" customHeight="1" x14ac:dyDescent="0.3">
      <c r="A77" s="724" t="s">
        <v>3768</v>
      </c>
      <c r="B77" s="725" t="s">
        <v>3769</v>
      </c>
      <c r="C77" s="725" t="s">
        <v>2989</v>
      </c>
      <c r="D77" s="725" t="s">
        <v>3860</v>
      </c>
      <c r="E77" s="725" t="s">
        <v>3861</v>
      </c>
      <c r="F77" s="728"/>
      <c r="G77" s="728"/>
      <c r="H77" s="728"/>
      <c r="I77" s="728"/>
      <c r="J77" s="728"/>
      <c r="K77" s="728"/>
      <c r="L77" s="728"/>
      <c r="M77" s="728"/>
      <c r="N77" s="728">
        <v>2</v>
      </c>
      <c r="O77" s="728">
        <v>512</v>
      </c>
      <c r="P77" s="741"/>
      <c r="Q77" s="729">
        <v>256</v>
      </c>
    </row>
    <row r="78" spans="1:17" ht="14.4" customHeight="1" x14ac:dyDescent="0.3">
      <c r="A78" s="724" t="s">
        <v>3768</v>
      </c>
      <c r="B78" s="725" t="s">
        <v>3769</v>
      </c>
      <c r="C78" s="725" t="s">
        <v>2989</v>
      </c>
      <c r="D78" s="725" t="s">
        <v>3862</v>
      </c>
      <c r="E78" s="725" t="s">
        <v>3863</v>
      </c>
      <c r="F78" s="728">
        <v>3</v>
      </c>
      <c r="G78" s="728">
        <v>486</v>
      </c>
      <c r="H78" s="728">
        <v>0.99386503067484666</v>
      </c>
      <c r="I78" s="728">
        <v>162</v>
      </c>
      <c r="J78" s="728">
        <v>3</v>
      </c>
      <c r="K78" s="728">
        <v>489</v>
      </c>
      <c r="L78" s="728">
        <v>1</v>
      </c>
      <c r="M78" s="728">
        <v>163</v>
      </c>
      <c r="N78" s="728">
        <v>6</v>
      </c>
      <c r="O78" s="728">
        <v>978</v>
      </c>
      <c r="P78" s="741">
        <v>2</v>
      </c>
      <c r="Q78" s="729">
        <v>163</v>
      </c>
    </row>
    <row r="79" spans="1:17" ht="14.4" customHeight="1" x14ac:dyDescent="0.3">
      <c r="A79" s="724" t="s">
        <v>3768</v>
      </c>
      <c r="B79" s="725" t="s">
        <v>3769</v>
      </c>
      <c r="C79" s="725" t="s">
        <v>2989</v>
      </c>
      <c r="D79" s="725" t="s">
        <v>3864</v>
      </c>
      <c r="E79" s="725" t="s">
        <v>3865</v>
      </c>
      <c r="F79" s="728">
        <v>1</v>
      </c>
      <c r="G79" s="728">
        <v>22</v>
      </c>
      <c r="H79" s="728"/>
      <c r="I79" s="728">
        <v>22</v>
      </c>
      <c r="J79" s="728"/>
      <c r="K79" s="728"/>
      <c r="L79" s="728"/>
      <c r="M79" s="728"/>
      <c r="N79" s="728"/>
      <c r="O79" s="728"/>
      <c r="P79" s="741"/>
      <c r="Q79" s="729"/>
    </row>
    <row r="80" spans="1:17" ht="14.4" customHeight="1" x14ac:dyDescent="0.3">
      <c r="A80" s="724" t="s">
        <v>3768</v>
      </c>
      <c r="B80" s="725" t="s">
        <v>3769</v>
      </c>
      <c r="C80" s="725" t="s">
        <v>2989</v>
      </c>
      <c r="D80" s="725" t="s">
        <v>3866</v>
      </c>
      <c r="E80" s="725" t="s">
        <v>3867</v>
      </c>
      <c r="F80" s="728">
        <v>2</v>
      </c>
      <c r="G80" s="728">
        <v>1724</v>
      </c>
      <c r="H80" s="728">
        <v>0.66053639846743295</v>
      </c>
      <c r="I80" s="728">
        <v>862</v>
      </c>
      <c r="J80" s="728">
        <v>3</v>
      </c>
      <c r="K80" s="728">
        <v>2610</v>
      </c>
      <c r="L80" s="728">
        <v>1</v>
      </c>
      <c r="M80" s="728">
        <v>870</v>
      </c>
      <c r="N80" s="728">
        <v>7</v>
      </c>
      <c r="O80" s="728">
        <v>6090</v>
      </c>
      <c r="P80" s="741">
        <v>2.3333333333333335</v>
      </c>
      <c r="Q80" s="729">
        <v>870</v>
      </c>
    </row>
    <row r="81" spans="1:17" ht="14.4" customHeight="1" x14ac:dyDescent="0.3">
      <c r="A81" s="724" t="s">
        <v>3768</v>
      </c>
      <c r="B81" s="725" t="s">
        <v>3769</v>
      </c>
      <c r="C81" s="725" t="s">
        <v>2989</v>
      </c>
      <c r="D81" s="725" t="s">
        <v>3868</v>
      </c>
      <c r="E81" s="725" t="s">
        <v>3869</v>
      </c>
      <c r="F81" s="728">
        <v>143</v>
      </c>
      <c r="G81" s="728">
        <v>3575</v>
      </c>
      <c r="H81" s="728">
        <v>0.95973154362416102</v>
      </c>
      <c r="I81" s="728">
        <v>25</v>
      </c>
      <c r="J81" s="728">
        <v>149</v>
      </c>
      <c r="K81" s="728">
        <v>3725</v>
      </c>
      <c r="L81" s="728">
        <v>1</v>
      </c>
      <c r="M81" s="728">
        <v>25</v>
      </c>
      <c r="N81" s="728">
        <v>161</v>
      </c>
      <c r="O81" s="728">
        <v>4025</v>
      </c>
      <c r="P81" s="741">
        <v>1.080536912751678</v>
      </c>
      <c r="Q81" s="729">
        <v>25</v>
      </c>
    </row>
    <row r="82" spans="1:17" ht="14.4" customHeight="1" x14ac:dyDescent="0.3">
      <c r="A82" s="724" t="s">
        <v>3768</v>
      </c>
      <c r="B82" s="725" t="s">
        <v>3769</v>
      </c>
      <c r="C82" s="725" t="s">
        <v>2989</v>
      </c>
      <c r="D82" s="725" t="s">
        <v>3870</v>
      </c>
      <c r="E82" s="725" t="s">
        <v>3871</v>
      </c>
      <c r="F82" s="728">
        <v>1</v>
      </c>
      <c r="G82" s="728">
        <v>33</v>
      </c>
      <c r="H82" s="728">
        <v>0.33333333333333331</v>
      </c>
      <c r="I82" s="728">
        <v>33</v>
      </c>
      <c r="J82" s="728">
        <v>3</v>
      </c>
      <c r="K82" s="728">
        <v>99</v>
      </c>
      <c r="L82" s="728">
        <v>1</v>
      </c>
      <c r="M82" s="728">
        <v>33</v>
      </c>
      <c r="N82" s="728">
        <v>2</v>
      </c>
      <c r="O82" s="728">
        <v>66</v>
      </c>
      <c r="P82" s="741">
        <v>0.66666666666666663</v>
      </c>
      <c r="Q82" s="729">
        <v>33</v>
      </c>
    </row>
    <row r="83" spans="1:17" ht="14.4" customHeight="1" x14ac:dyDescent="0.3">
      <c r="A83" s="724" t="s">
        <v>3768</v>
      </c>
      <c r="B83" s="725" t="s">
        <v>3769</v>
      </c>
      <c r="C83" s="725" t="s">
        <v>2989</v>
      </c>
      <c r="D83" s="725" t="s">
        <v>3872</v>
      </c>
      <c r="E83" s="725" t="s">
        <v>3873</v>
      </c>
      <c r="F83" s="728">
        <v>2</v>
      </c>
      <c r="G83" s="728">
        <v>52</v>
      </c>
      <c r="H83" s="728">
        <v>1</v>
      </c>
      <c r="I83" s="728">
        <v>26</v>
      </c>
      <c r="J83" s="728">
        <v>2</v>
      </c>
      <c r="K83" s="728">
        <v>52</v>
      </c>
      <c r="L83" s="728">
        <v>1</v>
      </c>
      <c r="M83" s="728">
        <v>26</v>
      </c>
      <c r="N83" s="728">
        <v>4</v>
      </c>
      <c r="O83" s="728">
        <v>104</v>
      </c>
      <c r="P83" s="741">
        <v>2</v>
      </c>
      <c r="Q83" s="729">
        <v>26</v>
      </c>
    </row>
    <row r="84" spans="1:17" ht="14.4" customHeight="1" x14ac:dyDescent="0.3">
      <c r="A84" s="724" t="s">
        <v>3768</v>
      </c>
      <c r="B84" s="725" t="s">
        <v>3769</v>
      </c>
      <c r="C84" s="725" t="s">
        <v>2989</v>
      </c>
      <c r="D84" s="725" t="s">
        <v>3874</v>
      </c>
      <c r="E84" s="725" t="s">
        <v>3875</v>
      </c>
      <c r="F84" s="728">
        <v>8</v>
      </c>
      <c r="G84" s="728">
        <v>672</v>
      </c>
      <c r="H84" s="728">
        <v>4</v>
      </c>
      <c r="I84" s="728">
        <v>84</v>
      </c>
      <c r="J84" s="728">
        <v>2</v>
      </c>
      <c r="K84" s="728">
        <v>168</v>
      </c>
      <c r="L84" s="728">
        <v>1</v>
      </c>
      <c r="M84" s="728">
        <v>84</v>
      </c>
      <c r="N84" s="728">
        <v>17</v>
      </c>
      <c r="O84" s="728">
        <v>1428</v>
      </c>
      <c r="P84" s="741">
        <v>8.5</v>
      </c>
      <c r="Q84" s="729">
        <v>84</v>
      </c>
    </row>
    <row r="85" spans="1:17" ht="14.4" customHeight="1" x14ac:dyDescent="0.3">
      <c r="A85" s="724" t="s">
        <v>3768</v>
      </c>
      <c r="B85" s="725" t="s">
        <v>3769</v>
      </c>
      <c r="C85" s="725" t="s">
        <v>2989</v>
      </c>
      <c r="D85" s="725" t="s">
        <v>3876</v>
      </c>
      <c r="E85" s="725" t="s">
        <v>3877</v>
      </c>
      <c r="F85" s="728">
        <v>4</v>
      </c>
      <c r="G85" s="728">
        <v>700</v>
      </c>
      <c r="H85" s="728">
        <v>0.66287878787878785</v>
      </c>
      <c r="I85" s="728">
        <v>175</v>
      </c>
      <c r="J85" s="728">
        <v>6</v>
      </c>
      <c r="K85" s="728">
        <v>1056</v>
      </c>
      <c r="L85" s="728">
        <v>1</v>
      </c>
      <c r="M85" s="728">
        <v>176</v>
      </c>
      <c r="N85" s="728">
        <v>7</v>
      </c>
      <c r="O85" s="728">
        <v>1232</v>
      </c>
      <c r="P85" s="741">
        <v>1.1666666666666667</v>
      </c>
      <c r="Q85" s="729">
        <v>176</v>
      </c>
    </row>
    <row r="86" spans="1:17" ht="14.4" customHeight="1" x14ac:dyDescent="0.3">
      <c r="A86" s="724" t="s">
        <v>3768</v>
      </c>
      <c r="B86" s="725" t="s">
        <v>3769</v>
      </c>
      <c r="C86" s="725" t="s">
        <v>2989</v>
      </c>
      <c r="D86" s="725" t="s">
        <v>3878</v>
      </c>
      <c r="E86" s="725" t="s">
        <v>3879</v>
      </c>
      <c r="F86" s="728">
        <v>1</v>
      </c>
      <c r="G86" s="728">
        <v>15</v>
      </c>
      <c r="H86" s="728">
        <v>1</v>
      </c>
      <c r="I86" s="728">
        <v>15</v>
      </c>
      <c r="J86" s="728">
        <v>1</v>
      </c>
      <c r="K86" s="728">
        <v>15</v>
      </c>
      <c r="L86" s="728">
        <v>1</v>
      </c>
      <c r="M86" s="728">
        <v>15</v>
      </c>
      <c r="N86" s="728">
        <v>1</v>
      </c>
      <c r="O86" s="728">
        <v>15</v>
      </c>
      <c r="P86" s="741">
        <v>1</v>
      </c>
      <c r="Q86" s="729">
        <v>15</v>
      </c>
    </row>
    <row r="87" spans="1:17" ht="14.4" customHeight="1" x14ac:dyDescent="0.3">
      <c r="A87" s="724" t="s">
        <v>3768</v>
      </c>
      <c r="B87" s="725" t="s">
        <v>3769</v>
      </c>
      <c r="C87" s="725" t="s">
        <v>2989</v>
      </c>
      <c r="D87" s="725" t="s">
        <v>3880</v>
      </c>
      <c r="E87" s="725" t="s">
        <v>3881</v>
      </c>
      <c r="F87" s="728">
        <v>14</v>
      </c>
      <c r="G87" s="728">
        <v>322</v>
      </c>
      <c r="H87" s="728">
        <v>0.82352941176470584</v>
      </c>
      <c r="I87" s="728">
        <v>23</v>
      </c>
      <c r="J87" s="728">
        <v>17</v>
      </c>
      <c r="K87" s="728">
        <v>391</v>
      </c>
      <c r="L87" s="728">
        <v>1</v>
      </c>
      <c r="M87" s="728">
        <v>23</v>
      </c>
      <c r="N87" s="728">
        <v>15</v>
      </c>
      <c r="O87" s="728">
        <v>345</v>
      </c>
      <c r="P87" s="741">
        <v>0.88235294117647056</v>
      </c>
      <c r="Q87" s="729">
        <v>23</v>
      </c>
    </row>
    <row r="88" spans="1:17" ht="14.4" customHeight="1" x14ac:dyDescent="0.3">
      <c r="A88" s="724" t="s">
        <v>3768</v>
      </c>
      <c r="B88" s="725" t="s">
        <v>3769</v>
      </c>
      <c r="C88" s="725" t="s">
        <v>2989</v>
      </c>
      <c r="D88" s="725" t="s">
        <v>3882</v>
      </c>
      <c r="E88" s="725" t="s">
        <v>3883</v>
      </c>
      <c r="F88" s="728">
        <v>646</v>
      </c>
      <c r="G88" s="728">
        <v>14858</v>
      </c>
      <c r="H88" s="728">
        <v>0.96996996996996998</v>
      </c>
      <c r="I88" s="728">
        <v>23</v>
      </c>
      <c r="J88" s="728">
        <v>666</v>
      </c>
      <c r="K88" s="728">
        <v>15318</v>
      </c>
      <c r="L88" s="728">
        <v>1</v>
      </c>
      <c r="M88" s="728">
        <v>23</v>
      </c>
      <c r="N88" s="728">
        <v>650</v>
      </c>
      <c r="O88" s="728">
        <v>14950</v>
      </c>
      <c r="P88" s="741">
        <v>0.97597597597597596</v>
      </c>
      <c r="Q88" s="729">
        <v>23</v>
      </c>
    </row>
    <row r="89" spans="1:17" ht="14.4" customHeight="1" x14ac:dyDescent="0.3">
      <c r="A89" s="724" t="s">
        <v>3768</v>
      </c>
      <c r="B89" s="725" t="s">
        <v>3769</v>
      </c>
      <c r="C89" s="725" t="s">
        <v>2989</v>
      </c>
      <c r="D89" s="725" t="s">
        <v>3884</v>
      </c>
      <c r="E89" s="725" t="s">
        <v>3885</v>
      </c>
      <c r="F89" s="728"/>
      <c r="G89" s="728"/>
      <c r="H89" s="728"/>
      <c r="I89" s="728"/>
      <c r="J89" s="728"/>
      <c r="K89" s="728"/>
      <c r="L89" s="728"/>
      <c r="M89" s="728"/>
      <c r="N89" s="728">
        <v>1</v>
      </c>
      <c r="O89" s="728">
        <v>171</v>
      </c>
      <c r="P89" s="741"/>
      <c r="Q89" s="729">
        <v>171</v>
      </c>
    </row>
    <row r="90" spans="1:17" ht="14.4" customHeight="1" x14ac:dyDescent="0.3">
      <c r="A90" s="724" t="s">
        <v>3768</v>
      </c>
      <c r="B90" s="725" t="s">
        <v>3769</v>
      </c>
      <c r="C90" s="725" t="s">
        <v>2989</v>
      </c>
      <c r="D90" s="725" t="s">
        <v>3886</v>
      </c>
      <c r="E90" s="725" t="s">
        <v>3887</v>
      </c>
      <c r="F90" s="728"/>
      <c r="G90" s="728"/>
      <c r="H90" s="728"/>
      <c r="I90" s="728"/>
      <c r="J90" s="728"/>
      <c r="K90" s="728"/>
      <c r="L90" s="728"/>
      <c r="M90" s="728"/>
      <c r="N90" s="728">
        <v>1</v>
      </c>
      <c r="O90" s="728">
        <v>327</v>
      </c>
      <c r="P90" s="741"/>
      <c r="Q90" s="729">
        <v>327</v>
      </c>
    </row>
    <row r="91" spans="1:17" ht="14.4" customHeight="1" x14ac:dyDescent="0.3">
      <c r="A91" s="724" t="s">
        <v>3768</v>
      </c>
      <c r="B91" s="725" t="s">
        <v>3769</v>
      </c>
      <c r="C91" s="725" t="s">
        <v>2989</v>
      </c>
      <c r="D91" s="725" t="s">
        <v>3888</v>
      </c>
      <c r="E91" s="725" t="s">
        <v>3889</v>
      </c>
      <c r="F91" s="728">
        <v>1</v>
      </c>
      <c r="G91" s="728">
        <v>331</v>
      </c>
      <c r="H91" s="728"/>
      <c r="I91" s="728">
        <v>331</v>
      </c>
      <c r="J91" s="728"/>
      <c r="K91" s="728"/>
      <c r="L91" s="728"/>
      <c r="M91" s="728"/>
      <c r="N91" s="728">
        <v>1</v>
      </c>
      <c r="O91" s="728">
        <v>331</v>
      </c>
      <c r="P91" s="741"/>
      <c r="Q91" s="729">
        <v>331</v>
      </c>
    </row>
    <row r="92" spans="1:17" ht="14.4" customHeight="1" x14ac:dyDescent="0.3">
      <c r="A92" s="724" t="s">
        <v>3768</v>
      </c>
      <c r="B92" s="725" t="s">
        <v>3769</v>
      </c>
      <c r="C92" s="725" t="s">
        <v>2989</v>
      </c>
      <c r="D92" s="725" t="s">
        <v>3890</v>
      </c>
      <c r="E92" s="725" t="s">
        <v>3891</v>
      </c>
      <c r="F92" s="728">
        <v>7</v>
      </c>
      <c r="G92" s="728">
        <v>203</v>
      </c>
      <c r="H92" s="728">
        <v>1</v>
      </c>
      <c r="I92" s="728">
        <v>29</v>
      </c>
      <c r="J92" s="728">
        <v>7</v>
      </c>
      <c r="K92" s="728">
        <v>203</v>
      </c>
      <c r="L92" s="728">
        <v>1</v>
      </c>
      <c r="M92" s="728">
        <v>29</v>
      </c>
      <c r="N92" s="728">
        <v>9</v>
      </c>
      <c r="O92" s="728">
        <v>261</v>
      </c>
      <c r="P92" s="741">
        <v>1.2857142857142858</v>
      </c>
      <c r="Q92" s="729">
        <v>29</v>
      </c>
    </row>
    <row r="93" spans="1:17" ht="14.4" customHeight="1" x14ac:dyDescent="0.3">
      <c r="A93" s="724" t="s">
        <v>3768</v>
      </c>
      <c r="B93" s="725" t="s">
        <v>3769</v>
      </c>
      <c r="C93" s="725" t="s">
        <v>2989</v>
      </c>
      <c r="D93" s="725" t="s">
        <v>3892</v>
      </c>
      <c r="E93" s="725" t="s">
        <v>3893</v>
      </c>
      <c r="F93" s="728">
        <v>7</v>
      </c>
      <c r="G93" s="728">
        <v>1239</v>
      </c>
      <c r="H93" s="728">
        <v>0.87008426966292129</v>
      </c>
      <c r="I93" s="728">
        <v>177</v>
      </c>
      <c r="J93" s="728">
        <v>8</v>
      </c>
      <c r="K93" s="728">
        <v>1424</v>
      </c>
      <c r="L93" s="728">
        <v>1</v>
      </c>
      <c r="M93" s="728">
        <v>178</v>
      </c>
      <c r="N93" s="728">
        <v>7</v>
      </c>
      <c r="O93" s="728">
        <v>1246</v>
      </c>
      <c r="P93" s="741">
        <v>0.875</v>
      </c>
      <c r="Q93" s="729">
        <v>178</v>
      </c>
    </row>
    <row r="94" spans="1:17" ht="14.4" customHeight="1" x14ac:dyDescent="0.3">
      <c r="A94" s="724" t="s">
        <v>3768</v>
      </c>
      <c r="B94" s="725" t="s">
        <v>3769</v>
      </c>
      <c r="C94" s="725" t="s">
        <v>2989</v>
      </c>
      <c r="D94" s="725" t="s">
        <v>3894</v>
      </c>
      <c r="E94" s="725" t="s">
        <v>3895</v>
      </c>
      <c r="F94" s="728"/>
      <c r="G94" s="728"/>
      <c r="H94" s="728"/>
      <c r="I94" s="728"/>
      <c r="J94" s="728"/>
      <c r="K94" s="728"/>
      <c r="L94" s="728"/>
      <c r="M94" s="728"/>
      <c r="N94" s="728">
        <v>1</v>
      </c>
      <c r="O94" s="728">
        <v>199</v>
      </c>
      <c r="P94" s="741"/>
      <c r="Q94" s="729">
        <v>199</v>
      </c>
    </row>
    <row r="95" spans="1:17" ht="14.4" customHeight="1" x14ac:dyDescent="0.3">
      <c r="A95" s="724" t="s">
        <v>3768</v>
      </c>
      <c r="B95" s="725" t="s">
        <v>3769</v>
      </c>
      <c r="C95" s="725" t="s">
        <v>2989</v>
      </c>
      <c r="D95" s="725" t="s">
        <v>3896</v>
      </c>
      <c r="E95" s="725" t="s">
        <v>3897</v>
      </c>
      <c r="F95" s="728">
        <v>1</v>
      </c>
      <c r="G95" s="728">
        <v>19</v>
      </c>
      <c r="H95" s="728">
        <v>1</v>
      </c>
      <c r="I95" s="728">
        <v>19</v>
      </c>
      <c r="J95" s="728">
        <v>1</v>
      </c>
      <c r="K95" s="728">
        <v>19</v>
      </c>
      <c r="L95" s="728">
        <v>1</v>
      </c>
      <c r="M95" s="728">
        <v>19</v>
      </c>
      <c r="N95" s="728">
        <v>1</v>
      </c>
      <c r="O95" s="728">
        <v>19</v>
      </c>
      <c r="P95" s="741">
        <v>1</v>
      </c>
      <c r="Q95" s="729">
        <v>19</v>
      </c>
    </row>
    <row r="96" spans="1:17" ht="14.4" customHeight="1" x14ac:dyDescent="0.3">
      <c r="A96" s="724" t="s">
        <v>3768</v>
      </c>
      <c r="B96" s="725" t="s">
        <v>3769</v>
      </c>
      <c r="C96" s="725" t="s">
        <v>2989</v>
      </c>
      <c r="D96" s="725" t="s">
        <v>3898</v>
      </c>
      <c r="E96" s="725" t="s">
        <v>3899</v>
      </c>
      <c r="F96" s="728">
        <v>7</v>
      </c>
      <c r="G96" s="728">
        <v>140</v>
      </c>
      <c r="H96" s="728">
        <v>2.3333333333333335</v>
      </c>
      <c r="I96" s="728">
        <v>20</v>
      </c>
      <c r="J96" s="728">
        <v>3</v>
      </c>
      <c r="K96" s="728">
        <v>60</v>
      </c>
      <c r="L96" s="728">
        <v>1</v>
      </c>
      <c r="M96" s="728">
        <v>20</v>
      </c>
      <c r="N96" s="728">
        <v>15</v>
      </c>
      <c r="O96" s="728">
        <v>300</v>
      </c>
      <c r="P96" s="741">
        <v>5</v>
      </c>
      <c r="Q96" s="729">
        <v>20</v>
      </c>
    </row>
    <row r="97" spans="1:17" ht="14.4" customHeight="1" x14ac:dyDescent="0.3">
      <c r="A97" s="724" t="s">
        <v>3768</v>
      </c>
      <c r="B97" s="725" t="s">
        <v>3769</v>
      </c>
      <c r="C97" s="725" t="s">
        <v>2989</v>
      </c>
      <c r="D97" s="725" t="s">
        <v>3900</v>
      </c>
      <c r="E97" s="725" t="s">
        <v>3901</v>
      </c>
      <c r="F97" s="728"/>
      <c r="G97" s="728"/>
      <c r="H97" s="728"/>
      <c r="I97" s="728"/>
      <c r="J97" s="728"/>
      <c r="K97" s="728"/>
      <c r="L97" s="728"/>
      <c r="M97" s="728"/>
      <c r="N97" s="728">
        <v>1</v>
      </c>
      <c r="O97" s="728">
        <v>186</v>
      </c>
      <c r="P97" s="741"/>
      <c r="Q97" s="729">
        <v>186</v>
      </c>
    </row>
    <row r="98" spans="1:17" ht="14.4" customHeight="1" x14ac:dyDescent="0.3">
      <c r="A98" s="724" t="s">
        <v>3768</v>
      </c>
      <c r="B98" s="725" t="s">
        <v>3769</v>
      </c>
      <c r="C98" s="725" t="s">
        <v>2989</v>
      </c>
      <c r="D98" s="725" t="s">
        <v>3902</v>
      </c>
      <c r="E98" s="725" t="s">
        <v>3903</v>
      </c>
      <c r="F98" s="728"/>
      <c r="G98" s="728"/>
      <c r="H98" s="728"/>
      <c r="I98" s="728"/>
      <c r="J98" s="728"/>
      <c r="K98" s="728"/>
      <c r="L98" s="728"/>
      <c r="M98" s="728"/>
      <c r="N98" s="728">
        <v>2</v>
      </c>
      <c r="O98" s="728">
        <v>376</v>
      </c>
      <c r="P98" s="741"/>
      <c r="Q98" s="729">
        <v>188</v>
      </c>
    </row>
    <row r="99" spans="1:17" ht="14.4" customHeight="1" x14ac:dyDescent="0.3">
      <c r="A99" s="724" t="s">
        <v>3768</v>
      </c>
      <c r="B99" s="725" t="s">
        <v>3769</v>
      </c>
      <c r="C99" s="725" t="s">
        <v>2989</v>
      </c>
      <c r="D99" s="725" t="s">
        <v>3904</v>
      </c>
      <c r="E99" s="725" t="s">
        <v>3905</v>
      </c>
      <c r="F99" s="728"/>
      <c r="G99" s="728"/>
      <c r="H99" s="728"/>
      <c r="I99" s="728"/>
      <c r="J99" s="728"/>
      <c r="K99" s="728"/>
      <c r="L99" s="728"/>
      <c r="M99" s="728"/>
      <c r="N99" s="728">
        <v>2</v>
      </c>
      <c r="O99" s="728">
        <v>536</v>
      </c>
      <c r="P99" s="741"/>
      <c r="Q99" s="729">
        <v>268</v>
      </c>
    </row>
    <row r="100" spans="1:17" ht="14.4" customHeight="1" x14ac:dyDescent="0.3">
      <c r="A100" s="724" t="s">
        <v>3768</v>
      </c>
      <c r="B100" s="725" t="s">
        <v>3769</v>
      </c>
      <c r="C100" s="725" t="s">
        <v>2989</v>
      </c>
      <c r="D100" s="725" t="s">
        <v>3906</v>
      </c>
      <c r="E100" s="725" t="s">
        <v>3907</v>
      </c>
      <c r="F100" s="728">
        <v>3</v>
      </c>
      <c r="G100" s="728">
        <v>486</v>
      </c>
      <c r="H100" s="728">
        <v>0.99386503067484666</v>
      </c>
      <c r="I100" s="728">
        <v>162</v>
      </c>
      <c r="J100" s="728">
        <v>3</v>
      </c>
      <c r="K100" s="728">
        <v>489</v>
      </c>
      <c r="L100" s="728">
        <v>1</v>
      </c>
      <c r="M100" s="728">
        <v>163</v>
      </c>
      <c r="N100" s="728">
        <v>6</v>
      </c>
      <c r="O100" s="728">
        <v>978</v>
      </c>
      <c r="P100" s="741">
        <v>2</v>
      </c>
      <c r="Q100" s="729">
        <v>163</v>
      </c>
    </row>
    <row r="101" spans="1:17" ht="14.4" customHeight="1" x14ac:dyDescent="0.3">
      <c r="A101" s="724" t="s">
        <v>3768</v>
      </c>
      <c r="B101" s="725" t="s">
        <v>3769</v>
      </c>
      <c r="C101" s="725" t="s">
        <v>2989</v>
      </c>
      <c r="D101" s="725" t="s">
        <v>3908</v>
      </c>
      <c r="E101" s="725" t="s">
        <v>3909</v>
      </c>
      <c r="F101" s="728"/>
      <c r="G101" s="728"/>
      <c r="H101" s="728"/>
      <c r="I101" s="728"/>
      <c r="J101" s="728"/>
      <c r="K101" s="728"/>
      <c r="L101" s="728"/>
      <c r="M101" s="728"/>
      <c r="N101" s="728">
        <v>1</v>
      </c>
      <c r="O101" s="728">
        <v>174</v>
      </c>
      <c r="P101" s="741"/>
      <c r="Q101" s="729">
        <v>174</v>
      </c>
    </row>
    <row r="102" spans="1:17" ht="14.4" customHeight="1" x14ac:dyDescent="0.3">
      <c r="A102" s="724" t="s">
        <v>3768</v>
      </c>
      <c r="B102" s="725" t="s">
        <v>3769</v>
      </c>
      <c r="C102" s="725" t="s">
        <v>2989</v>
      </c>
      <c r="D102" s="725" t="s">
        <v>3910</v>
      </c>
      <c r="E102" s="725" t="s">
        <v>3911</v>
      </c>
      <c r="F102" s="728"/>
      <c r="G102" s="728"/>
      <c r="H102" s="728"/>
      <c r="I102" s="728"/>
      <c r="J102" s="728">
        <v>1</v>
      </c>
      <c r="K102" s="728">
        <v>84</v>
      </c>
      <c r="L102" s="728">
        <v>1</v>
      </c>
      <c r="M102" s="728">
        <v>84</v>
      </c>
      <c r="N102" s="728"/>
      <c r="O102" s="728"/>
      <c r="P102" s="741"/>
      <c r="Q102" s="729"/>
    </row>
    <row r="103" spans="1:17" ht="14.4" customHeight="1" x14ac:dyDescent="0.3">
      <c r="A103" s="724" t="s">
        <v>3768</v>
      </c>
      <c r="B103" s="725" t="s">
        <v>3769</v>
      </c>
      <c r="C103" s="725" t="s">
        <v>2989</v>
      </c>
      <c r="D103" s="725" t="s">
        <v>3912</v>
      </c>
      <c r="E103" s="725" t="s">
        <v>3913</v>
      </c>
      <c r="F103" s="728">
        <v>15</v>
      </c>
      <c r="G103" s="728">
        <v>330</v>
      </c>
      <c r="H103" s="728">
        <v>0.9375</v>
      </c>
      <c r="I103" s="728">
        <v>22</v>
      </c>
      <c r="J103" s="728">
        <v>16</v>
      </c>
      <c r="K103" s="728">
        <v>352</v>
      </c>
      <c r="L103" s="728">
        <v>1</v>
      </c>
      <c r="M103" s="728">
        <v>22</v>
      </c>
      <c r="N103" s="728">
        <v>17</v>
      </c>
      <c r="O103" s="728">
        <v>374</v>
      </c>
      <c r="P103" s="741">
        <v>1.0625</v>
      </c>
      <c r="Q103" s="729">
        <v>22</v>
      </c>
    </row>
    <row r="104" spans="1:17" ht="14.4" customHeight="1" x14ac:dyDescent="0.3">
      <c r="A104" s="724" t="s">
        <v>3768</v>
      </c>
      <c r="B104" s="725" t="s">
        <v>3769</v>
      </c>
      <c r="C104" s="725" t="s">
        <v>2989</v>
      </c>
      <c r="D104" s="725" t="s">
        <v>3914</v>
      </c>
      <c r="E104" s="725" t="s">
        <v>3915</v>
      </c>
      <c r="F104" s="728">
        <v>1</v>
      </c>
      <c r="G104" s="728">
        <v>495</v>
      </c>
      <c r="H104" s="728"/>
      <c r="I104" s="728">
        <v>495</v>
      </c>
      <c r="J104" s="728"/>
      <c r="K104" s="728"/>
      <c r="L104" s="728"/>
      <c r="M104" s="728"/>
      <c r="N104" s="728">
        <v>2</v>
      </c>
      <c r="O104" s="728">
        <v>990</v>
      </c>
      <c r="P104" s="741"/>
      <c r="Q104" s="729">
        <v>495</v>
      </c>
    </row>
    <row r="105" spans="1:17" ht="14.4" customHeight="1" x14ac:dyDescent="0.3">
      <c r="A105" s="724" t="s">
        <v>3768</v>
      </c>
      <c r="B105" s="725" t="s">
        <v>3769</v>
      </c>
      <c r="C105" s="725" t="s">
        <v>2989</v>
      </c>
      <c r="D105" s="725" t="s">
        <v>3916</v>
      </c>
      <c r="E105" s="725" t="s">
        <v>3917</v>
      </c>
      <c r="F105" s="728">
        <v>3</v>
      </c>
      <c r="G105" s="728">
        <v>501</v>
      </c>
      <c r="H105" s="728">
        <v>0.29821428571428571</v>
      </c>
      <c r="I105" s="728">
        <v>167</v>
      </c>
      <c r="J105" s="728">
        <v>10</v>
      </c>
      <c r="K105" s="728">
        <v>1680</v>
      </c>
      <c r="L105" s="728">
        <v>1</v>
      </c>
      <c r="M105" s="728">
        <v>168</v>
      </c>
      <c r="N105" s="728">
        <v>12</v>
      </c>
      <c r="O105" s="728">
        <v>2016</v>
      </c>
      <c r="P105" s="741">
        <v>1.2</v>
      </c>
      <c r="Q105" s="729">
        <v>168</v>
      </c>
    </row>
    <row r="106" spans="1:17" ht="14.4" customHeight="1" x14ac:dyDescent="0.3">
      <c r="A106" s="724" t="s">
        <v>3768</v>
      </c>
      <c r="B106" s="725" t="s">
        <v>3769</v>
      </c>
      <c r="C106" s="725" t="s">
        <v>2989</v>
      </c>
      <c r="D106" s="725" t="s">
        <v>3918</v>
      </c>
      <c r="E106" s="725" t="s">
        <v>3919</v>
      </c>
      <c r="F106" s="728">
        <v>1</v>
      </c>
      <c r="G106" s="728">
        <v>310</v>
      </c>
      <c r="H106" s="728"/>
      <c r="I106" s="728">
        <v>310</v>
      </c>
      <c r="J106" s="728"/>
      <c r="K106" s="728"/>
      <c r="L106" s="728"/>
      <c r="M106" s="728"/>
      <c r="N106" s="728"/>
      <c r="O106" s="728"/>
      <c r="P106" s="741"/>
      <c r="Q106" s="729"/>
    </row>
    <row r="107" spans="1:17" ht="14.4" customHeight="1" x14ac:dyDescent="0.3">
      <c r="A107" s="724" t="s">
        <v>3768</v>
      </c>
      <c r="B107" s="725" t="s">
        <v>3769</v>
      </c>
      <c r="C107" s="725" t="s">
        <v>2989</v>
      </c>
      <c r="D107" s="725" t="s">
        <v>3920</v>
      </c>
      <c r="E107" s="725" t="s">
        <v>3921</v>
      </c>
      <c r="F107" s="728"/>
      <c r="G107" s="728"/>
      <c r="H107" s="728"/>
      <c r="I107" s="728"/>
      <c r="J107" s="728">
        <v>2</v>
      </c>
      <c r="K107" s="728">
        <v>46</v>
      </c>
      <c r="L107" s="728">
        <v>1</v>
      </c>
      <c r="M107" s="728">
        <v>23</v>
      </c>
      <c r="N107" s="728">
        <v>1</v>
      </c>
      <c r="O107" s="728">
        <v>23</v>
      </c>
      <c r="P107" s="741">
        <v>0.5</v>
      </c>
      <c r="Q107" s="729">
        <v>23</v>
      </c>
    </row>
    <row r="108" spans="1:17" ht="14.4" customHeight="1" x14ac:dyDescent="0.3">
      <c r="A108" s="724" t="s">
        <v>3768</v>
      </c>
      <c r="B108" s="725" t="s">
        <v>3769</v>
      </c>
      <c r="C108" s="725" t="s">
        <v>2989</v>
      </c>
      <c r="D108" s="725" t="s">
        <v>3922</v>
      </c>
      <c r="E108" s="725" t="s">
        <v>3923</v>
      </c>
      <c r="F108" s="728"/>
      <c r="G108" s="728"/>
      <c r="H108" s="728"/>
      <c r="I108" s="728"/>
      <c r="J108" s="728"/>
      <c r="K108" s="728"/>
      <c r="L108" s="728"/>
      <c r="M108" s="728"/>
      <c r="N108" s="728">
        <v>2</v>
      </c>
      <c r="O108" s="728">
        <v>336</v>
      </c>
      <c r="P108" s="741"/>
      <c r="Q108" s="729">
        <v>168</v>
      </c>
    </row>
    <row r="109" spans="1:17" ht="14.4" customHeight="1" x14ac:dyDescent="0.3">
      <c r="A109" s="724" t="s">
        <v>3768</v>
      </c>
      <c r="B109" s="725" t="s">
        <v>3769</v>
      </c>
      <c r="C109" s="725" t="s">
        <v>2989</v>
      </c>
      <c r="D109" s="725" t="s">
        <v>3924</v>
      </c>
      <c r="E109" s="725" t="s">
        <v>3925</v>
      </c>
      <c r="F109" s="728">
        <v>5</v>
      </c>
      <c r="G109" s="728">
        <v>1465</v>
      </c>
      <c r="H109" s="728">
        <v>2.4914965986394559</v>
      </c>
      <c r="I109" s="728">
        <v>293</v>
      </c>
      <c r="J109" s="728">
        <v>2</v>
      </c>
      <c r="K109" s="728">
        <v>588</v>
      </c>
      <c r="L109" s="728">
        <v>1</v>
      </c>
      <c r="M109" s="728">
        <v>294</v>
      </c>
      <c r="N109" s="728">
        <v>4</v>
      </c>
      <c r="O109" s="728">
        <v>1176</v>
      </c>
      <c r="P109" s="741">
        <v>2</v>
      </c>
      <c r="Q109" s="729">
        <v>294</v>
      </c>
    </row>
    <row r="110" spans="1:17" ht="14.4" customHeight="1" x14ac:dyDescent="0.3">
      <c r="A110" s="724" t="s">
        <v>3768</v>
      </c>
      <c r="B110" s="725" t="s">
        <v>3769</v>
      </c>
      <c r="C110" s="725" t="s">
        <v>2989</v>
      </c>
      <c r="D110" s="725" t="s">
        <v>3926</v>
      </c>
      <c r="E110" s="725" t="s">
        <v>3927</v>
      </c>
      <c r="F110" s="728">
        <v>1</v>
      </c>
      <c r="G110" s="728">
        <v>45</v>
      </c>
      <c r="H110" s="728">
        <v>0.33333333333333331</v>
      </c>
      <c r="I110" s="728">
        <v>45</v>
      </c>
      <c r="J110" s="728">
        <v>3</v>
      </c>
      <c r="K110" s="728">
        <v>135</v>
      </c>
      <c r="L110" s="728">
        <v>1</v>
      </c>
      <c r="M110" s="728">
        <v>45</v>
      </c>
      <c r="N110" s="728">
        <v>1</v>
      </c>
      <c r="O110" s="728">
        <v>45</v>
      </c>
      <c r="P110" s="741">
        <v>0.33333333333333331</v>
      </c>
      <c r="Q110" s="729">
        <v>45</v>
      </c>
    </row>
    <row r="111" spans="1:17" ht="14.4" customHeight="1" x14ac:dyDescent="0.3">
      <c r="A111" s="724" t="s">
        <v>3768</v>
      </c>
      <c r="B111" s="725" t="s">
        <v>3769</v>
      </c>
      <c r="C111" s="725" t="s">
        <v>2989</v>
      </c>
      <c r="D111" s="725" t="s">
        <v>3928</v>
      </c>
      <c r="E111" s="725" t="s">
        <v>3929</v>
      </c>
      <c r="F111" s="728">
        <v>48</v>
      </c>
      <c r="G111" s="728">
        <v>2208</v>
      </c>
      <c r="H111" s="728">
        <v>1.8461538461538463</v>
      </c>
      <c r="I111" s="728">
        <v>46</v>
      </c>
      <c r="J111" s="728">
        <v>26</v>
      </c>
      <c r="K111" s="728">
        <v>1196</v>
      </c>
      <c r="L111" s="728">
        <v>1</v>
      </c>
      <c r="M111" s="728">
        <v>46</v>
      </c>
      <c r="N111" s="728">
        <v>42</v>
      </c>
      <c r="O111" s="728">
        <v>1932</v>
      </c>
      <c r="P111" s="741">
        <v>1.6153846153846154</v>
      </c>
      <c r="Q111" s="729">
        <v>46</v>
      </c>
    </row>
    <row r="112" spans="1:17" ht="14.4" customHeight="1" x14ac:dyDescent="0.3">
      <c r="A112" s="724" t="s">
        <v>3768</v>
      </c>
      <c r="B112" s="725" t="s">
        <v>3769</v>
      </c>
      <c r="C112" s="725" t="s">
        <v>2989</v>
      </c>
      <c r="D112" s="725" t="s">
        <v>3930</v>
      </c>
      <c r="E112" s="725" t="s">
        <v>3931</v>
      </c>
      <c r="F112" s="728"/>
      <c r="G112" s="728"/>
      <c r="H112" s="728"/>
      <c r="I112" s="728"/>
      <c r="J112" s="728">
        <v>1</v>
      </c>
      <c r="K112" s="728">
        <v>310</v>
      </c>
      <c r="L112" s="728">
        <v>1</v>
      </c>
      <c r="M112" s="728">
        <v>310</v>
      </c>
      <c r="N112" s="728">
        <v>1</v>
      </c>
      <c r="O112" s="728">
        <v>310</v>
      </c>
      <c r="P112" s="741">
        <v>1</v>
      </c>
      <c r="Q112" s="729">
        <v>310</v>
      </c>
    </row>
    <row r="113" spans="1:17" ht="14.4" customHeight="1" x14ac:dyDescent="0.3">
      <c r="A113" s="724" t="s">
        <v>3768</v>
      </c>
      <c r="B113" s="725" t="s">
        <v>3769</v>
      </c>
      <c r="C113" s="725" t="s">
        <v>2989</v>
      </c>
      <c r="D113" s="725" t="s">
        <v>3932</v>
      </c>
      <c r="E113" s="725" t="s">
        <v>3933</v>
      </c>
      <c r="F113" s="728">
        <v>3</v>
      </c>
      <c r="G113" s="728">
        <v>93</v>
      </c>
      <c r="H113" s="728">
        <v>1.5</v>
      </c>
      <c r="I113" s="728">
        <v>31</v>
      </c>
      <c r="J113" s="728">
        <v>2</v>
      </c>
      <c r="K113" s="728">
        <v>62</v>
      </c>
      <c r="L113" s="728">
        <v>1</v>
      </c>
      <c r="M113" s="728">
        <v>31</v>
      </c>
      <c r="N113" s="728">
        <v>1</v>
      </c>
      <c r="O113" s="728">
        <v>31</v>
      </c>
      <c r="P113" s="741">
        <v>0.5</v>
      </c>
      <c r="Q113" s="729">
        <v>31</v>
      </c>
    </row>
    <row r="114" spans="1:17" ht="14.4" customHeight="1" x14ac:dyDescent="0.3">
      <c r="A114" s="724" t="s">
        <v>3768</v>
      </c>
      <c r="B114" s="725" t="s">
        <v>3769</v>
      </c>
      <c r="C114" s="725" t="s">
        <v>2989</v>
      </c>
      <c r="D114" s="725" t="s">
        <v>3934</v>
      </c>
      <c r="E114" s="725" t="s">
        <v>3935</v>
      </c>
      <c r="F114" s="728"/>
      <c r="G114" s="728"/>
      <c r="H114" s="728"/>
      <c r="I114" s="728"/>
      <c r="J114" s="728"/>
      <c r="K114" s="728"/>
      <c r="L114" s="728"/>
      <c r="M114" s="728"/>
      <c r="N114" s="728">
        <v>1</v>
      </c>
      <c r="O114" s="728">
        <v>184</v>
      </c>
      <c r="P114" s="741"/>
      <c r="Q114" s="729">
        <v>184</v>
      </c>
    </row>
    <row r="115" spans="1:17" ht="14.4" customHeight="1" x14ac:dyDescent="0.3">
      <c r="A115" s="724" t="s">
        <v>3768</v>
      </c>
      <c r="B115" s="725" t="s">
        <v>3769</v>
      </c>
      <c r="C115" s="725" t="s">
        <v>2989</v>
      </c>
      <c r="D115" s="725" t="s">
        <v>3936</v>
      </c>
      <c r="E115" s="725" t="s">
        <v>3937</v>
      </c>
      <c r="F115" s="728">
        <v>1</v>
      </c>
      <c r="G115" s="728">
        <v>406</v>
      </c>
      <c r="H115" s="728"/>
      <c r="I115" s="728">
        <v>406</v>
      </c>
      <c r="J115" s="728"/>
      <c r="K115" s="728"/>
      <c r="L115" s="728"/>
      <c r="M115" s="728"/>
      <c r="N115" s="728"/>
      <c r="O115" s="728"/>
      <c r="P115" s="741"/>
      <c r="Q115" s="729"/>
    </row>
    <row r="116" spans="1:17" ht="14.4" customHeight="1" x14ac:dyDescent="0.3">
      <c r="A116" s="724" t="s">
        <v>3768</v>
      </c>
      <c r="B116" s="725" t="s">
        <v>3769</v>
      </c>
      <c r="C116" s="725" t="s">
        <v>2989</v>
      </c>
      <c r="D116" s="725" t="s">
        <v>3938</v>
      </c>
      <c r="E116" s="725" t="s">
        <v>3939</v>
      </c>
      <c r="F116" s="728"/>
      <c r="G116" s="728"/>
      <c r="H116" s="728"/>
      <c r="I116" s="728"/>
      <c r="J116" s="728"/>
      <c r="K116" s="728"/>
      <c r="L116" s="728"/>
      <c r="M116" s="728"/>
      <c r="N116" s="728">
        <v>1</v>
      </c>
      <c r="O116" s="728">
        <v>804</v>
      </c>
      <c r="P116" s="741"/>
      <c r="Q116" s="729">
        <v>804</v>
      </c>
    </row>
    <row r="117" spans="1:17" ht="14.4" customHeight="1" x14ac:dyDescent="0.3">
      <c r="A117" s="724" t="s">
        <v>3768</v>
      </c>
      <c r="B117" s="725" t="s">
        <v>3769</v>
      </c>
      <c r="C117" s="725" t="s">
        <v>2989</v>
      </c>
      <c r="D117" s="725" t="s">
        <v>3940</v>
      </c>
      <c r="E117" s="725" t="s">
        <v>3941</v>
      </c>
      <c r="F117" s="728"/>
      <c r="G117" s="728"/>
      <c r="H117" s="728"/>
      <c r="I117" s="728"/>
      <c r="J117" s="728"/>
      <c r="K117" s="728"/>
      <c r="L117" s="728"/>
      <c r="M117" s="728"/>
      <c r="N117" s="728">
        <v>2</v>
      </c>
      <c r="O117" s="728">
        <v>380</v>
      </c>
      <c r="P117" s="741"/>
      <c r="Q117" s="729">
        <v>190</v>
      </c>
    </row>
    <row r="118" spans="1:17" ht="14.4" customHeight="1" x14ac:dyDescent="0.3">
      <c r="A118" s="724" t="s">
        <v>3768</v>
      </c>
      <c r="B118" s="725" t="s">
        <v>3769</v>
      </c>
      <c r="C118" s="725" t="s">
        <v>2989</v>
      </c>
      <c r="D118" s="725" t="s">
        <v>3942</v>
      </c>
      <c r="E118" s="725" t="s">
        <v>3943</v>
      </c>
      <c r="F118" s="728"/>
      <c r="G118" s="728"/>
      <c r="H118" s="728"/>
      <c r="I118" s="728"/>
      <c r="J118" s="728"/>
      <c r="K118" s="728"/>
      <c r="L118" s="728"/>
      <c r="M118" s="728"/>
      <c r="N118" s="728">
        <v>1</v>
      </c>
      <c r="O118" s="728">
        <v>274</v>
      </c>
      <c r="P118" s="741"/>
      <c r="Q118" s="729">
        <v>274</v>
      </c>
    </row>
    <row r="119" spans="1:17" ht="14.4" customHeight="1" x14ac:dyDescent="0.3">
      <c r="A119" s="724" t="s">
        <v>3768</v>
      </c>
      <c r="B119" s="725" t="s">
        <v>3769</v>
      </c>
      <c r="C119" s="725" t="s">
        <v>2989</v>
      </c>
      <c r="D119" s="725" t="s">
        <v>3944</v>
      </c>
      <c r="E119" s="725" t="s">
        <v>3945</v>
      </c>
      <c r="F119" s="728"/>
      <c r="G119" s="728"/>
      <c r="H119" s="728"/>
      <c r="I119" s="728"/>
      <c r="J119" s="728">
        <v>1</v>
      </c>
      <c r="K119" s="728">
        <v>133</v>
      </c>
      <c r="L119" s="728">
        <v>1</v>
      </c>
      <c r="M119" s="728">
        <v>133</v>
      </c>
      <c r="N119" s="728"/>
      <c r="O119" s="728"/>
      <c r="P119" s="741"/>
      <c r="Q119" s="729"/>
    </row>
    <row r="120" spans="1:17" ht="14.4" customHeight="1" x14ac:dyDescent="0.3">
      <c r="A120" s="724" t="s">
        <v>3768</v>
      </c>
      <c r="B120" s="725" t="s">
        <v>3769</v>
      </c>
      <c r="C120" s="725" t="s">
        <v>2989</v>
      </c>
      <c r="D120" s="725" t="s">
        <v>3946</v>
      </c>
      <c r="E120" s="725" t="s">
        <v>3947</v>
      </c>
      <c r="F120" s="728"/>
      <c r="G120" s="728"/>
      <c r="H120" s="728"/>
      <c r="I120" s="728"/>
      <c r="J120" s="728">
        <v>138</v>
      </c>
      <c r="K120" s="728">
        <v>5106</v>
      </c>
      <c r="L120" s="728">
        <v>1</v>
      </c>
      <c r="M120" s="728">
        <v>37</v>
      </c>
      <c r="N120" s="728">
        <v>172</v>
      </c>
      <c r="O120" s="728">
        <v>6364</v>
      </c>
      <c r="P120" s="741">
        <v>1.2463768115942029</v>
      </c>
      <c r="Q120" s="729">
        <v>37</v>
      </c>
    </row>
    <row r="121" spans="1:17" ht="14.4" customHeight="1" x14ac:dyDescent="0.3">
      <c r="A121" s="724" t="s">
        <v>3768</v>
      </c>
      <c r="B121" s="725" t="s">
        <v>3769</v>
      </c>
      <c r="C121" s="725" t="s">
        <v>2989</v>
      </c>
      <c r="D121" s="725" t="s">
        <v>3948</v>
      </c>
      <c r="E121" s="725" t="s">
        <v>3949</v>
      </c>
      <c r="F121" s="728"/>
      <c r="G121" s="728"/>
      <c r="H121" s="728"/>
      <c r="I121" s="728"/>
      <c r="J121" s="728"/>
      <c r="K121" s="728"/>
      <c r="L121" s="728"/>
      <c r="M121" s="728"/>
      <c r="N121" s="728">
        <v>2</v>
      </c>
      <c r="O121" s="728">
        <v>186</v>
      </c>
      <c r="P121" s="741"/>
      <c r="Q121" s="729">
        <v>93</v>
      </c>
    </row>
    <row r="122" spans="1:17" ht="14.4" customHeight="1" x14ac:dyDescent="0.3">
      <c r="A122" s="724" t="s">
        <v>3950</v>
      </c>
      <c r="B122" s="725" t="s">
        <v>3582</v>
      </c>
      <c r="C122" s="725" t="s">
        <v>2983</v>
      </c>
      <c r="D122" s="725" t="s">
        <v>3951</v>
      </c>
      <c r="E122" s="725" t="s">
        <v>3952</v>
      </c>
      <c r="F122" s="728">
        <v>2.5</v>
      </c>
      <c r="G122" s="728">
        <v>4278.16</v>
      </c>
      <c r="H122" s="728">
        <v>0.83333203475008755</v>
      </c>
      <c r="I122" s="728">
        <v>1711.2639999999999</v>
      </c>
      <c r="J122" s="728">
        <v>3</v>
      </c>
      <c r="K122" s="728">
        <v>5133.8</v>
      </c>
      <c r="L122" s="728">
        <v>1</v>
      </c>
      <c r="M122" s="728">
        <v>1711.2666666666667</v>
      </c>
      <c r="N122" s="728">
        <v>2</v>
      </c>
      <c r="O122" s="728">
        <v>3422.54</v>
      </c>
      <c r="P122" s="741">
        <v>0.66666796524991234</v>
      </c>
      <c r="Q122" s="729">
        <v>1711.27</v>
      </c>
    </row>
    <row r="123" spans="1:17" ht="14.4" customHeight="1" x14ac:dyDescent="0.3">
      <c r="A123" s="724" t="s">
        <v>3950</v>
      </c>
      <c r="B123" s="725" t="s">
        <v>3582</v>
      </c>
      <c r="C123" s="725" t="s">
        <v>2983</v>
      </c>
      <c r="D123" s="725" t="s">
        <v>3953</v>
      </c>
      <c r="E123" s="725" t="s">
        <v>3954</v>
      </c>
      <c r="F123" s="728">
        <v>1.34</v>
      </c>
      <c r="G123" s="728">
        <v>3424.1</v>
      </c>
      <c r="H123" s="728">
        <v>0.46952303118726618</v>
      </c>
      <c r="I123" s="728">
        <v>2555.2985074626863</v>
      </c>
      <c r="J123" s="728">
        <v>2.69</v>
      </c>
      <c r="K123" s="728">
        <v>7292.72</v>
      </c>
      <c r="L123" s="728">
        <v>1</v>
      </c>
      <c r="M123" s="728">
        <v>2711.0483271375465</v>
      </c>
      <c r="N123" s="728">
        <v>1.34</v>
      </c>
      <c r="O123" s="728">
        <v>3636.88</v>
      </c>
      <c r="P123" s="741">
        <v>0.49870007349795414</v>
      </c>
      <c r="Q123" s="729">
        <v>2714.0895522388059</v>
      </c>
    </row>
    <row r="124" spans="1:17" ht="14.4" customHeight="1" x14ac:dyDescent="0.3">
      <c r="A124" s="724" t="s">
        <v>3950</v>
      </c>
      <c r="B124" s="725" t="s">
        <v>3582</v>
      </c>
      <c r="C124" s="725" t="s">
        <v>2983</v>
      </c>
      <c r="D124" s="725" t="s">
        <v>3955</v>
      </c>
      <c r="E124" s="725" t="s">
        <v>3954</v>
      </c>
      <c r="F124" s="728">
        <v>2.1999999999999997</v>
      </c>
      <c r="G124" s="728">
        <v>14054.149999999998</v>
      </c>
      <c r="H124" s="728">
        <v>1.7299289030688858</v>
      </c>
      <c r="I124" s="728">
        <v>6388.25</v>
      </c>
      <c r="J124" s="728">
        <v>1.2</v>
      </c>
      <c r="K124" s="728">
        <v>8124.1200000000008</v>
      </c>
      <c r="L124" s="728">
        <v>1</v>
      </c>
      <c r="M124" s="728">
        <v>6770.1000000000013</v>
      </c>
      <c r="N124" s="728">
        <v>1.7999999999999998</v>
      </c>
      <c r="O124" s="728">
        <v>12186.18</v>
      </c>
      <c r="P124" s="741">
        <v>1.4999999999999998</v>
      </c>
      <c r="Q124" s="729">
        <v>6770.1000000000013</v>
      </c>
    </row>
    <row r="125" spans="1:17" ht="14.4" customHeight="1" x14ac:dyDescent="0.3">
      <c r="A125" s="724" t="s">
        <v>3950</v>
      </c>
      <c r="B125" s="725" t="s">
        <v>3582</v>
      </c>
      <c r="C125" s="725" t="s">
        <v>2983</v>
      </c>
      <c r="D125" s="725" t="s">
        <v>3956</v>
      </c>
      <c r="E125" s="725" t="s">
        <v>3957</v>
      </c>
      <c r="F125" s="728"/>
      <c r="G125" s="728"/>
      <c r="H125" s="728"/>
      <c r="I125" s="728"/>
      <c r="J125" s="728">
        <v>0.3</v>
      </c>
      <c r="K125" s="728">
        <v>1483.19</v>
      </c>
      <c r="L125" s="728">
        <v>1</v>
      </c>
      <c r="M125" s="728">
        <v>4943.9666666666672</v>
      </c>
      <c r="N125" s="728">
        <v>0.14000000000000001</v>
      </c>
      <c r="O125" s="728">
        <v>692.14</v>
      </c>
      <c r="P125" s="741">
        <v>0.46665632858905465</v>
      </c>
      <c r="Q125" s="729">
        <v>4943.8571428571422</v>
      </c>
    </row>
    <row r="126" spans="1:17" ht="14.4" customHeight="1" x14ac:dyDescent="0.3">
      <c r="A126" s="724" t="s">
        <v>3950</v>
      </c>
      <c r="B126" s="725" t="s">
        <v>3582</v>
      </c>
      <c r="C126" s="725" t="s">
        <v>2983</v>
      </c>
      <c r="D126" s="725" t="s">
        <v>3958</v>
      </c>
      <c r="E126" s="725" t="s">
        <v>3720</v>
      </c>
      <c r="F126" s="728">
        <v>6.1999999999999993</v>
      </c>
      <c r="G126" s="728">
        <v>5898.2900000000009</v>
      </c>
      <c r="H126" s="728">
        <v>2.6439534529284674</v>
      </c>
      <c r="I126" s="728">
        <v>951.33709677419381</v>
      </c>
      <c r="J126" s="728">
        <v>2.2999999999999998</v>
      </c>
      <c r="K126" s="728">
        <v>2230.86</v>
      </c>
      <c r="L126" s="728">
        <v>1</v>
      </c>
      <c r="M126" s="728">
        <v>969.93913043478278</v>
      </c>
      <c r="N126" s="728">
        <v>4.6999999999999993</v>
      </c>
      <c r="O126" s="728">
        <v>4722.6499999999996</v>
      </c>
      <c r="P126" s="741">
        <v>2.116963861470464</v>
      </c>
      <c r="Q126" s="729">
        <v>1004.8191489361703</v>
      </c>
    </row>
    <row r="127" spans="1:17" ht="14.4" customHeight="1" x14ac:dyDescent="0.3">
      <c r="A127" s="724" t="s">
        <v>3950</v>
      </c>
      <c r="B127" s="725" t="s">
        <v>3582</v>
      </c>
      <c r="C127" s="725" t="s">
        <v>2983</v>
      </c>
      <c r="D127" s="725" t="s">
        <v>3959</v>
      </c>
      <c r="E127" s="725" t="s">
        <v>3957</v>
      </c>
      <c r="F127" s="728">
        <v>1.02</v>
      </c>
      <c r="G127" s="728">
        <v>10085.650000000001</v>
      </c>
      <c r="H127" s="728">
        <v>0.54838678106015348</v>
      </c>
      <c r="I127" s="728">
        <v>9887.8921568627466</v>
      </c>
      <c r="J127" s="728">
        <v>1.8599999999999999</v>
      </c>
      <c r="K127" s="728">
        <v>18391.489999999998</v>
      </c>
      <c r="L127" s="728">
        <v>1</v>
      </c>
      <c r="M127" s="728">
        <v>9887.8978494623643</v>
      </c>
      <c r="N127" s="728">
        <v>1.4</v>
      </c>
      <c r="O127" s="728">
        <v>13843.029999999999</v>
      </c>
      <c r="P127" s="741">
        <v>0.75268670455737952</v>
      </c>
      <c r="Q127" s="729">
        <v>9887.8785714285714</v>
      </c>
    </row>
    <row r="128" spans="1:17" ht="14.4" customHeight="1" x14ac:dyDescent="0.3">
      <c r="A128" s="724" t="s">
        <v>3950</v>
      </c>
      <c r="B128" s="725" t="s">
        <v>3582</v>
      </c>
      <c r="C128" s="725" t="s">
        <v>2983</v>
      </c>
      <c r="D128" s="725" t="s">
        <v>3960</v>
      </c>
      <c r="E128" s="725" t="s">
        <v>3961</v>
      </c>
      <c r="F128" s="728">
        <v>11</v>
      </c>
      <c r="G128" s="728">
        <v>10261.02</v>
      </c>
      <c r="H128" s="728">
        <v>1.5714285714285716</v>
      </c>
      <c r="I128" s="728">
        <v>932.82</v>
      </c>
      <c r="J128" s="728">
        <v>7</v>
      </c>
      <c r="K128" s="728">
        <v>6529.74</v>
      </c>
      <c r="L128" s="728">
        <v>1</v>
      </c>
      <c r="M128" s="728">
        <v>932.81999999999994</v>
      </c>
      <c r="N128" s="728">
        <v>13.4</v>
      </c>
      <c r="O128" s="728">
        <v>11302.359999999997</v>
      </c>
      <c r="P128" s="741">
        <v>1.7309050590069432</v>
      </c>
      <c r="Q128" s="729">
        <v>843.45970149253708</v>
      </c>
    </row>
    <row r="129" spans="1:17" ht="14.4" customHeight="1" x14ac:dyDescent="0.3">
      <c r="A129" s="724" t="s">
        <v>3950</v>
      </c>
      <c r="B129" s="725" t="s">
        <v>3582</v>
      </c>
      <c r="C129" s="725" t="s">
        <v>2983</v>
      </c>
      <c r="D129" s="725" t="s">
        <v>3962</v>
      </c>
      <c r="E129" s="725" t="s">
        <v>3961</v>
      </c>
      <c r="F129" s="728"/>
      <c r="G129" s="728"/>
      <c r="H129" s="728"/>
      <c r="I129" s="728"/>
      <c r="J129" s="728"/>
      <c r="K129" s="728"/>
      <c r="L129" s="728"/>
      <c r="M129" s="728"/>
      <c r="N129" s="728">
        <v>1</v>
      </c>
      <c r="O129" s="728">
        <v>1686.92</v>
      </c>
      <c r="P129" s="741"/>
      <c r="Q129" s="729">
        <v>1686.92</v>
      </c>
    </row>
    <row r="130" spans="1:17" ht="14.4" customHeight="1" x14ac:dyDescent="0.3">
      <c r="A130" s="724" t="s">
        <v>3950</v>
      </c>
      <c r="B130" s="725" t="s">
        <v>3582</v>
      </c>
      <c r="C130" s="725" t="s">
        <v>2983</v>
      </c>
      <c r="D130" s="725" t="s">
        <v>3963</v>
      </c>
      <c r="E130" s="725" t="s">
        <v>3722</v>
      </c>
      <c r="F130" s="728"/>
      <c r="G130" s="728"/>
      <c r="H130" s="728"/>
      <c r="I130" s="728"/>
      <c r="J130" s="728"/>
      <c r="K130" s="728"/>
      <c r="L130" s="728"/>
      <c r="M130" s="728"/>
      <c r="N130" s="728">
        <v>0.1</v>
      </c>
      <c r="O130" s="728">
        <v>454.76</v>
      </c>
      <c r="P130" s="741"/>
      <c r="Q130" s="729">
        <v>4547.5999999999995</v>
      </c>
    </row>
    <row r="131" spans="1:17" ht="14.4" customHeight="1" x14ac:dyDescent="0.3">
      <c r="A131" s="724" t="s">
        <v>3950</v>
      </c>
      <c r="B131" s="725" t="s">
        <v>3582</v>
      </c>
      <c r="C131" s="725" t="s">
        <v>2983</v>
      </c>
      <c r="D131" s="725" t="s">
        <v>3721</v>
      </c>
      <c r="E131" s="725" t="s">
        <v>3722</v>
      </c>
      <c r="F131" s="728">
        <v>0.22000000000000003</v>
      </c>
      <c r="G131" s="728">
        <v>1947.8799999999999</v>
      </c>
      <c r="H131" s="728">
        <v>0.66666438499159775</v>
      </c>
      <c r="I131" s="728">
        <v>8853.9999999999982</v>
      </c>
      <c r="J131" s="728">
        <v>0.33</v>
      </c>
      <c r="K131" s="728">
        <v>2921.83</v>
      </c>
      <c r="L131" s="728">
        <v>1</v>
      </c>
      <c r="M131" s="728">
        <v>8854.0303030303021</v>
      </c>
      <c r="N131" s="728">
        <v>0.22999999999999998</v>
      </c>
      <c r="O131" s="728">
        <v>2091.9</v>
      </c>
      <c r="P131" s="741">
        <v>0.71595541150580289</v>
      </c>
      <c r="Q131" s="729">
        <v>9095.2173913043498</v>
      </c>
    </row>
    <row r="132" spans="1:17" ht="14.4" customHeight="1" x14ac:dyDescent="0.3">
      <c r="A132" s="724" t="s">
        <v>3950</v>
      </c>
      <c r="B132" s="725" t="s">
        <v>3582</v>
      </c>
      <c r="C132" s="725" t="s">
        <v>2983</v>
      </c>
      <c r="D132" s="725" t="s">
        <v>3964</v>
      </c>
      <c r="E132" s="725" t="s">
        <v>3965</v>
      </c>
      <c r="F132" s="728"/>
      <c r="G132" s="728"/>
      <c r="H132" s="728"/>
      <c r="I132" s="728"/>
      <c r="J132" s="728">
        <v>0.1</v>
      </c>
      <c r="K132" s="728">
        <v>194.93</v>
      </c>
      <c r="L132" s="728">
        <v>1</v>
      </c>
      <c r="M132" s="728">
        <v>1949.3</v>
      </c>
      <c r="N132" s="728">
        <v>0.1</v>
      </c>
      <c r="O132" s="728">
        <v>194.93</v>
      </c>
      <c r="P132" s="741">
        <v>1</v>
      </c>
      <c r="Q132" s="729">
        <v>1949.3</v>
      </c>
    </row>
    <row r="133" spans="1:17" ht="14.4" customHeight="1" x14ac:dyDescent="0.3">
      <c r="A133" s="724" t="s">
        <v>3950</v>
      </c>
      <c r="B133" s="725" t="s">
        <v>3582</v>
      </c>
      <c r="C133" s="725" t="s">
        <v>2983</v>
      </c>
      <c r="D133" s="725" t="s">
        <v>3723</v>
      </c>
      <c r="E133" s="725" t="s">
        <v>3722</v>
      </c>
      <c r="F133" s="728">
        <v>5.7499999999999991</v>
      </c>
      <c r="G133" s="728">
        <v>10182.109999999999</v>
      </c>
      <c r="H133" s="728">
        <v>0.6250002301832196</v>
      </c>
      <c r="I133" s="728">
        <v>1770.801739130435</v>
      </c>
      <c r="J133" s="728">
        <v>9.2000000000000011</v>
      </c>
      <c r="K133" s="728">
        <v>16291.37</v>
      </c>
      <c r="L133" s="728">
        <v>1</v>
      </c>
      <c r="M133" s="728">
        <v>1770.8010869565217</v>
      </c>
      <c r="N133" s="728">
        <v>3.67</v>
      </c>
      <c r="O133" s="728">
        <v>6675.8899999999994</v>
      </c>
      <c r="P133" s="741">
        <v>0.40978076122511481</v>
      </c>
      <c r="Q133" s="729">
        <v>1819.0435967302451</v>
      </c>
    </row>
    <row r="134" spans="1:17" ht="14.4" customHeight="1" x14ac:dyDescent="0.3">
      <c r="A134" s="724" t="s">
        <v>3950</v>
      </c>
      <c r="B134" s="725" t="s">
        <v>3582</v>
      </c>
      <c r="C134" s="725" t="s">
        <v>2983</v>
      </c>
      <c r="D134" s="725" t="s">
        <v>3966</v>
      </c>
      <c r="E134" s="725" t="s">
        <v>3722</v>
      </c>
      <c r="F134" s="728">
        <v>0.27</v>
      </c>
      <c r="G134" s="728">
        <v>9349.8399999999983</v>
      </c>
      <c r="H134" s="728">
        <v>1.7718130979971534</v>
      </c>
      <c r="I134" s="728">
        <v>34629.037037037029</v>
      </c>
      <c r="J134" s="728">
        <v>0.17</v>
      </c>
      <c r="K134" s="728">
        <v>5276.99</v>
      </c>
      <c r="L134" s="728">
        <v>1</v>
      </c>
      <c r="M134" s="728">
        <v>31041.117647058822</v>
      </c>
      <c r="N134" s="728">
        <v>0.14000000000000001</v>
      </c>
      <c r="O134" s="728">
        <v>4729.4800000000005</v>
      </c>
      <c r="P134" s="741">
        <v>0.8962457764748466</v>
      </c>
      <c r="Q134" s="729">
        <v>33782</v>
      </c>
    </row>
    <row r="135" spans="1:17" ht="14.4" customHeight="1" x14ac:dyDescent="0.3">
      <c r="A135" s="724" t="s">
        <v>3950</v>
      </c>
      <c r="B135" s="725" t="s">
        <v>3582</v>
      </c>
      <c r="C135" s="725" t="s">
        <v>3123</v>
      </c>
      <c r="D135" s="725" t="s">
        <v>3967</v>
      </c>
      <c r="E135" s="725" t="s">
        <v>3968</v>
      </c>
      <c r="F135" s="728"/>
      <c r="G135" s="728"/>
      <c r="H135" s="728"/>
      <c r="I135" s="728"/>
      <c r="J135" s="728">
        <v>1</v>
      </c>
      <c r="K135" s="728">
        <v>1447.28</v>
      </c>
      <c r="L135" s="728">
        <v>1</v>
      </c>
      <c r="M135" s="728">
        <v>1447.28</v>
      </c>
      <c r="N135" s="728"/>
      <c r="O135" s="728"/>
      <c r="P135" s="741"/>
      <c r="Q135" s="729"/>
    </row>
    <row r="136" spans="1:17" ht="14.4" customHeight="1" x14ac:dyDescent="0.3">
      <c r="A136" s="724" t="s">
        <v>3950</v>
      </c>
      <c r="B136" s="725" t="s">
        <v>3582</v>
      </c>
      <c r="C136" s="725" t="s">
        <v>3123</v>
      </c>
      <c r="D136" s="725" t="s">
        <v>3969</v>
      </c>
      <c r="E136" s="725" t="s">
        <v>3970</v>
      </c>
      <c r="F136" s="728"/>
      <c r="G136" s="728"/>
      <c r="H136" s="728"/>
      <c r="I136" s="728"/>
      <c r="J136" s="728">
        <v>2</v>
      </c>
      <c r="K136" s="728">
        <v>1944.64</v>
      </c>
      <c r="L136" s="728">
        <v>1</v>
      </c>
      <c r="M136" s="728">
        <v>972.32</v>
      </c>
      <c r="N136" s="728"/>
      <c r="O136" s="728"/>
      <c r="P136" s="741"/>
      <c r="Q136" s="729"/>
    </row>
    <row r="137" spans="1:17" ht="14.4" customHeight="1" x14ac:dyDescent="0.3">
      <c r="A137" s="724" t="s">
        <v>3950</v>
      </c>
      <c r="B137" s="725" t="s">
        <v>3582</v>
      </c>
      <c r="C137" s="725" t="s">
        <v>3123</v>
      </c>
      <c r="D137" s="725" t="s">
        <v>3971</v>
      </c>
      <c r="E137" s="725" t="s">
        <v>3970</v>
      </c>
      <c r="F137" s="728"/>
      <c r="G137" s="728"/>
      <c r="H137" s="728"/>
      <c r="I137" s="728"/>
      <c r="J137" s="728">
        <v>1</v>
      </c>
      <c r="K137" s="728">
        <v>1408.42</v>
      </c>
      <c r="L137" s="728">
        <v>1</v>
      </c>
      <c r="M137" s="728">
        <v>1408.42</v>
      </c>
      <c r="N137" s="728">
        <v>1</v>
      </c>
      <c r="O137" s="728">
        <v>1408.42</v>
      </c>
      <c r="P137" s="741">
        <v>1</v>
      </c>
      <c r="Q137" s="729">
        <v>1408.42</v>
      </c>
    </row>
    <row r="138" spans="1:17" ht="14.4" customHeight="1" x14ac:dyDescent="0.3">
      <c r="A138" s="724" t="s">
        <v>3950</v>
      </c>
      <c r="B138" s="725" t="s">
        <v>3582</v>
      </c>
      <c r="C138" s="725" t="s">
        <v>3123</v>
      </c>
      <c r="D138" s="725" t="s">
        <v>3972</v>
      </c>
      <c r="E138" s="725" t="s">
        <v>3970</v>
      </c>
      <c r="F138" s="728"/>
      <c r="G138" s="728"/>
      <c r="H138" s="728"/>
      <c r="I138" s="728"/>
      <c r="J138" s="728">
        <v>1</v>
      </c>
      <c r="K138" s="728">
        <v>1707.31</v>
      </c>
      <c r="L138" s="728">
        <v>1</v>
      </c>
      <c r="M138" s="728">
        <v>1707.31</v>
      </c>
      <c r="N138" s="728"/>
      <c r="O138" s="728"/>
      <c r="P138" s="741"/>
      <c r="Q138" s="729"/>
    </row>
    <row r="139" spans="1:17" ht="14.4" customHeight="1" x14ac:dyDescent="0.3">
      <c r="A139" s="724" t="s">
        <v>3950</v>
      </c>
      <c r="B139" s="725" t="s">
        <v>3582</v>
      </c>
      <c r="C139" s="725" t="s">
        <v>3123</v>
      </c>
      <c r="D139" s="725" t="s">
        <v>3973</v>
      </c>
      <c r="E139" s="725" t="s">
        <v>3970</v>
      </c>
      <c r="F139" s="728">
        <v>7</v>
      </c>
      <c r="G139" s="728">
        <v>14464.1</v>
      </c>
      <c r="H139" s="728">
        <v>0.58333333333333326</v>
      </c>
      <c r="I139" s="728">
        <v>2066.3000000000002</v>
      </c>
      <c r="J139" s="728">
        <v>12</v>
      </c>
      <c r="K139" s="728">
        <v>24795.600000000002</v>
      </c>
      <c r="L139" s="728">
        <v>1</v>
      </c>
      <c r="M139" s="728">
        <v>2066.3000000000002</v>
      </c>
      <c r="N139" s="728">
        <v>9</v>
      </c>
      <c r="O139" s="728">
        <v>18596.699999999997</v>
      </c>
      <c r="P139" s="741">
        <v>0.74999999999999978</v>
      </c>
      <c r="Q139" s="729">
        <v>2066.2999999999997</v>
      </c>
    </row>
    <row r="140" spans="1:17" ht="14.4" customHeight="1" x14ac:dyDescent="0.3">
      <c r="A140" s="724" t="s">
        <v>3950</v>
      </c>
      <c r="B140" s="725" t="s">
        <v>3582</v>
      </c>
      <c r="C140" s="725" t="s">
        <v>3123</v>
      </c>
      <c r="D140" s="725" t="s">
        <v>3974</v>
      </c>
      <c r="E140" s="725" t="s">
        <v>3975</v>
      </c>
      <c r="F140" s="728"/>
      <c r="G140" s="728"/>
      <c r="H140" s="728"/>
      <c r="I140" s="728"/>
      <c r="J140" s="728"/>
      <c r="K140" s="728"/>
      <c r="L140" s="728"/>
      <c r="M140" s="728"/>
      <c r="N140" s="728">
        <v>1</v>
      </c>
      <c r="O140" s="728">
        <v>1932.09</v>
      </c>
      <c r="P140" s="741"/>
      <c r="Q140" s="729">
        <v>1932.09</v>
      </c>
    </row>
    <row r="141" spans="1:17" ht="14.4" customHeight="1" x14ac:dyDescent="0.3">
      <c r="A141" s="724" t="s">
        <v>3950</v>
      </c>
      <c r="B141" s="725" t="s">
        <v>3582</v>
      </c>
      <c r="C141" s="725" t="s">
        <v>3123</v>
      </c>
      <c r="D141" s="725" t="s">
        <v>3976</v>
      </c>
      <c r="E141" s="725" t="s">
        <v>3977</v>
      </c>
      <c r="F141" s="728">
        <v>8</v>
      </c>
      <c r="G141" s="728">
        <v>8222.08</v>
      </c>
      <c r="H141" s="728">
        <v>0.53333333333333333</v>
      </c>
      <c r="I141" s="728">
        <v>1027.76</v>
      </c>
      <c r="J141" s="728">
        <v>15</v>
      </c>
      <c r="K141" s="728">
        <v>15416.400000000001</v>
      </c>
      <c r="L141" s="728">
        <v>1</v>
      </c>
      <c r="M141" s="728">
        <v>1027.76</v>
      </c>
      <c r="N141" s="728">
        <v>9</v>
      </c>
      <c r="O141" s="728">
        <v>9249.84</v>
      </c>
      <c r="P141" s="741">
        <v>0.6</v>
      </c>
      <c r="Q141" s="729">
        <v>1027.76</v>
      </c>
    </row>
    <row r="142" spans="1:17" ht="14.4" customHeight="1" x14ac:dyDescent="0.3">
      <c r="A142" s="724" t="s">
        <v>3950</v>
      </c>
      <c r="B142" s="725" t="s">
        <v>3582</v>
      </c>
      <c r="C142" s="725" t="s">
        <v>3123</v>
      </c>
      <c r="D142" s="725" t="s">
        <v>3978</v>
      </c>
      <c r="E142" s="725" t="s">
        <v>3979</v>
      </c>
      <c r="F142" s="728">
        <v>4</v>
      </c>
      <c r="G142" s="728">
        <v>69400</v>
      </c>
      <c r="H142" s="728">
        <v>0.5714285714285714</v>
      </c>
      <c r="I142" s="728">
        <v>17350</v>
      </c>
      <c r="J142" s="728">
        <v>7</v>
      </c>
      <c r="K142" s="728">
        <v>121450</v>
      </c>
      <c r="L142" s="728">
        <v>1</v>
      </c>
      <c r="M142" s="728">
        <v>17350</v>
      </c>
      <c r="N142" s="728">
        <v>7</v>
      </c>
      <c r="O142" s="728">
        <v>121450</v>
      </c>
      <c r="P142" s="741">
        <v>1</v>
      </c>
      <c r="Q142" s="729">
        <v>17350</v>
      </c>
    </row>
    <row r="143" spans="1:17" ht="14.4" customHeight="1" x14ac:dyDescent="0.3">
      <c r="A143" s="724" t="s">
        <v>3950</v>
      </c>
      <c r="B143" s="725" t="s">
        <v>3582</v>
      </c>
      <c r="C143" s="725" t="s">
        <v>3123</v>
      </c>
      <c r="D143" s="725" t="s">
        <v>3980</v>
      </c>
      <c r="E143" s="725" t="s">
        <v>3981</v>
      </c>
      <c r="F143" s="728"/>
      <c r="G143" s="728"/>
      <c r="H143" s="728"/>
      <c r="I143" s="728"/>
      <c r="J143" s="728">
        <v>3</v>
      </c>
      <c r="K143" s="728">
        <v>25609.649999999998</v>
      </c>
      <c r="L143" s="728">
        <v>1</v>
      </c>
      <c r="M143" s="728">
        <v>8536.5499999999993</v>
      </c>
      <c r="N143" s="728">
        <v>1</v>
      </c>
      <c r="O143" s="728">
        <v>8536.5499999999993</v>
      </c>
      <c r="P143" s="741">
        <v>0.33333333333333331</v>
      </c>
      <c r="Q143" s="729">
        <v>8536.5499999999993</v>
      </c>
    </row>
    <row r="144" spans="1:17" ht="14.4" customHeight="1" x14ac:dyDescent="0.3">
      <c r="A144" s="724" t="s">
        <v>3950</v>
      </c>
      <c r="B144" s="725" t="s">
        <v>3582</v>
      </c>
      <c r="C144" s="725" t="s">
        <v>3123</v>
      </c>
      <c r="D144" s="725" t="s">
        <v>3982</v>
      </c>
      <c r="E144" s="725" t="s">
        <v>3983</v>
      </c>
      <c r="F144" s="728">
        <v>5</v>
      </c>
      <c r="G144" s="728">
        <v>58860</v>
      </c>
      <c r="H144" s="728">
        <v>0.7142857142857143</v>
      </c>
      <c r="I144" s="728">
        <v>11772</v>
      </c>
      <c r="J144" s="728">
        <v>7</v>
      </c>
      <c r="K144" s="728">
        <v>82404</v>
      </c>
      <c r="L144" s="728">
        <v>1</v>
      </c>
      <c r="M144" s="728">
        <v>11772</v>
      </c>
      <c r="N144" s="728">
        <v>4</v>
      </c>
      <c r="O144" s="728">
        <v>47088</v>
      </c>
      <c r="P144" s="741">
        <v>0.5714285714285714</v>
      </c>
      <c r="Q144" s="729">
        <v>11772</v>
      </c>
    </row>
    <row r="145" spans="1:17" ht="14.4" customHeight="1" x14ac:dyDescent="0.3">
      <c r="A145" s="724" t="s">
        <v>3950</v>
      </c>
      <c r="B145" s="725" t="s">
        <v>3582</v>
      </c>
      <c r="C145" s="725" t="s">
        <v>3123</v>
      </c>
      <c r="D145" s="725" t="s">
        <v>3984</v>
      </c>
      <c r="E145" s="725" t="s">
        <v>3985</v>
      </c>
      <c r="F145" s="728"/>
      <c r="G145" s="728"/>
      <c r="H145" s="728"/>
      <c r="I145" s="728"/>
      <c r="J145" s="728">
        <v>3</v>
      </c>
      <c r="K145" s="728">
        <v>6709.5</v>
      </c>
      <c r="L145" s="728">
        <v>1</v>
      </c>
      <c r="M145" s="728">
        <v>2236.5</v>
      </c>
      <c r="N145" s="728">
        <v>1</v>
      </c>
      <c r="O145" s="728">
        <v>2236.5</v>
      </c>
      <c r="P145" s="741">
        <v>0.33333333333333331</v>
      </c>
      <c r="Q145" s="729">
        <v>2236.5</v>
      </c>
    </row>
    <row r="146" spans="1:17" ht="14.4" customHeight="1" x14ac:dyDescent="0.3">
      <c r="A146" s="724" t="s">
        <v>3950</v>
      </c>
      <c r="B146" s="725" t="s">
        <v>3582</v>
      </c>
      <c r="C146" s="725" t="s">
        <v>3123</v>
      </c>
      <c r="D146" s="725" t="s">
        <v>3986</v>
      </c>
      <c r="E146" s="725" t="s">
        <v>3987</v>
      </c>
      <c r="F146" s="728"/>
      <c r="G146" s="728"/>
      <c r="H146" s="728"/>
      <c r="I146" s="728"/>
      <c r="J146" s="728">
        <v>2</v>
      </c>
      <c r="K146" s="728">
        <v>2247.46</v>
      </c>
      <c r="L146" s="728">
        <v>1</v>
      </c>
      <c r="M146" s="728">
        <v>1123.73</v>
      </c>
      <c r="N146" s="728"/>
      <c r="O146" s="728"/>
      <c r="P146" s="741"/>
      <c r="Q146" s="729"/>
    </row>
    <row r="147" spans="1:17" ht="14.4" customHeight="1" x14ac:dyDescent="0.3">
      <c r="A147" s="724" t="s">
        <v>3950</v>
      </c>
      <c r="B147" s="725" t="s">
        <v>3582</v>
      </c>
      <c r="C147" s="725" t="s">
        <v>3123</v>
      </c>
      <c r="D147" s="725" t="s">
        <v>3988</v>
      </c>
      <c r="E147" s="725" t="s">
        <v>3989</v>
      </c>
      <c r="F147" s="728"/>
      <c r="G147" s="728"/>
      <c r="H147" s="728"/>
      <c r="I147" s="728"/>
      <c r="J147" s="728">
        <v>4</v>
      </c>
      <c r="K147" s="728">
        <v>21036.92</v>
      </c>
      <c r="L147" s="728">
        <v>1</v>
      </c>
      <c r="M147" s="728">
        <v>5259.23</v>
      </c>
      <c r="N147" s="728"/>
      <c r="O147" s="728"/>
      <c r="P147" s="741"/>
      <c r="Q147" s="729"/>
    </row>
    <row r="148" spans="1:17" ht="14.4" customHeight="1" x14ac:dyDescent="0.3">
      <c r="A148" s="724" t="s">
        <v>3950</v>
      </c>
      <c r="B148" s="725" t="s">
        <v>3582</v>
      </c>
      <c r="C148" s="725" t="s">
        <v>3123</v>
      </c>
      <c r="D148" s="725" t="s">
        <v>3990</v>
      </c>
      <c r="E148" s="725" t="s">
        <v>3991</v>
      </c>
      <c r="F148" s="728">
        <v>6</v>
      </c>
      <c r="G148" s="728">
        <v>121873.2</v>
      </c>
      <c r="H148" s="728"/>
      <c r="I148" s="728">
        <v>20312.2</v>
      </c>
      <c r="J148" s="728"/>
      <c r="K148" s="728"/>
      <c r="L148" s="728"/>
      <c r="M148" s="728"/>
      <c r="N148" s="728"/>
      <c r="O148" s="728"/>
      <c r="P148" s="741"/>
      <c r="Q148" s="729"/>
    </row>
    <row r="149" spans="1:17" ht="14.4" customHeight="1" x14ac:dyDescent="0.3">
      <c r="A149" s="724" t="s">
        <v>3950</v>
      </c>
      <c r="B149" s="725" t="s">
        <v>3582</v>
      </c>
      <c r="C149" s="725" t="s">
        <v>3123</v>
      </c>
      <c r="D149" s="725" t="s">
        <v>3992</v>
      </c>
      <c r="E149" s="725" t="s">
        <v>3993</v>
      </c>
      <c r="F149" s="728">
        <v>9</v>
      </c>
      <c r="G149" s="728">
        <v>7480.4400000000005</v>
      </c>
      <c r="H149" s="728">
        <v>0.6923076923076924</v>
      </c>
      <c r="I149" s="728">
        <v>831.16000000000008</v>
      </c>
      <c r="J149" s="728">
        <v>13</v>
      </c>
      <c r="K149" s="728">
        <v>10805.08</v>
      </c>
      <c r="L149" s="728">
        <v>1</v>
      </c>
      <c r="M149" s="728">
        <v>831.16</v>
      </c>
      <c r="N149" s="728">
        <v>9</v>
      </c>
      <c r="O149" s="728">
        <v>7480.44</v>
      </c>
      <c r="P149" s="741">
        <v>0.69230769230769229</v>
      </c>
      <c r="Q149" s="729">
        <v>831.16</v>
      </c>
    </row>
    <row r="150" spans="1:17" ht="14.4" customHeight="1" x14ac:dyDescent="0.3">
      <c r="A150" s="724" t="s">
        <v>3950</v>
      </c>
      <c r="B150" s="725" t="s">
        <v>3582</v>
      </c>
      <c r="C150" s="725" t="s">
        <v>3123</v>
      </c>
      <c r="D150" s="725" t="s">
        <v>3994</v>
      </c>
      <c r="E150" s="725" t="s">
        <v>3995</v>
      </c>
      <c r="F150" s="728">
        <v>19</v>
      </c>
      <c r="G150" s="728">
        <v>418000</v>
      </c>
      <c r="H150" s="728">
        <v>1.5833333333333333</v>
      </c>
      <c r="I150" s="728">
        <v>22000</v>
      </c>
      <c r="J150" s="728">
        <v>12</v>
      </c>
      <c r="K150" s="728">
        <v>264000</v>
      </c>
      <c r="L150" s="728">
        <v>1</v>
      </c>
      <c r="M150" s="728">
        <v>22000</v>
      </c>
      <c r="N150" s="728">
        <v>15</v>
      </c>
      <c r="O150" s="728">
        <v>330000</v>
      </c>
      <c r="P150" s="741">
        <v>1.25</v>
      </c>
      <c r="Q150" s="729">
        <v>22000</v>
      </c>
    </row>
    <row r="151" spans="1:17" ht="14.4" customHeight="1" x14ac:dyDescent="0.3">
      <c r="A151" s="724" t="s">
        <v>3950</v>
      </c>
      <c r="B151" s="725" t="s">
        <v>3582</v>
      </c>
      <c r="C151" s="725" t="s">
        <v>3123</v>
      </c>
      <c r="D151" s="725" t="s">
        <v>3996</v>
      </c>
      <c r="E151" s="725" t="s">
        <v>3997</v>
      </c>
      <c r="F151" s="728"/>
      <c r="G151" s="728"/>
      <c r="H151" s="728"/>
      <c r="I151" s="728"/>
      <c r="J151" s="728">
        <v>3</v>
      </c>
      <c r="K151" s="728">
        <v>120632.73000000001</v>
      </c>
      <c r="L151" s="728">
        <v>1</v>
      </c>
      <c r="M151" s="728">
        <v>40210.910000000003</v>
      </c>
      <c r="N151" s="728"/>
      <c r="O151" s="728"/>
      <c r="P151" s="741"/>
      <c r="Q151" s="729"/>
    </row>
    <row r="152" spans="1:17" ht="14.4" customHeight="1" x14ac:dyDescent="0.3">
      <c r="A152" s="724" t="s">
        <v>3950</v>
      </c>
      <c r="B152" s="725" t="s">
        <v>3582</v>
      </c>
      <c r="C152" s="725" t="s">
        <v>3123</v>
      </c>
      <c r="D152" s="725" t="s">
        <v>3998</v>
      </c>
      <c r="E152" s="725" t="s">
        <v>3999</v>
      </c>
      <c r="F152" s="728">
        <v>7</v>
      </c>
      <c r="G152" s="728">
        <v>25512.06</v>
      </c>
      <c r="H152" s="728"/>
      <c r="I152" s="728">
        <v>3644.5800000000004</v>
      </c>
      <c r="J152" s="728"/>
      <c r="K152" s="728"/>
      <c r="L152" s="728"/>
      <c r="M152" s="728"/>
      <c r="N152" s="728"/>
      <c r="O152" s="728"/>
      <c r="P152" s="741"/>
      <c r="Q152" s="729"/>
    </row>
    <row r="153" spans="1:17" ht="14.4" customHeight="1" x14ac:dyDescent="0.3">
      <c r="A153" s="724" t="s">
        <v>3950</v>
      </c>
      <c r="B153" s="725" t="s">
        <v>3582</v>
      </c>
      <c r="C153" s="725" t="s">
        <v>3123</v>
      </c>
      <c r="D153" s="725" t="s">
        <v>4000</v>
      </c>
      <c r="E153" s="725" t="s">
        <v>4001</v>
      </c>
      <c r="F153" s="728"/>
      <c r="G153" s="728"/>
      <c r="H153" s="728"/>
      <c r="I153" s="728"/>
      <c r="J153" s="728">
        <v>3</v>
      </c>
      <c r="K153" s="728">
        <v>3438.99</v>
      </c>
      <c r="L153" s="728">
        <v>1</v>
      </c>
      <c r="M153" s="728">
        <v>1146.33</v>
      </c>
      <c r="N153" s="728"/>
      <c r="O153" s="728"/>
      <c r="P153" s="741"/>
      <c r="Q153" s="729"/>
    </row>
    <row r="154" spans="1:17" ht="14.4" customHeight="1" x14ac:dyDescent="0.3">
      <c r="A154" s="724" t="s">
        <v>3950</v>
      </c>
      <c r="B154" s="725" t="s">
        <v>3582</v>
      </c>
      <c r="C154" s="725" t="s">
        <v>3123</v>
      </c>
      <c r="D154" s="725" t="s">
        <v>4002</v>
      </c>
      <c r="E154" s="725" t="s">
        <v>4003</v>
      </c>
      <c r="F154" s="728">
        <v>6</v>
      </c>
      <c r="G154" s="728">
        <v>148500</v>
      </c>
      <c r="H154" s="728">
        <v>0.23076923076923078</v>
      </c>
      <c r="I154" s="728">
        <v>24750</v>
      </c>
      <c r="J154" s="728">
        <v>26</v>
      </c>
      <c r="K154" s="728">
        <v>643500</v>
      </c>
      <c r="L154" s="728">
        <v>1</v>
      </c>
      <c r="M154" s="728">
        <v>24750</v>
      </c>
      <c r="N154" s="728">
        <v>27</v>
      </c>
      <c r="O154" s="728">
        <v>668250</v>
      </c>
      <c r="P154" s="741">
        <v>1.0384615384615385</v>
      </c>
      <c r="Q154" s="729">
        <v>24750</v>
      </c>
    </row>
    <row r="155" spans="1:17" ht="14.4" customHeight="1" x14ac:dyDescent="0.3">
      <c r="A155" s="724" t="s">
        <v>3950</v>
      </c>
      <c r="B155" s="725" t="s">
        <v>3582</v>
      </c>
      <c r="C155" s="725" t="s">
        <v>3123</v>
      </c>
      <c r="D155" s="725" t="s">
        <v>4004</v>
      </c>
      <c r="E155" s="725" t="s">
        <v>4005</v>
      </c>
      <c r="F155" s="728">
        <v>4</v>
      </c>
      <c r="G155" s="728">
        <v>1436.4</v>
      </c>
      <c r="H155" s="728">
        <v>1.3333333333333333</v>
      </c>
      <c r="I155" s="728">
        <v>359.1</v>
      </c>
      <c r="J155" s="728">
        <v>3</v>
      </c>
      <c r="K155" s="728">
        <v>1077.3000000000002</v>
      </c>
      <c r="L155" s="728">
        <v>1</v>
      </c>
      <c r="M155" s="728">
        <v>359.10000000000008</v>
      </c>
      <c r="N155" s="728">
        <v>1</v>
      </c>
      <c r="O155" s="728">
        <v>359.1</v>
      </c>
      <c r="P155" s="741">
        <v>0.33333333333333331</v>
      </c>
      <c r="Q155" s="729">
        <v>359.1</v>
      </c>
    </row>
    <row r="156" spans="1:17" ht="14.4" customHeight="1" x14ac:dyDescent="0.3">
      <c r="A156" s="724" t="s">
        <v>3950</v>
      </c>
      <c r="B156" s="725" t="s">
        <v>3582</v>
      </c>
      <c r="C156" s="725" t="s">
        <v>3123</v>
      </c>
      <c r="D156" s="725" t="s">
        <v>4006</v>
      </c>
      <c r="E156" s="725" t="s">
        <v>4007</v>
      </c>
      <c r="F156" s="728">
        <v>3</v>
      </c>
      <c r="G156" s="728">
        <v>39234</v>
      </c>
      <c r="H156" s="728">
        <v>0.5</v>
      </c>
      <c r="I156" s="728">
        <v>13078</v>
      </c>
      <c r="J156" s="728">
        <v>6</v>
      </c>
      <c r="K156" s="728">
        <v>78468</v>
      </c>
      <c r="L156" s="728">
        <v>1</v>
      </c>
      <c r="M156" s="728">
        <v>13078</v>
      </c>
      <c r="N156" s="728">
        <v>4</v>
      </c>
      <c r="O156" s="728">
        <v>52312</v>
      </c>
      <c r="P156" s="741">
        <v>0.66666666666666663</v>
      </c>
      <c r="Q156" s="729">
        <v>13078</v>
      </c>
    </row>
    <row r="157" spans="1:17" ht="14.4" customHeight="1" x14ac:dyDescent="0.3">
      <c r="A157" s="724" t="s">
        <v>3950</v>
      </c>
      <c r="B157" s="725" t="s">
        <v>3582</v>
      </c>
      <c r="C157" s="725" t="s">
        <v>3123</v>
      </c>
      <c r="D157" s="725" t="s">
        <v>4008</v>
      </c>
      <c r="E157" s="725" t="s">
        <v>4009</v>
      </c>
      <c r="F157" s="728">
        <v>5</v>
      </c>
      <c r="G157" s="728">
        <v>79935</v>
      </c>
      <c r="H157" s="728">
        <v>1.25</v>
      </c>
      <c r="I157" s="728">
        <v>15987</v>
      </c>
      <c r="J157" s="728">
        <v>4</v>
      </c>
      <c r="K157" s="728">
        <v>63948</v>
      </c>
      <c r="L157" s="728">
        <v>1</v>
      </c>
      <c r="M157" s="728">
        <v>15987</v>
      </c>
      <c r="N157" s="728"/>
      <c r="O157" s="728"/>
      <c r="P157" s="741"/>
      <c r="Q157" s="729"/>
    </row>
    <row r="158" spans="1:17" ht="14.4" customHeight="1" x14ac:dyDescent="0.3">
      <c r="A158" s="724" t="s">
        <v>3950</v>
      </c>
      <c r="B158" s="725" t="s">
        <v>3582</v>
      </c>
      <c r="C158" s="725" t="s">
        <v>3123</v>
      </c>
      <c r="D158" s="725" t="s">
        <v>4010</v>
      </c>
      <c r="E158" s="725" t="s">
        <v>4011</v>
      </c>
      <c r="F158" s="728">
        <v>8</v>
      </c>
      <c r="G158" s="728">
        <v>279680</v>
      </c>
      <c r="H158" s="728">
        <v>1.1428571428571428</v>
      </c>
      <c r="I158" s="728">
        <v>34960</v>
      </c>
      <c r="J158" s="728">
        <v>7</v>
      </c>
      <c r="K158" s="728">
        <v>244720</v>
      </c>
      <c r="L158" s="728">
        <v>1</v>
      </c>
      <c r="M158" s="728">
        <v>34960</v>
      </c>
      <c r="N158" s="728">
        <v>3</v>
      </c>
      <c r="O158" s="728">
        <v>104880</v>
      </c>
      <c r="P158" s="741">
        <v>0.42857142857142855</v>
      </c>
      <c r="Q158" s="729">
        <v>34960</v>
      </c>
    </row>
    <row r="159" spans="1:17" ht="14.4" customHeight="1" x14ac:dyDescent="0.3">
      <c r="A159" s="724" t="s">
        <v>3950</v>
      </c>
      <c r="B159" s="725" t="s">
        <v>3582</v>
      </c>
      <c r="C159" s="725" t="s">
        <v>3123</v>
      </c>
      <c r="D159" s="725" t="s">
        <v>4012</v>
      </c>
      <c r="E159" s="725" t="s">
        <v>4013</v>
      </c>
      <c r="F159" s="728"/>
      <c r="G159" s="728"/>
      <c r="H159" s="728"/>
      <c r="I159" s="728"/>
      <c r="J159" s="728">
        <v>2</v>
      </c>
      <c r="K159" s="728">
        <v>33663.379999999997</v>
      </c>
      <c r="L159" s="728">
        <v>1</v>
      </c>
      <c r="M159" s="728">
        <v>16831.689999999999</v>
      </c>
      <c r="N159" s="728">
        <v>2</v>
      </c>
      <c r="O159" s="728">
        <v>33663.379999999997</v>
      </c>
      <c r="P159" s="741">
        <v>1</v>
      </c>
      <c r="Q159" s="729">
        <v>16831.689999999999</v>
      </c>
    </row>
    <row r="160" spans="1:17" ht="14.4" customHeight="1" x14ac:dyDescent="0.3">
      <c r="A160" s="724" t="s">
        <v>3950</v>
      </c>
      <c r="B160" s="725" t="s">
        <v>3582</v>
      </c>
      <c r="C160" s="725" t="s">
        <v>3123</v>
      </c>
      <c r="D160" s="725" t="s">
        <v>4014</v>
      </c>
      <c r="E160" s="725" t="s">
        <v>4015</v>
      </c>
      <c r="F160" s="728">
        <v>4</v>
      </c>
      <c r="G160" s="728">
        <v>26348.52</v>
      </c>
      <c r="H160" s="728">
        <v>0.25</v>
      </c>
      <c r="I160" s="728">
        <v>6587.13</v>
      </c>
      <c r="J160" s="728">
        <v>16</v>
      </c>
      <c r="K160" s="728">
        <v>105394.08</v>
      </c>
      <c r="L160" s="728">
        <v>1</v>
      </c>
      <c r="M160" s="728">
        <v>6587.13</v>
      </c>
      <c r="N160" s="728">
        <v>8</v>
      </c>
      <c r="O160" s="728">
        <v>52697.039999999994</v>
      </c>
      <c r="P160" s="741">
        <v>0.49999999999999994</v>
      </c>
      <c r="Q160" s="729">
        <v>6587.1299999999992</v>
      </c>
    </row>
    <row r="161" spans="1:17" ht="14.4" customHeight="1" x14ac:dyDescent="0.3">
      <c r="A161" s="724" t="s">
        <v>3950</v>
      </c>
      <c r="B161" s="725" t="s">
        <v>3582</v>
      </c>
      <c r="C161" s="725" t="s">
        <v>3123</v>
      </c>
      <c r="D161" s="725" t="s">
        <v>4016</v>
      </c>
      <c r="E161" s="725" t="s">
        <v>4017</v>
      </c>
      <c r="F161" s="728"/>
      <c r="G161" s="728"/>
      <c r="H161" s="728"/>
      <c r="I161" s="728"/>
      <c r="J161" s="728">
        <v>3</v>
      </c>
      <c r="K161" s="728">
        <v>242809.2</v>
      </c>
      <c r="L161" s="728">
        <v>1</v>
      </c>
      <c r="M161" s="728">
        <v>80936.400000000009</v>
      </c>
      <c r="N161" s="728">
        <v>1</v>
      </c>
      <c r="O161" s="728">
        <v>80936.399999999994</v>
      </c>
      <c r="P161" s="741">
        <v>0.33333333333333331</v>
      </c>
      <c r="Q161" s="729">
        <v>80936.399999999994</v>
      </c>
    </row>
    <row r="162" spans="1:17" ht="14.4" customHeight="1" x14ac:dyDescent="0.3">
      <c r="A162" s="724" t="s">
        <v>3950</v>
      </c>
      <c r="B162" s="725" t="s">
        <v>3582</v>
      </c>
      <c r="C162" s="725" t="s">
        <v>3123</v>
      </c>
      <c r="D162" s="725" t="s">
        <v>4018</v>
      </c>
      <c r="E162" s="725" t="s">
        <v>4019</v>
      </c>
      <c r="F162" s="728"/>
      <c r="G162" s="728"/>
      <c r="H162" s="728"/>
      <c r="I162" s="728"/>
      <c r="J162" s="728">
        <v>1</v>
      </c>
      <c r="K162" s="728">
        <v>13065.54</v>
      </c>
      <c r="L162" s="728">
        <v>1</v>
      </c>
      <c r="M162" s="728">
        <v>13065.54</v>
      </c>
      <c r="N162" s="728"/>
      <c r="O162" s="728"/>
      <c r="P162" s="741"/>
      <c r="Q162" s="729"/>
    </row>
    <row r="163" spans="1:17" ht="14.4" customHeight="1" x14ac:dyDescent="0.3">
      <c r="A163" s="724" t="s">
        <v>3950</v>
      </c>
      <c r="B163" s="725" t="s">
        <v>3582</v>
      </c>
      <c r="C163" s="725" t="s">
        <v>3123</v>
      </c>
      <c r="D163" s="725" t="s">
        <v>4020</v>
      </c>
      <c r="E163" s="725" t="s">
        <v>4021</v>
      </c>
      <c r="F163" s="728">
        <v>8</v>
      </c>
      <c r="G163" s="728">
        <v>34880</v>
      </c>
      <c r="H163" s="728">
        <v>0.53333333333333333</v>
      </c>
      <c r="I163" s="728">
        <v>4360</v>
      </c>
      <c r="J163" s="728">
        <v>15</v>
      </c>
      <c r="K163" s="728">
        <v>65400</v>
      </c>
      <c r="L163" s="728">
        <v>1</v>
      </c>
      <c r="M163" s="728">
        <v>4360</v>
      </c>
      <c r="N163" s="728">
        <v>11</v>
      </c>
      <c r="O163" s="728">
        <v>47960</v>
      </c>
      <c r="P163" s="741">
        <v>0.73333333333333328</v>
      </c>
      <c r="Q163" s="729">
        <v>4360</v>
      </c>
    </row>
    <row r="164" spans="1:17" ht="14.4" customHeight="1" x14ac:dyDescent="0.3">
      <c r="A164" s="724" t="s">
        <v>3950</v>
      </c>
      <c r="B164" s="725" t="s">
        <v>3582</v>
      </c>
      <c r="C164" s="725" t="s">
        <v>3123</v>
      </c>
      <c r="D164" s="725" t="s">
        <v>4022</v>
      </c>
      <c r="E164" s="725" t="s">
        <v>4023</v>
      </c>
      <c r="F164" s="728"/>
      <c r="G164" s="728"/>
      <c r="H164" s="728"/>
      <c r="I164" s="728"/>
      <c r="J164" s="728"/>
      <c r="K164" s="728"/>
      <c r="L164" s="728"/>
      <c r="M164" s="728"/>
      <c r="N164" s="728">
        <v>1</v>
      </c>
      <c r="O164" s="728">
        <v>19969</v>
      </c>
      <c r="P164" s="741"/>
      <c r="Q164" s="729">
        <v>19969</v>
      </c>
    </row>
    <row r="165" spans="1:17" ht="14.4" customHeight="1" x14ac:dyDescent="0.3">
      <c r="A165" s="724" t="s">
        <v>3950</v>
      </c>
      <c r="B165" s="725" t="s">
        <v>3582</v>
      </c>
      <c r="C165" s="725" t="s">
        <v>3123</v>
      </c>
      <c r="D165" s="725" t="s">
        <v>4024</v>
      </c>
      <c r="E165" s="725" t="s">
        <v>4025</v>
      </c>
      <c r="F165" s="728"/>
      <c r="G165" s="728"/>
      <c r="H165" s="728"/>
      <c r="I165" s="728"/>
      <c r="J165" s="728">
        <v>2</v>
      </c>
      <c r="K165" s="728">
        <v>761.72</v>
      </c>
      <c r="L165" s="728">
        <v>1</v>
      </c>
      <c r="M165" s="728">
        <v>380.86</v>
      </c>
      <c r="N165" s="728"/>
      <c r="O165" s="728"/>
      <c r="P165" s="741"/>
      <c r="Q165" s="729"/>
    </row>
    <row r="166" spans="1:17" ht="14.4" customHeight="1" x14ac:dyDescent="0.3">
      <c r="A166" s="724" t="s">
        <v>3950</v>
      </c>
      <c r="B166" s="725" t="s">
        <v>3582</v>
      </c>
      <c r="C166" s="725" t="s">
        <v>3123</v>
      </c>
      <c r="D166" s="725" t="s">
        <v>4026</v>
      </c>
      <c r="E166" s="725" t="s">
        <v>4027</v>
      </c>
      <c r="F166" s="728">
        <v>1</v>
      </c>
      <c r="G166" s="728">
        <v>15675</v>
      </c>
      <c r="H166" s="728">
        <v>1</v>
      </c>
      <c r="I166" s="728">
        <v>15675</v>
      </c>
      <c r="J166" s="728">
        <v>1</v>
      </c>
      <c r="K166" s="728">
        <v>15675</v>
      </c>
      <c r="L166" s="728">
        <v>1</v>
      </c>
      <c r="M166" s="728">
        <v>15675</v>
      </c>
      <c r="N166" s="728">
        <v>1</v>
      </c>
      <c r="O166" s="728">
        <v>15675</v>
      </c>
      <c r="P166" s="741">
        <v>1</v>
      </c>
      <c r="Q166" s="729">
        <v>15675</v>
      </c>
    </row>
    <row r="167" spans="1:17" ht="14.4" customHeight="1" x14ac:dyDescent="0.3">
      <c r="A167" s="724" t="s">
        <v>3950</v>
      </c>
      <c r="B167" s="725" t="s">
        <v>3582</v>
      </c>
      <c r="C167" s="725" t="s">
        <v>3123</v>
      </c>
      <c r="D167" s="725" t="s">
        <v>4028</v>
      </c>
      <c r="E167" s="725" t="s">
        <v>4029</v>
      </c>
      <c r="F167" s="728"/>
      <c r="G167" s="728"/>
      <c r="H167" s="728"/>
      <c r="I167" s="728"/>
      <c r="J167" s="728">
        <v>1</v>
      </c>
      <c r="K167" s="728">
        <v>21368</v>
      </c>
      <c r="L167" s="728">
        <v>1</v>
      </c>
      <c r="M167" s="728">
        <v>21368</v>
      </c>
      <c r="N167" s="728">
        <v>2</v>
      </c>
      <c r="O167" s="728">
        <v>42736</v>
      </c>
      <c r="P167" s="741">
        <v>2</v>
      </c>
      <c r="Q167" s="729">
        <v>21368</v>
      </c>
    </row>
    <row r="168" spans="1:17" ht="14.4" customHeight="1" x14ac:dyDescent="0.3">
      <c r="A168" s="724" t="s">
        <v>3950</v>
      </c>
      <c r="B168" s="725" t="s">
        <v>3582</v>
      </c>
      <c r="C168" s="725" t="s">
        <v>3123</v>
      </c>
      <c r="D168" s="725" t="s">
        <v>4030</v>
      </c>
      <c r="E168" s="725" t="s">
        <v>4031</v>
      </c>
      <c r="F168" s="728"/>
      <c r="G168" s="728"/>
      <c r="H168" s="728"/>
      <c r="I168" s="728"/>
      <c r="J168" s="728">
        <v>3</v>
      </c>
      <c r="K168" s="728">
        <v>90405</v>
      </c>
      <c r="L168" s="728">
        <v>1</v>
      </c>
      <c r="M168" s="728">
        <v>30135</v>
      </c>
      <c r="N168" s="728"/>
      <c r="O168" s="728"/>
      <c r="P168" s="741"/>
      <c r="Q168" s="729"/>
    </row>
    <row r="169" spans="1:17" ht="14.4" customHeight="1" x14ac:dyDescent="0.3">
      <c r="A169" s="724" t="s">
        <v>3950</v>
      </c>
      <c r="B169" s="725" t="s">
        <v>3582</v>
      </c>
      <c r="C169" s="725" t="s">
        <v>3123</v>
      </c>
      <c r="D169" s="725" t="s">
        <v>4032</v>
      </c>
      <c r="E169" s="725" t="s">
        <v>4033</v>
      </c>
      <c r="F169" s="728"/>
      <c r="G169" s="728"/>
      <c r="H169" s="728"/>
      <c r="I169" s="728"/>
      <c r="J169" s="728">
        <v>3</v>
      </c>
      <c r="K169" s="728">
        <v>7480.77</v>
      </c>
      <c r="L169" s="728">
        <v>1</v>
      </c>
      <c r="M169" s="728">
        <v>2493.59</v>
      </c>
      <c r="N169" s="728"/>
      <c r="O169" s="728"/>
      <c r="P169" s="741"/>
      <c r="Q169" s="729"/>
    </row>
    <row r="170" spans="1:17" ht="14.4" customHeight="1" x14ac:dyDescent="0.3">
      <c r="A170" s="724" t="s">
        <v>3950</v>
      </c>
      <c r="B170" s="725" t="s">
        <v>3582</v>
      </c>
      <c r="C170" s="725" t="s">
        <v>3123</v>
      </c>
      <c r="D170" s="725" t="s">
        <v>4034</v>
      </c>
      <c r="E170" s="725" t="s">
        <v>3981</v>
      </c>
      <c r="F170" s="728"/>
      <c r="G170" s="728"/>
      <c r="H170" s="728"/>
      <c r="I170" s="728"/>
      <c r="J170" s="728">
        <v>3</v>
      </c>
      <c r="K170" s="728">
        <v>25609.649999999998</v>
      </c>
      <c r="L170" s="728">
        <v>1</v>
      </c>
      <c r="M170" s="728">
        <v>8536.5499999999993</v>
      </c>
      <c r="N170" s="728"/>
      <c r="O170" s="728"/>
      <c r="P170" s="741"/>
      <c r="Q170" s="729"/>
    </row>
    <row r="171" spans="1:17" ht="14.4" customHeight="1" x14ac:dyDescent="0.3">
      <c r="A171" s="724" t="s">
        <v>3950</v>
      </c>
      <c r="B171" s="725" t="s">
        <v>3582</v>
      </c>
      <c r="C171" s="725" t="s">
        <v>3123</v>
      </c>
      <c r="D171" s="725" t="s">
        <v>4035</v>
      </c>
      <c r="E171" s="725" t="s">
        <v>4036</v>
      </c>
      <c r="F171" s="728"/>
      <c r="G171" s="728"/>
      <c r="H171" s="728"/>
      <c r="I171" s="728"/>
      <c r="J171" s="728"/>
      <c r="K171" s="728"/>
      <c r="L171" s="728"/>
      <c r="M171" s="728"/>
      <c r="N171" s="728">
        <v>1</v>
      </c>
      <c r="O171" s="728">
        <v>33448</v>
      </c>
      <c r="P171" s="741"/>
      <c r="Q171" s="729">
        <v>33448</v>
      </c>
    </row>
    <row r="172" spans="1:17" ht="14.4" customHeight="1" x14ac:dyDescent="0.3">
      <c r="A172" s="724" t="s">
        <v>3950</v>
      </c>
      <c r="B172" s="725" t="s">
        <v>3582</v>
      </c>
      <c r="C172" s="725" t="s">
        <v>3123</v>
      </c>
      <c r="D172" s="725" t="s">
        <v>4037</v>
      </c>
      <c r="E172" s="725" t="s">
        <v>4038</v>
      </c>
      <c r="F172" s="728"/>
      <c r="G172" s="728"/>
      <c r="H172" s="728"/>
      <c r="I172" s="728"/>
      <c r="J172" s="728">
        <v>1</v>
      </c>
      <c r="K172" s="728">
        <v>32200</v>
      </c>
      <c r="L172" s="728">
        <v>1</v>
      </c>
      <c r="M172" s="728">
        <v>32200</v>
      </c>
      <c r="N172" s="728"/>
      <c r="O172" s="728"/>
      <c r="P172" s="741"/>
      <c r="Q172" s="729"/>
    </row>
    <row r="173" spans="1:17" ht="14.4" customHeight="1" x14ac:dyDescent="0.3">
      <c r="A173" s="724" t="s">
        <v>3950</v>
      </c>
      <c r="B173" s="725" t="s">
        <v>3582</v>
      </c>
      <c r="C173" s="725" t="s">
        <v>3123</v>
      </c>
      <c r="D173" s="725" t="s">
        <v>4039</v>
      </c>
      <c r="E173" s="725" t="s">
        <v>4040</v>
      </c>
      <c r="F173" s="728"/>
      <c r="G173" s="728"/>
      <c r="H173" s="728"/>
      <c r="I173" s="728"/>
      <c r="J173" s="728">
        <v>1</v>
      </c>
      <c r="K173" s="728">
        <v>227409.26</v>
      </c>
      <c r="L173" s="728">
        <v>1</v>
      </c>
      <c r="M173" s="728">
        <v>227409.26</v>
      </c>
      <c r="N173" s="728"/>
      <c r="O173" s="728"/>
      <c r="P173" s="741"/>
      <c r="Q173" s="729"/>
    </row>
    <row r="174" spans="1:17" ht="14.4" customHeight="1" x14ac:dyDescent="0.3">
      <c r="A174" s="724" t="s">
        <v>3950</v>
      </c>
      <c r="B174" s="725" t="s">
        <v>3582</v>
      </c>
      <c r="C174" s="725" t="s">
        <v>3123</v>
      </c>
      <c r="D174" s="725" t="s">
        <v>4041</v>
      </c>
      <c r="E174" s="725" t="s">
        <v>4042</v>
      </c>
      <c r="F174" s="728"/>
      <c r="G174" s="728"/>
      <c r="H174" s="728"/>
      <c r="I174" s="728"/>
      <c r="J174" s="728"/>
      <c r="K174" s="728"/>
      <c r="L174" s="728"/>
      <c r="M174" s="728"/>
      <c r="N174" s="728">
        <v>1</v>
      </c>
      <c r="O174" s="728">
        <v>8276.4</v>
      </c>
      <c r="P174" s="741"/>
      <c r="Q174" s="729">
        <v>8276.4</v>
      </c>
    </row>
    <row r="175" spans="1:17" ht="14.4" customHeight="1" x14ac:dyDescent="0.3">
      <c r="A175" s="724" t="s">
        <v>3950</v>
      </c>
      <c r="B175" s="725" t="s">
        <v>3582</v>
      </c>
      <c r="C175" s="725" t="s">
        <v>3123</v>
      </c>
      <c r="D175" s="725" t="s">
        <v>4043</v>
      </c>
      <c r="E175" s="725" t="s">
        <v>4044</v>
      </c>
      <c r="F175" s="728"/>
      <c r="G175" s="728"/>
      <c r="H175" s="728"/>
      <c r="I175" s="728"/>
      <c r="J175" s="728"/>
      <c r="K175" s="728"/>
      <c r="L175" s="728"/>
      <c r="M175" s="728"/>
      <c r="N175" s="728">
        <v>1</v>
      </c>
      <c r="O175" s="728">
        <v>7840.8</v>
      </c>
      <c r="P175" s="741"/>
      <c r="Q175" s="729">
        <v>7840.8</v>
      </c>
    </row>
    <row r="176" spans="1:17" ht="14.4" customHeight="1" x14ac:dyDescent="0.3">
      <c r="A176" s="724" t="s">
        <v>3950</v>
      </c>
      <c r="B176" s="725" t="s">
        <v>3582</v>
      </c>
      <c r="C176" s="725" t="s">
        <v>2989</v>
      </c>
      <c r="D176" s="725" t="s">
        <v>4045</v>
      </c>
      <c r="E176" s="725" t="s">
        <v>4046</v>
      </c>
      <c r="F176" s="728"/>
      <c r="G176" s="728"/>
      <c r="H176" s="728"/>
      <c r="I176" s="728"/>
      <c r="J176" s="728">
        <v>1</v>
      </c>
      <c r="K176" s="728">
        <v>213</v>
      </c>
      <c r="L176" s="728">
        <v>1</v>
      </c>
      <c r="M176" s="728">
        <v>213</v>
      </c>
      <c r="N176" s="728"/>
      <c r="O176" s="728"/>
      <c r="P176" s="741"/>
      <c r="Q176" s="729"/>
    </row>
    <row r="177" spans="1:17" ht="14.4" customHeight="1" x14ac:dyDescent="0.3">
      <c r="A177" s="724" t="s">
        <v>3950</v>
      </c>
      <c r="B177" s="725" t="s">
        <v>3582</v>
      </c>
      <c r="C177" s="725" t="s">
        <v>2989</v>
      </c>
      <c r="D177" s="725" t="s">
        <v>4047</v>
      </c>
      <c r="E177" s="725" t="s">
        <v>4048</v>
      </c>
      <c r="F177" s="728">
        <v>67</v>
      </c>
      <c r="G177" s="728">
        <v>10117</v>
      </c>
      <c r="H177" s="728">
        <v>1.4189340813464235</v>
      </c>
      <c r="I177" s="728">
        <v>151</v>
      </c>
      <c r="J177" s="728">
        <v>46</v>
      </c>
      <c r="K177" s="728">
        <v>7130</v>
      </c>
      <c r="L177" s="728">
        <v>1</v>
      </c>
      <c r="M177" s="728">
        <v>155</v>
      </c>
      <c r="N177" s="728">
        <v>62</v>
      </c>
      <c r="O177" s="728">
        <v>9610</v>
      </c>
      <c r="P177" s="741">
        <v>1.3478260869565217</v>
      </c>
      <c r="Q177" s="729">
        <v>155</v>
      </c>
    </row>
    <row r="178" spans="1:17" ht="14.4" customHeight="1" x14ac:dyDescent="0.3">
      <c r="A178" s="724" t="s">
        <v>3950</v>
      </c>
      <c r="B178" s="725" t="s">
        <v>3582</v>
      </c>
      <c r="C178" s="725" t="s">
        <v>2989</v>
      </c>
      <c r="D178" s="725" t="s">
        <v>4049</v>
      </c>
      <c r="E178" s="725" t="s">
        <v>4050</v>
      </c>
      <c r="F178" s="728">
        <v>159</v>
      </c>
      <c r="G178" s="728">
        <v>29097</v>
      </c>
      <c r="H178" s="728">
        <v>1.3413700903558916</v>
      </c>
      <c r="I178" s="728">
        <v>183</v>
      </c>
      <c r="J178" s="728">
        <v>116</v>
      </c>
      <c r="K178" s="728">
        <v>21692</v>
      </c>
      <c r="L178" s="728">
        <v>1</v>
      </c>
      <c r="M178" s="728">
        <v>187</v>
      </c>
      <c r="N178" s="728">
        <v>141</v>
      </c>
      <c r="O178" s="728">
        <v>26367</v>
      </c>
      <c r="P178" s="741">
        <v>1.2155172413793103</v>
      </c>
      <c r="Q178" s="729">
        <v>187</v>
      </c>
    </row>
    <row r="179" spans="1:17" ht="14.4" customHeight="1" x14ac:dyDescent="0.3">
      <c r="A179" s="724" t="s">
        <v>3950</v>
      </c>
      <c r="B179" s="725" t="s">
        <v>3582</v>
      </c>
      <c r="C179" s="725" t="s">
        <v>2989</v>
      </c>
      <c r="D179" s="725" t="s">
        <v>4051</v>
      </c>
      <c r="E179" s="725" t="s">
        <v>4052</v>
      </c>
      <c r="F179" s="728">
        <v>6</v>
      </c>
      <c r="G179" s="728">
        <v>750</v>
      </c>
      <c r="H179" s="728">
        <v>1.46484375</v>
      </c>
      <c r="I179" s="728">
        <v>125</v>
      </c>
      <c r="J179" s="728">
        <v>4</v>
      </c>
      <c r="K179" s="728">
        <v>512</v>
      </c>
      <c r="L179" s="728">
        <v>1</v>
      </c>
      <c r="M179" s="728">
        <v>128</v>
      </c>
      <c r="N179" s="728">
        <v>6</v>
      </c>
      <c r="O179" s="728">
        <v>768</v>
      </c>
      <c r="P179" s="741">
        <v>1.5</v>
      </c>
      <c r="Q179" s="729">
        <v>128</v>
      </c>
    </row>
    <row r="180" spans="1:17" ht="14.4" customHeight="1" x14ac:dyDescent="0.3">
      <c r="A180" s="724" t="s">
        <v>3950</v>
      </c>
      <c r="B180" s="725" t="s">
        <v>3582</v>
      </c>
      <c r="C180" s="725" t="s">
        <v>2989</v>
      </c>
      <c r="D180" s="725" t="s">
        <v>4053</v>
      </c>
      <c r="E180" s="725" t="s">
        <v>4054</v>
      </c>
      <c r="F180" s="728">
        <v>13</v>
      </c>
      <c r="G180" s="728">
        <v>2847</v>
      </c>
      <c r="H180" s="728">
        <v>0.63834080717488795</v>
      </c>
      <c r="I180" s="728">
        <v>219</v>
      </c>
      <c r="J180" s="728">
        <v>20</v>
      </c>
      <c r="K180" s="728">
        <v>4460</v>
      </c>
      <c r="L180" s="728">
        <v>1</v>
      </c>
      <c r="M180" s="728">
        <v>223</v>
      </c>
      <c r="N180" s="728">
        <v>11</v>
      </c>
      <c r="O180" s="728">
        <v>2453</v>
      </c>
      <c r="P180" s="741">
        <v>0.55000000000000004</v>
      </c>
      <c r="Q180" s="729">
        <v>223</v>
      </c>
    </row>
    <row r="181" spans="1:17" ht="14.4" customHeight="1" x14ac:dyDescent="0.3">
      <c r="A181" s="724" t="s">
        <v>3950</v>
      </c>
      <c r="B181" s="725" t="s">
        <v>3582</v>
      </c>
      <c r="C181" s="725" t="s">
        <v>2989</v>
      </c>
      <c r="D181" s="725" t="s">
        <v>4055</v>
      </c>
      <c r="E181" s="725" t="s">
        <v>4056</v>
      </c>
      <c r="F181" s="728">
        <v>2</v>
      </c>
      <c r="G181" s="728">
        <v>438</v>
      </c>
      <c r="H181" s="728">
        <v>1.9641255605381165</v>
      </c>
      <c r="I181" s="728">
        <v>219</v>
      </c>
      <c r="J181" s="728">
        <v>1</v>
      </c>
      <c r="K181" s="728">
        <v>223</v>
      </c>
      <c r="L181" s="728">
        <v>1</v>
      </c>
      <c r="M181" s="728">
        <v>223</v>
      </c>
      <c r="N181" s="728">
        <v>2</v>
      </c>
      <c r="O181" s="728">
        <v>446</v>
      </c>
      <c r="P181" s="741">
        <v>2</v>
      </c>
      <c r="Q181" s="729">
        <v>223</v>
      </c>
    </row>
    <row r="182" spans="1:17" ht="14.4" customHeight="1" x14ac:dyDescent="0.3">
      <c r="A182" s="724" t="s">
        <v>3950</v>
      </c>
      <c r="B182" s="725" t="s">
        <v>3582</v>
      </c>
      <c r="C182" s="725" t="s">
        <v>2989</v>
      </c>
      <c r="D182" s="725" t="s">
        <v>4057</v>
      </c>
      <c r="E182" s="725" t="s">
        <v>4058</v>
      </c>
      <c r="F182" s="728">
        <v>5</v>
      </c>
      <c r="G182" s="728">
        <v>1105</v>
      </c>
      <c r="H182" s="728">
        <v>0.61388888888888893</v>
      </c>
      <c r="I182" s="728">
        <v>221</v>
      </c>
      <c r="J182" s="728">
        <v>8</v>
      </c>
      <c r="K182" s="728">
        <v>1800</v>
      </c>
      <c r="L182" s="728">
        <v>1</v>
      </c>
      <c r="M182" s="728">
        <v>225</v>
      </c>
      <c r="N182" s="728">
        <v>5</v>
      </c>
      <c r="O182" s="728">
        <v>1125</v>
      </c>
      <c r="P182" s="741">
        <v>0.625</v>
      </c>
      <c r="Q182" s="729">
        <v>225</v>
      </c>
    </row>
    <row r="183" spans="1:17" ht="14.4" customHeight="1" x14ac:dyDescent="0.3">
      <c r="A183" s="724" t="s">
        <v>3950</v>
      </c>
      <c r="B183" s="725" t="s">
        <v>3582</v>
      </c>
      <c r="C183" s="725" t="s">
        <v>2989</v>
      </c>
      <c r="D183" s="725" t="s">
        <v>4059</v>
      </c>
      <c r="E183" s="725" t="s">
        <v>4060</v>
      </c>
      <c r="F183" s="728">
        <v>7</v>
      </c>
      <c r="G183" s="728">
        <v>28973</v>
      </c>
      <c r="H183" s="728">
        <v>0.4638648735190522</v>
      </c>
      <c r="I183" s="728">
        <v>4139</v>
      </c>
      <c r="J183" s="728">
        <v>15</v>
      </c>
      <c r="K183" s="728">
        <v>62460</v>
      </c>
      <c r="L183" s="728">
        <v>1</v>
      </c>
      <c r="M183" s="728">
        <v>4164</v>
      </c>
      <c r="N183" s="728">
        <v>8</v>
      </c>
      <c r="O183" s="728">
        <v>33312</v>
      </c>
      <c r="P183" s="741">
        <v>0.53333333333333333</v>
      </c>
      <c r="Q183" s="729">
        <v>4164</v>
      </c>
    </row>
    <row r="184" spans="1:17" ht="14.4" customHeight="1" x14ac:dyDescent="0.3">
      <c r="A184" s="724" t="s">
        <v>3950</v>
      </c>
      <c r="B184" s="725" t="s">
        <v>3582</v>
      </c>
      <c r="C184" s="725" t="s">
        <v>2989</v>
      </c>
      <c r="D184" s="725" t="s">
        <v>4061</v>
      </c>
      <c r="E184" s="725" t="s">
        <v>4062</v>
      </c>
      <c r="F184" s="728">
        <v>17</v>
      </c>
      <c r="G184" s="728">
        <v>65008</v>
      </c>
      <c r="H184" s="728">
        <v>0.49533678756476685</v>
      </c>
      <c r="I184" s="728">
        <v>3824</v>
      </c>
      <c r="J184" s="728">
        <v>34</v>
      </c>
      <c r="K184" s="728">
        <v>131240</v>
      </c>
      <c r="L184" s="728">
        <v>1</v>
      </c>
      <c r="M184" s="728">
        <v>3860</v>
      </c>
      <c r="N184" s="728">
        <v>22</v>
      </c>
      <c r="O184" s="728">
        <v>84920</v>
      </c>
      <c r="P184" s="741">
        <v>0.6470588235294118</v>
      </c>
      <c r="Q184" s="729">
        <v>3860</v>
      </c>
    </row>
    <row r="185" spans="1:17" ht="14.4" customHeight="1" x14ac:dyDescent="0.3">
      <c r="A185" s="724" t="s">
        <v>3950</v>
      </c>
      <c r="B185" s="725" t="s">
        <v>3582</v>
      </c>
      <c r="C185" s="725" t="s">
        <v>2989</v>
      </c>
      <c r="D185" s="725" t="s">
        <v>4063</v>
      </c>
      <c r="E185" s="725" t="s">
        <v>4064</v>
      </c>
      <c r="F185" s="728"/>
      <c r="G185" s="728"/>
      <c r="H185" s="728"/>
      <c r="I185" s="728"/>
      <c r="J185" s="728">
        <v>6</v>
      </c>
      <c r="K185" s="728">
        <v>47550</v>
      </c>
      <c r="L185" s="728">
        <v>1</v>
      </c>
      <c r="M185" s="728">
        <v>7925</v>
      </c>
      <c r="N185" s="728">
        <v>1</v>
      </c>
      <c r="O185" s="728">
        <v>7926</v>
      </c>
      <c r="P185" s="741">
        <v>0.16668769716088327</v>
      </c>
      <c r="Q185" s="729">
        <v>7926</v>
      </c>
    </row>
    <row r="186" spans="1:17" ht="14.4" customHeight="1" x14ac:dyDescent="0.3">
      <c r="A186" s="724" t="s">
        <v>3950</v>
      </c>
      <c r="B186" s="725" t="s">
        <v>3582</v>
      </c>
      <c r="C186" s="725" t="s">
        <v>2989</v>
      </c>
      <c r="D186" s="725" t="s">
        <v>4065</v>
      </c>
      <c r="E186" s="725" t="s">
        <v>4066</v>
      </c>
      <c r="F186" s="728">
        <v>4</v>
      </c>
      <c r="G186" s="728">
        <v>5124</v>
      </c>
      <c r="H186" s="728">
        <v>3.9628770301624128</v>
      </c>
      <c r="I186" s="728">
        <v>1281</v>
      </c>
      <c r="J186" s="728">
        <v>1</v>
      </c>
      <c r="K186" s="728">
        <v>1293</v>
      </c>
      <c r="L186" s="728">
        <v>1</v>
      </c>
      <c r="M186" s="728">
        <v>1293</v>
      </c>
      <c r="N186" s="728">
        <v>1</v>
      </c>
      <c r="O186" s="728">
        <v>1294</v>
      </c>
      <c r="P186" s="741">
        <v>1.0007733952049498</v>
      </c>
      <c r="Q186" s="729">
        <v>1294</v>
      </c>
    </row>
    <row r="187" spans="1:17" ht="14.4" customHeight="1" x14ac:dyDescent="0.3">
      <c r="A187" s="724" t="s">
        <v>3950</v>
      </c>
      <c r="B187" s="725" t="s">
        <v>3582</v>
      </c>
      <c r="C187" s="725" t="s">
        <v>2989</v>
      </c>
      <c r="D187" s="725" t="s">
        <v>4067</v>
      </c>
      <c r="E187" s="725" t="s">
        <v>4068</v>
      </c>
      <c r="F187" s="728"/>
      <c r="G187" s="728"/>
      <c r="H187" s="728"/>
      <c r="I187" s="728"/>
      <c r="J187" s="728">
        <v>1</v>
      </c>
      <c r="K187" s="728">
        <v>1177</v>
      </c>
      <c r="L187" s="728">
        <v>1</v>
      </c>
      <c r="M187" s="728">
        <v>1177</v>
      </c>
      <c r="N187" s="728">
        <v>1</v>
      </c>
      <c r="O187" s="728">
        <v>1178</v>
      </c>
      <c r="P187" s="741">
        <v>1.0008496176720476</v>
      </c>
      <c r="Q187" s="729">
        <v>1178</v>
      </c>
    </row>
    <row r="188" spans="1:17" ht="14.4" customHeight="1" x14ac:dyDescent="0.3">
      <c r="A188" s="724" t="s">
        <v>3950</v>
      </c>
      <c r="B188" s="725" t="s">
        <v>3582</v>
      </c>
      <c r="C188" s="725" t="s">
        <v>2989</v>
      </c>
      <c r="D188" s="725" t="s">
        <v>4069</v>
      </c>
      <c r="E188" s="725" t="s">
        <v>4070</v>
      </c>
      <c r="F188" s="728">
        <v>77</v>
      </c>
      <c r="G188" s="728">
        <v>390852</v>
      </c>
      <c r="H188" s="728">
        <v>0.98429319371727753</v>
      </c>
      <c r="I188" s="728">
        <v>5076</v>
      </c>
      <c r="J188" s="728">
        <v>77</v>
      </c>
      <c r="K188" s="728">
        <v>397089</v>
      </c>
      <c r="L188" s="728">
        <v>1</v>
      </c>
      <c r="M188" s="728">
        <v>5157</v>
      </c>
      <c r="N188" s="728">
        <v>82</v>
      </c>
      <c r="O188" s="728">
        <v>422874</v>
      </c>
      <c r="P188" s="741">
        <v>1.0649350649350648</v>
      </c>
      <c r="Q188" s="729">
        <v>5157</v>
      </c>
    </row>
    <row r="189" spans="1:17" ht="14.4" customHeight="1" x14ac:dyDescent="0.3">
      <c r="A189" s="724" t="s">
        <v>3950</v>
      </c>
      <c r="B189" s="725" t="s">
        <v>3582</v>
      </c>
      <c r="C189" s="725" t="s">
        <v>2989</v>
      </c>
      <c r="D189" s="725" t="s">
        <v>4071</v>
      </c>
      <c r="E189" s="725" t="s">
        <v>4072</v>
      </c>
      <c r="F189" s="728">
        <v>1</v>
      </c>
      <c r="G189" s="728">
        <v>5516</v>
      </c>
      <c r="H189" s="728"/>
      <c r="I189" s="728">
        <v>5516</v>
      </c>
      <c r="J189" s="728"/>
      <c r="K189" s="728"/>
      <c r="L189" s="728"/>
      <c r="M189" s="728"/>
      <c r="N189" s="728">
        <v>1</v>
      </c>
      <c r="O189" s="728">
        <v>5620</v>
      </c>
      <c r="P189" s="741"/>
      <c r="Q189" s="729">
        <v>5620</v>
      </c>
    </row>
    <row r="190" spans="1:17" ht="14.4" customHeight="1" x14ac:dyDescent="0.3">
      <c r="A190" s="724" t="s">
        <v>3950</v>
      </c>
      <c r="B190" s="725" t="s">
        <v>3582</v>
      </c>
      <c r="C190" s="725" t="s">
        <v>2989</v>
      </c>
      <c r="D190" s="725" t="s">
        <v>3583</v>
      </c>
      <c r="E190" s="725" t="s">
        <v>3584</v>
      </c>
      <c r="F190" s="728">
        <v>1</v>
      </c>
      <c r="G190" s="728">
        <v>752</v>
      </c>
      <c r="H190" s="728"/>
      <c r="I190" s="728">
        <v>752</v>
      </c>
      <c r="J190" s="728"/>
      <c r="K190" s="728"/>
      <c r="L190" s="728"/>
      <c r="M190" s="728"/>
      <c r="N190" s="728">
        <v>1</v>
      </c>
      <c r="O190" s="728">
        <v>801</v>
      </c>
      <c r="P190" s="741"/>
      <c r="Q190" s="729">
        <v>801</v>
      </c>
    </row>
    <row r="191" spans="1:17" ht="14.4" customHeight="1" x14ac:dyDescent="0.3">
      <c r="A191" s="724" t="s">
        <v>3950</v>
      </c>
      <c r="B191" s="725" t="s">
        <v>3582</v>
      </c>
      <c r="C191" s="725" t="s">
        <v>2989</v>
      </c>
      <c r="D191" s="725" t="s">
        <v>4073</v>
      </c>
      <c r="E191" s="725" t="s">
        <v>4074</v>
      </c>
      <c r="F191" s="728">
        <v>111</v>
      </c>
      <c r="G191" s="728">
        <v>19425</v>
      </c>
      <c r="H191" s="728">
        <v>1.1085430576956001</v>
      </c>
      <c r="I191" s="728">
        <v>175</v>
      </c>
      <c r="J191" s="728">
        <v>99</v>
      </c>
      <c r="K191" s="728">
        <v>17523</v>
      </c>
      <c r="L191" s="728">
        <v>1</v>
      </c>
      <c r="M191" s="728">
        <v>177</v>
      </c>
      <c r="N191" s="728">
        <v>96</v>
      </c>
      <c r="O191" s="728">
        <v>16992</v>
      </c>
      <c r="P191" s="741">
        <v>0.96969696969696972</v>
      </c>
      <c r="Q191" s="729">
        <v>177</v>
      </c>
    </row>
    <row r="192" spans="1:17" ht="14.4" customHeight="1" x14ac:dyDescent="0.3">
      <c r="A192" s="724" t="s">
        <v>3950</v>
      </c>
      <c r="B192" s="725" t="s">
        <v>3582</v>
      </c>
      <c r="C192" s="725" t="s">
        <v>2989</v>
      </c>
      <c r="D192" s="725" t="s">
        <v>4075</v>
      </c>
      <c r="E192" s="725" t="s">
        <v>4076</v>
      </c>
      <c r="F192" s="728">
        <v>121</v>
      </c>
      <c r="G192" s="728">
        <v>242121</v>
      </c>
      <c r="H192" s="728">
        <v>0.7037091936383929</v>
      </c>
      <c r="I192" s="728">
        <v>2001</v>
      </c>
      <c r="J192" s="728">
        <v>168</v>
      </c>
      <c r="K192" s="728">
        <v>344064</v>
      </c>
      <c r="L192" s="728">
        <v>1</v>
      </c>
      <c r="M192" s="728">
        <v>2048</v>
      </c>
      <c r="N192" s="728">
        <v>114</v>
      </c>
      <c r="O192" s="728">
        <v>233586</v>
      </c>
      <c r="P192" s="741">
        <v>0.6789027622767857</v>
      </c>
      <c r="Q192" s="729">
        <v>2049</v>
      </c>
    </row>
    <row r="193" spans="1:17" ht="14.4" customHeight="1" x14ac:dyDescent="0.3">
      <c r="A193" s="724" t="s">
        <v>3950</v>
      </c>
      <c r="B193" s="725" t="s">
        <v>3582</v>
      </c>
      <c r="C193" s="725" t="s">
        <v>2989</v>
      </c>
      <c r="D193" s="725" t="s">
        <v>4077</v>
      </c>
      <c r="E193" s="725" t="s">
        <v>4078</v>
      </c>
      <c r="F193" s="728">
        <v>26</v>
      </c>
      <c r="G193" s="728">
        <v>70096</v>
      </c>
      <c r="H193" s="728">
        <v>1.113907958301551</v>
      </c>
      <c r="I193" s="728">
        <v>2696</v>
      </c>
      <c r="J193" s="728">
        <v>23</v>
      </c>
      <c r="K193" s="728">
        <v>62928</v>
      </c>
      <c r="L193" s="728">
        <v>1</v>
      </c>
      <c r="M193" s="728">
        <v>2736</v>
      </c>
      <c r="N193" s="728">
        <v>28</v>
      </c>
      <c r="O193" s="728">
        <v>76636</v>
      </c>
      <c r="P193" s="741">
        <v>1.2178362573099415</v>
      </c>
      <c r="Q193" s="729">
        <v>2737</v>
      </c>
    </row>
    <row r="194" spans="1:17" ht="14.4" customHeight="1" x14ac:dyDescent="0.3">
      <c r="A194" s="724" t="s">
        <v>3950</v>
      </c>
      <c r="B194" s="725" t="s">
        <v>3582</v>
      </c>
      <c r="C194" s="725" t="s">
        <v>2989</v>
      </c>
      <c r="D194" s="725" t="s">
        <v>4079</v>
      </c>
      <c r="E194" s="725" t="s">
        <v>4080</v>
      </c>
      <c r="F194" s="728"/>
      <c r="G194" s="728"/>
      <c r="H194" s="728"/>
      <c r="I194" s="728"/>
      <c r="J194" s="728"/>
      <c r="K194" s="728"/>
      <c r="L194" s="728"/>
      <c r="M194" s="728"/>
      <c r="N194" s="728">
        <v>1</v>
      </c>
      <c r="O194" s="728">
        <v>5269</v>
      </c>
      <c r="P194" s="741"/>
      <c r="Q194" s="729">
        <v>5269</v>
      </c>
    </row>
    <row r="195" spans="1:17" ht="14.4" customHeight="1" x14ac:dyDescent="0.3">
      <c r="A195" s="724" t="s">
        <v>3950</v>
      </c>
      <c r="B195" s="725" t="s">
        <v>3582</v>
      </c>
      <c r="C195" s="725" t="s">
        <v>2989</v>
      </c>
      <c r="D195" s="725" t="s">
        <v>4081</v>
      </c>
      <c r="E195" s="725" t="s">
        <v>4082</v>
      </c>
      <c r="F195" s="728"/>
      <c r="G195" s="728"/>
      <c r="H195" s="728"/>
      <c r="I195" s="728"/>
      <c r="J195" s="728">
        <v>7</v>
      </c>
      <c r="K195" s="728">
        <v>14791</v>
      </c>
      <c r="L195" s="728">
        <v>1</v>
      </c>
      <c r="M195" s="728">
        <v>2113</v>
      </c>
      <c r="N195" s="728">
        <v>1</v>
      </c>
      <c r="O195" s="728">
        <v>2113</v>
      </c>
      <c r="P195" s="741">
        <v>0.14285714285714285</v>
      </c>
      <c r="Q195" s="729">
        <v>2113</v>
      </c>
    </row>
    <row r="196" spans="1:17" ht="14.4" customHeight="1" x14ac:dyDescent="0.3">
      <c r="A196" s="724" t="s">
        <v>3950</v>
      </c>
      <c r="B196" s="725" t="s">
        <v>3582</v>
      </c>
      <c r="C196" s="725" t="s">
        <v>2989</v>
      </c>
      <c r="D196" s="725" t="s">
        <v>4083</v>
      </c>
      <c r="E196" s="725" t="s">
        <v>4084</v>
      </c>
      <c r="F196" s="728">
        <v>3</v>
      </c>
      <c r="G196" s="728">
        <v>453</v>
      </c>
      <c r="H196" s="728">
        <v>0.73064516129032253</v>
      </c>
      <c r="I196" s="728">
        <v>151</v>
      </c>
      <c r="J196" s="728">
        <v>4</v>
      </c>
      <c r="K196" s="728">
        <v>620</v>
      </c>
      <c r="L196" s="728">
        <v>1</v>
      </c>
      <c r="M196" s="728">
        <v>155</v>
      </c>
      <c r="N196" s="728">
        <v>3</v>
      </c>
      <c r="O196" s="728">
        <v>465</v>
      </c>
      <c r="P196" s="741">
        <v>0.75</v>
      </c>
      <c r="Q196" s="729">
        <v>155</v>
      </c>
    </row>
    <row r="197" spans="1:17" ht="14.4" customHeight="1" x14ac:dyDescent="0.3">
      <c r="A197" s="724" t="s">
        <v>3950</v>
      </c>
      <c r="B197" s="725" t="s">
        <v>3582</v>
      </c>
      <c r="C197" s="725" t="s">
        <v>2989</v>
      </c>
      <c r="D197" s="725" t="s">
        <v>4085</v>
      </c>
      <c r="E197" s="725" t="s">
        <v>4086</v>
      </c>
      <c r="F197" s="728">
        <v>8</v>
      </c>
      <c r="G197" s="728">
        <v>1560</v>
      </c>
      <c r="H197" s="728">
        <v>7.8391959798994977</v>
      </c>
      <c r="I197" s="728">
        <v>195</v>
      </c>
      <c r="J197" s="728">
        <v>1</v>
      </c>
      <c r="K197" s="728">
        <v>199</v>
      </c>
      <c r="L197" s="728">
        <v>1</v>
      </c>
      <c r="M197" s="728">
        <v>199</v>
      </c>
      <c r="N197" s="728">
        <v>6</v>
      </c>
      <c r="O197" s="728">
        <v>1194</v>
      </c>
      <c r="P197" s="741">
        <v>6</v>
      </c>
      <c r="Q197" s="729">
        <v>199</v>
      </c>
    </row>
    <row r="198" spans="1:17" ht="14.4" customHeight="1" x14ac:dyDescent="0.3">
      <c r="A198" s="724" t="s">
        <v>3950</v>
      </c>
      <c r="B198" s="725" t="s">
        <v>3582</v>
      </c>
      <c r="C198" s="725" t="s">
        <v>2989</v>
      </c>
      <c r="D198" s="725" t="s">
        <v>4087</v>
      </c>
      <c r="E198" s="725" t="s">
        <v>4088</v>
      </c>
      <c r="F198" s="728">
        <v>1222</v>
      </c>
      <c r="G198" s="728">
        <v>244400</v>
      </c>
      <c r="H198" s="728">
        <v>0.82737514895460951</v>
      </c>
      <c r="I198" s="728">
        <v>200</v>
      </c>
      <c r="J198" s="728">
        <v>1448</v>
      </c>
      <c r="K198" s="728">
        <v>295392</v>
      </c>
      <c r="L198" s="728">
        <v>1</v>
      </c>
      <c r="M198" s="728">
        <v>204</v>
      </c>
      <c r="N198" s="728">
        <v>1296</v>
      </c>
      <c r="O198" s="728">
        <v>264384</v>
      </c>
      <c r="P198" s="741">
        <v>0.89502762430939231</v>
      </c>
      <c r="Q198" s="729">
        <v>204</v>
      </c>
    </row>
    <row r="199" spans="1:17" ht="14.4" customHeight="1" x14ac:dyDescent="0.3">
      <c r="A199" s="724" t="s">
        <v>3950</v>
      </c>
      <c r="B199" s="725" t="s">
        <v>3582</v>
      </c>
      <c r="C199" s="725" t="s">
        <v>2989</v>
      </c>
      <c r="D199" s="725" t="s">
        <v>4089</v>
      </c>
      <c r="E199" s="725" t="s">
        <v>4090</v>
      </c>
      <c r="F199" s="728">
        <v>1</v>
      </c>
      <c r="G199" s="728">
        <v>159</v>
      </c>
      <c r="H199" s="728">
        <v>0.32515337423312884</v>
      </c>
      <c r="I199" s="728">
        <v>159</v>
      </c>
      <c r="J199" s="728">
        <v>3</v>
      </c>
      <c r="K199" s="728">
        <v>489</v>
      </c>
      <c r="L199" s="728">
        <v>1</v>
      </c>
      <c r="M199" s="728">
        <v>163</v>
      </c>
      <c r="N199" s="728">
        <v>2</v>
      </c>
      <c r="O199" s="728">
        <v>326</v>
      </c>
      <c r="P199" s="741">
        <v>0.66666666666666663</v>
      </c>
      <c r="Q199" s="729">
        <v>163</v>
      </c>
    </row>
    <row r="200" spans="1:17" ht="14.4" customHeight="1" x14ac:dyDescent="0.3">
      <c r="A200" s="724" t="s">
        <v>3950</v>
      </c>
      <c r="B200" s="725" t="s">
        <v>3582</v>
      </c>
      <c r="C200" s="725" t="s">
        <v>2989</v>
      </c>
      <c r="D200" s="725" t="s">
        <v>4091</v>
      </c>
      <c r="E200" s="725" t="s">
        <v>4092</v>
      </c>
      <c r="F200" s="728">
        <v>69</v>
      </c>
      <c r="G200" s="728">
        <v>146487</v>
      </c>
      <c r="H200" s="728">
        <v>1.0968865127145295</v>
      </c>
      <c r="I200" s="728">
        <v>2123</v>
      </c>
      <c r="J200" s="728">
        <v>62</v>
      </c>
      <c r="K200" s="728">
        <v>133548</v>
      </c>
      <c r="L200" s="728">
        <v>1</v>
      </c>
      <c r="M200" s="728">
        <v>2154</v>
      </c>
      <c r="N200" s="728">
        <v>52</v>
      </c>
      <c r="O200" s="728">
        <v>112060</v>
      </c>
      <c r="P200" s="741">
        <v>0.83909905052864886</v>
      </c>
      <c r="Q200" s="729">
        <v>2155</v>
      </c>
    </row>
    <row r="201" spans="1:17" ht="14.4" customHeight="1" x14ac:dyDescent="0.3">
      <c r="A201" s="724" t="s">
        <v>3950</v>
      </c>
      <c r="B201" s="725" t="s">
        <v>3582</v>
      </c>
      <c r="C201" s="725" t="s">
        <v>2989</v>
      </c>
      <c r="D201" s="725" t="s">
        <v>4093</v>
      </c>
      <c r="E201" s="725" t="s">
        <v>4062</v>
      </c>
      <c r="F201" s="728">
        <v>19</v>
      </c>
      <c r="G201" s="728">
        <v>35511</v>
      </c>
      <c r="H201" s="728">
        <v>0.52246645480225984</v>
      </c>
      <c r="I201" s="728">
        <v>1869</v>
      </c>
      <c r="J201" s="728">
        <v>36</v>
      </c>
      <c r="K201" s="728">
        <v>67968</v>
      </c>
      <c r="L201" s="728">
        <v>1</v>
      </c>
      <c r="M201" s="728">
        <v>1888</v>
      </c>
      <c r="N201" s="728">
        <v>28</v>
      </c>
      <c r="O201" s="728">
        <v>52892</v>
      </c>
      <c r="P201" s="741">
        <v>0.778189736346516</v>
      </c>
      <c r="Q201" s="729">
        <v>1889</v>
      </c>
    </row>
    <row r="202" spans="1:17" ht="14.4" customHeight="1" x14ac:dyDescent="0.3">
      <c r="A202" s="724" t="s">
        <v>3950</v>
      </c>
      <c r="B202" s="725" t="s">
        <v>3582</v>
      </c>
      <c r="C202" s="725" t="s">
        <v>2989</v>
      </c>
      <c r="D202" s="725" t="s">
        <v>4094</v>
      </c>
      <c r="E202" s="725" t="s">
        <v>4095</v>
      </c>
      <c r="F202" s="728">
        <v>2</v>
      </c>
      <c r="G202" s="728">
        <v>318</v>
      </c>
      <c r="H202" s="728">
        <v>0.97546012269938653</v>
      </c>
      <c r="I202" s="728">
        <v>159</v>
      </c>
      <c r="J202" s="728">
        <v>2</v>
      </c>
      <c r="K202" s="728">
        <v>326</v>
      </c>
      <c r="L202" s="728">
        <v>1</v>
      </c>
      <c r="M202" s="728">
        <v>163</v>
      </c>
      <c r="N202" s="728"/>
      <c r="O202" s="728"/>
      <c r="P202" s="741"/>
      <c r="Q202" s="729"/>
    </row>
    <row r="203" spans="1:17" ht="14.4" customHeight="1" x14ac:dyDescent="0.3">
      <c r="A203" s="724" t="s">
        <v>3950</v>
      </c>
      <c r="B203" s="725" t="s">
        <v>3582</v>
      </c>
      <c r="C203" s="725" t="s">
        <v>2989</v>
      </c>
      <c r="D203" s="725" t="s">
        <v>4096</v>
      </c>
      <c r="E203" s="725" t="s">
        <v>4097</v>
      </c>
      <c r="F203" s="728"/>
      <c r="G203" s="728"/>
      <c r="H203" s="728"/>
      <c r="I203" s="728"/>
      <c r="J203" s="728"/>
      <c r="K203" s="728"/>
      <c r="L203" s="728"/>
      <c r="M203" s="728"/>
      <c r="N203" s="728">
        <v>1</v>
      </c>
      <c r="O203" s="728">
        <v>9838</v>
      </c>
      <c r="P203" s="741"/>
      <c r="Q203" s="729">
        <v>9838</v>
      </c>
    </row>
    <row r="204" spans="1:17" ht="14.4" customHeight="1" x14ac:dyDescent="0.3">
      <c r="A204" s="724" t="s">
        <v>3950</v>
      </c>
      <c r="B204" s="725" t="s">
        <v>3582</v>
      </c>
      <c r="C204" s="725" t="s">
        <v>2989</v>
      </c>
      <c r="D204" s="725" t="s">
        <v>4098</v>
      </c>
      <c r="E204" s="725" t="s">
        <v>4099</v>
      </c>
      <c r="F204" s="728">
        <v>11</v>
      </c>
      <c r="G204" s="728">
        <v>92389</v>
      </c>
      <c r="H204" s="728">
        <v>0.54609882964889467</v>
      </c>
      <c r="I204" s="728">
        <v>8399</v>
      </c>
      <c r="J204" s="728">
        <v>20</v>
      </c>
      <c r="K204" s="728">
        <v>169180</v>
      </c>
      <c r="L204" s="728">
        <v>1</v>
      </c>
      <c r="M204" s="728">
        <v>8459</v>
      </c>
      <c r="N204" s="728">
        <v>15</v>
      </c>
      <c r="O204" s="728">
        <v>126900</v>
      </c>
      <c r="P204" s="741">
        <v>0.75008866296252508</v>
      </c>
      <c r="Q204" s="729">
        <v>8460</v>
      </c>
    </row>
    <row r="205" spans="1:17" ht="14.4" customHeight="1" x14ac:dyDescent="0.3">
      <c r="A205" s="724" t="s">
        <v>3950</v>
      </c>
      <c r="B205" s="725" t="s">
        <v>3582</v>
      </c>
      <c r="C205" s="725" t="s">
        <v>2989</v>
      </c>
      <c r="D205" s="725" t="s">
        <v>4100</v>
      </c>
      <c r="E205" s="725" t="s">
        <v>4101</v>
      </c>
      <c r="F205" s="728"/>
      <c r="G205" s="728"/>
      <c r="H205" s="728"/>
      <c r="I205" s="728"/>
      <c r="J205" s="728"/>
      <c r="K205" s="728"/>
      <c r="L205" s="728"/>
      <c r="M205" s="728"/>
      <c r="N205" s="728">
        <v>5</v>
      </c>
      <c r="O205" s="728">
        <v>1295</v>
      </c>
      <c r="P205" s="741"/>
      <c r="Q205" s="729">
        <v>259</v>
      </c>
    </row>
    <row r="206" spans="1:17" ht="14.4" customHeight="1" x14ac:dyDescent="0.3">
      <c r="A206" s="724" t="s">
        <v>4102</v>
      </c>
      <c r="B206" s="725" t="s">
        <v>4103</v>
      </c>
      <c r="C206" s="725" t="s">
        <v>2989</v>
      </c>
      <c r="D206" s="725" t="s">
        <v>4104</v>
      </c>
      <c r="E206" s="725" t="s">
        <v>4105</v>
      </c>
      <c r="F206" s="728">
        <v>232</v>
      </c>
      <c r="G206" s="728">
        <v>47792</v>
      </c>
      <c r="H206" s="728">
        <v>1.0066771985255398</v>
      </c>
      <c r="I206" s="728">
        <v>206</v>
      </c>
      <c r="J206" s="728">
        <v>225</v>
      </c>
      <c r="K206" s="728">
        <v>47475</v>
      </c>
      <c r="L206" s="728">
        <v>1</v>
      </c>
      <c r="M206" s="728">
        <v>211</v>
      </c>
      <c r="N206" s="728">
        <v>125</v>
      </c>
      <c r="O206" s="728">
        <v>26375</v>
      </c>
      <c r="P206" s="741">
        <v>0.55555555555555558</v>
      </c>
      <c r="Q206" s="729">
        <v>211</v>
      </c>
    </row>
    <row r="207" spans="1:17" ht="14.4" customHeight="1" x14ac:dyDescent="0.3">
      <c r="A207" s="724" t="s">
        <v>4102</v>
      </c>
      <c r="B207" s="725" t="s">
        <v>4103</v>
      </c>
      <c r="C207" s="725" t="s">
        <v>2989</v>
      </c>
      <c r="D207" s="725" t="s">
        <v>4106</v>
      </c>
      <c r="E207" s="725" t="s">
        <v>4105</v>
      </c>
      <c r="F207" s="728">
        <v>2</v>
      </c>
      <c r="G207" s="728">
        <v>170</v>
      </c>
      <c r="H207" s="728">
        <v>0.65134099616858232</v>
      </c>
      <c r="I207" s="728">
        <v>85</v>
      </c>
      <c r="J207" s="728">
        <v>3</v>
      </c>
      <c r="K207" s="728">
        <v>261</v>
      </c>
      <c r="L207" s="728">
        <v>1</v>
      </c>
      <c r="M207" s="728">
        <v>87</v>
      </c>
      <c r="N207" s="728"/>
      <c r="O207" s="728"/>
      <c r="P207" s="741"/>
      <c r="Q207" s="729"/>
    </row>
    <row r="208" spans="1:17" ht="14.4" customHeight="1" x14ac:dyDescent="0.3">
      <c r="A208" s="724" t="s">
        <v>4102</v>
      </c>
      <c r="B208" s="725" t="s">
        <v>4103</v>
      </c>
      <c r="C208" s="725" t="s">
        <v>2989</v>
      </c>
      <c r="D208" s="725" t="s">
        <v>4107</v>
      </c>
      <c r="E208" s="725" t="s">
        <v>4108</v>
      </c>
      <c r="F208" s="728">
        <v>168</v>
      </c>
      <c r="G208" s="728">
        <v>49560</v>
      </c>
      <c r="H208" s="728">
        <v>1.6302095325811652</v>
      </c>
      <c r="I208" s="728">
        <v>295</v>
      </c>
      <c r="J208" s="728">
        <v>101</v>
      </c>
      <c r="K208" s="728">
        <v>30401</v>
      </c>
      <c r="L208" s="728">
        <v>1</v>
      </c>
      <c r="M208" s="728">
        <v>301</v>
      </c>
      <c r="N208" s="728">
        <v>152</v>
      </c>
      <c r="O208" s="728">
        <v>45752</v>
      </c>
      <c r="P208" s="741">
        <v>1.504950495049505</v>
      </c>
      <c r="Q208" s="729">
        <v>301</v>
      </c>
    </row>
    <row r="209" spans="1:17" ht="14.4" customHeight="1" x14ac:dyDescent="0.3">
      <c r="A209" s="724" t="s">
        <v>4102</v>
      </c>
      <c r="B209" s="725" t="s">
        <v>4103</v>
      </c>
      <c r="C209" s="725" t="s">
        <v>2989</v>
      </c>
      <c r="D209" s="725" t="s">
        <v>4109</v>
      </c>
      <c r="E209" s="725" t="s">
        <v>4110</v>
      </c>
      <c r="F209" s="728"/>
      <c r="G209" s="728"/>
      <c r="H209" s="728"/>
      <c r="I209" s="728"/>
      <c r="J209" s="728">
        <v>3</v>
      </c>
      <c r="K209" s="728">
        <v>297</v>
      </c>
      <c r="L209" s="728">
        <v>1</v>
      </c>
      <c r="M209" s="728">
        <v>99</v>
      </c>
      <c r="N209" s="728"/>
      <c r="O209" s="728"/>
      <c r="P209" s="741"/>
      <c r="Q209" s="729"/>
    </row>
    <row r="210" spans="1:17" ht="14.4" customHeight="1" x14ac:dyDescent="0.3">
      <c r="A210" s="724" t="s">
        <v>4102</v>
      </c>
      <c r="B210" s="725" t="s">
        <v>4103</v>
      </c>
      <c r="C210" s="725" t="s">
        <v>2989</v>
      </c>
      <c r="D210" s="725" t="s">
        <v>4111</v>
      </c>
      <c r="E210" s="725" t="s">
        <v>4112</v>
      </c>
      <c r="F210" s="728">
        <v>126</v>
      </c>
      <c r="G210" s="728">
        <v>17010</v>
      </c>
      <c r="H210" s="728">
        <v>1.3208572759745303</v>
      </c>
      <c r="I210" s="728">
        <v>135</v>
      </c>
      <c r="J210" s="728">
        <v>94</v>
      </c>
      <c r="K210" s="728">
        <v>12878</v>
      </c>
      <c r="L210" s="728">
        <v>1</v>
      </c>
      <c r="M210" s="728">
        <v>137</v>
      </c>
      <c r="N210" s="728">
        <v>76</v>
      </c>
      <c r="O210" s="728">
        <v>10412</v>
      </c>
      <c r="P210" s="741">
        <v>0.80851063829787229</v>
      </c>
      <c r="Q210" s="729">
        <v>137</v>
      </c>
    </row>
    <row r="211" spans="1:17" ht="14.4" customHeight="1" x14ac:dyDescent="0.3">
      <c r="A211" s="724" t="s">
        <v>4102</v>
      </c>
      <c r="B211" s="725" t="s">
        <v>4103</v>
      </c>
      <c r="C211" s="725" t="s">
        <v>2989</v>
      </c>
      <c r="D211" s="725" t="s">
        <v>4113</v>
      </c>
      <c r="E211" s="725" t="s">
        <v>4112</v>
      </c>
      <c r="F211" s="728">
        <v>1</v>
      </c>
      <c r="G211" s="728">
        <v>178</v>
      </c>
      <c r="H211" s="728">
        <v>0.97267759562841527</v>
      </c>
      <c r="I211" s="728">
        <v>178</v>
      </c>
      <c r="J211" s="728">
        <v>1</v>
      </c>
      <c r="K211" s="728">
        <v>183</v>
      </c>
      <c r="L211" s="728">
        <v>1</v>
      </c>
      <c r="M211" s="728">
        <v>183</v>
      </c>
      <c r="N211" s="728"/>
      <c r="O211" s="728"/>
      <c r="P211" s="741"/>
      <c r="Q211" s="729"/>
    </row>
    <row r="212" spans="1:17" ht="14.4" customHeight="1" x14ac:dyDescent="0.3">
      <c r="A212" s="724" t="s">
        <v>4102</v>
      </c>
      <c r="B212" s="725" t="s">
        <v>4103</v>
      </c>
      <c r="C212" s="725" t="s">
        <v>2989</v>
      </c>
      <c r="D212" s="725" t="s">
        <v>4114</v>
      </c>
      <c r="E212" s="725" t="s">
        <v>4115</v>
      </c>
      <c r="F212" s="728"/>
      <c r="G212" s="728"/>
      <c r="H212" s="728"/>
      <c r="I212" s="728"/>
      <c r="J212" s="728">
        <v>1</v>
      </c>
      <c r="K212" s="728">
        <v>639</v>
      </c>
      <c r="L212" s="728">
        <v>1</v>
      </c>
      <c r="M212" s="728">
        <v>639</v>
      </c>
      <c r="N212" s="728"/>
      <c r="O212" s="728"/>
      <c r="P212" s="741"/>
      <c r="Q212" s="729"/>
    </row>
    <row r="213" spans="1:17" ht="14.4" customHeight="1" x14ac:dyDescent="0.3">
      <c r="A213" s="724" t="s">
        <v>4102</v>
      </c>
      <c r="B213" s="725" t="s">
        <v>4103</v>
      </c>
      <c r="C213" s="725" t="s">
        <v>2989</v>
      </c>
      <c r="D213" s="725" t="s">
        <v>4116</v>
      </c>
      <c r="E213" s="725" t="s">
        <v>4117</v>
      </c>
      <c r="F213" s="728">
        <v>8</v>
      </c>
      <c r="G213" s="728">
        <v>1288</v>
      </c>
      <c r="H213" s="728">
        <v>2.4816955684007707</v>
      </c>
      <c r="I213" s="728">
        <v>161</v>
      </c>
      <c r="J213" s="728">
        <v>3</v>
      </c>
      <c r="K213" s="728">
        <v>519</v>
      </c>
      <c r="L213" s="728">
        <v>1</v>
      </c>
      <c r="M213" s="728">
        <v>173</v>
      </c>
      <c r="N213" s="728">
        <v>6</v>
      </c>
      <c r="O213" s="728">
        <v>1038</v>
      </c>
      <c r="P213" s="741">
        <v>2</v>
      </c>
      <c r="Q213" s="729">
        <v>173</v>
      </c>
    </row>
    <row r="214" spans="1:17" ht="14.4" customHeight="1" x14ac:dyDescent="0.3">
      <c r="A214" s="724" t="s">
        <v>4102</v>
      </c>
      <c r="B214" s="725" t="s">
        <v>4103</v>
      </c>
      <c r="C214" s="725" t="s">
        <v>2989</v>
      </c>
      <c r="D214" s="725" t="s">
        <v>4118</v>
      </c>
      <c r="E214" s="725" t="s">
        <v>4119</v>
      </c>
      <c r="F214" s="728">
        <v>65</v>
      </c>
      <c r="G214" s="728">
        <v>17290</v>
      </c>
      <c r="H214" s="728">
        <v>1.1111111111111112</v>
      </c>
      <c r="I214" s="728">
        <v>266</v>
      </c>
      <c r="J214" s="728">
        <v>57</v>
      </c>
      <c r="K214" s="728">
        <v>15561</v>
      </c>
      <c r="L214" s="728">
        <v>1</v>
      </c>
      <c r="M214" s="728">
        <v>273</v>
      </c>
      <c r="N214" s="728"/>
      <c r="O214" s="728"/>
      <c r="P214" s="741"/>
      <c r="Q214" s="729"/>
    </row>
    <row r="215" spans="1:17" ht="14.4" customHeight="1" x14ac:dyDescent="0.3">
      <c r="A215" s="724" t="s">
        <v>4102</v>
      </c>
      <c r="B215" s="725" t="s">
        <v>4103</v>
      </c>
      <c r="C215" s="725" t="s">
        <v>2989</v>
      </c>
      <c r="D215" s="725" t="s">
        <v>4120</v>
      </c>
      <c r="E215" s="725" t="s">
        <v>4121</v>
      </c>
      <c r="F215" s="728">
        <v>78</v>
      </c>
      <c r="G215" s="728">
        <v>10998</v>
      </c>
      <c r="H215" s="728">
        <v>1.0908549890894663</v>
      </c>
      <c r="I215" s="728">
        <v>141</v>
      </c>
      <c r="J215" s="728">
        <v>71</v>
      </c>
      <c r="K215" s="728">
        <v>10082</v>
      </c>
      <c r="L215" s="728">
        <v>1</v>
      </c>
      <c r="M215" s="728">
        <v>142</v>
      </c>
      <c r="N215" s="728">
        <v>45</v>
      </c>
      <c r="O215" s="728">
        <v>6390</v>
      </c>
      <c r="P215" s="741">
        <v>0.63380281690140849</v>
      </c>
      <c r="Q215" s="729">
        <v>142</v>
      </c>
    </row>
    <row r="216" spans="1:17" ht="14.4" customHeight="1" x14ac:dyDescent="0.3">
      <c r="A216" s="724" t="s">
        <v>4102</v>
      </c>
      <c r="B216" s="725" t="s">
        <v>4103</v>
      </c>
      <c r="C216" s="725" t="s">
        <v>2989</v>
      </c>
      <c r="D216" s="725" t="s">
        <v>4122</v>
      </c>
      <c r="E216" s="725" t="s">
        <v>4121</v>
      </c>
      <c r="F216" s="728">
        <v>126</v>
      </c>
      <c r="G216" s="728">
        <v>9828</v>
      </c>
      <c r="H216" s="728">
        <v>1.3263157894736841</v>
      </c>
      <c r="I216" s="728">
        <v>78</v>
      </c>
      <c r="J216" s="728">
        <v>95</v>
      </c>
      <c r="K216" s="728">
        <v>7410</v>
      </c>
      <c r="L216" s="728">
        <v>1</v>
      </c>
      <c r="M216" s="728">
        <v>78</v>
      </c>
      <c r="N216" s="728">
        <v>76</v>
      </c>
      <c r="O216" s="728">
        <v>5928</v>
      </c>
      <c r="P216" s="741">
        <v>0.8</v>
      </c>
      <c r="Q216" s="729">
        <v>78</v>
      </c>
    </row>
    <row r="217" spans="1:17" ht="14.4" customHeight="1" x14ac:dyDescent="0.3">
      <c r="A217" s="724" t="s">
        <v>4102</v>
      </c>
      <c r="B217" s="725" t="s">
        <v>4103</v>
      </c>
      <c r="C217" s="725" t="s">
        <v>2989</v>
      </c>
      <c r="D217" s="725" t="s">
        <v>4123</v>
      </c>
      <c r="E217" s="725" t="s">
        <v>4124</v>
      </c>
      <c r="F217" s="728">
        <v>78</v>
      </c>
      <c r="G217" s="728">
        <v>23946</v>
      </c>
      <c r="H217" s="728">
        <v>1.077532286369977</v>
      </c>
      <c r="I217" s="728">
        <v>307</v>
      </c>
      <c r="J217" s="728">
        <v>71</v>
      </c>
      <c r="K217" s="728">
        <v>22223</v>
      </c>
      <c r="L217" s="728">
        <v>1</v>
      </c>
      <c r="M217" s="728">
        <v>313</v>
      </c>
      <c r="N217" s="728">
        <v>45</v>
      </c>
      <c r="O217" s="728">
        <v>14130</v>
      </c>
      <c r="P217" s="741">
        <v>0.63582774602888903</v>
      </c>
      <c r="Q217" s="729">
        <v>314</v>
      </c>
    </row>
    <row r="218" spans="1:17" ht="14.4" customHeight="1" x14ac:dyDescent="0.3">
      <c r="A218" s="724" t="s">
        <v>4102</v>
      </c>
      <c r="B218" s="725" t="s">
        <v>4103</v>
      </c>
      <c r="C218" s="725" t="s">
        <v>2989</v>
      </c>
      <c r="D218" s="725" t="s">
        <v>4125</v>
      </c>
      <c r="E218" s="725" t="s">
        <v>4126</v>
      </c>
      <c r="F218" s="728">
        <v>120</v>
      </c>
      <c r="G218" s="728">
        <v>19320</v>
      </c>
      <c r="H218" s="728">
        <v>1.3469046291132181</v>
      </c>
      <c r="I218" s="728">
        <v>161</v>
      </c>
      <c r="J218" s="728">
        <v>88</v>
      </c>
      <c r="K218" s="728">
        <v>14344</v>
      </c>
      <c r="L218" s="728">
        <v>1</v>
      </c>
      <c r="M218" s="728">
        <v>163</v>
      </c>
      <c r="N218" s="728">
        <v>119</v>
      </c>
      <c r="O218" s="728">
        <v>19397</v>
      </c>
      <c r="P218" s="741">
        <v>1.3522727272727273</v>
      </c>
      <c r="Q218" s="729">
        <v>163</v>
      </c>
    </row>
    <row r="219" spans="1:17" ht="14.4" customHeight="1" x14ac:dyDescent="0.3">
      <c r="A219" s="724" t="s">
        <v>4102</v>
      </c>
      <c r="B219" s="725" t="s">
        <v>4103</v>
      </c>
      <c r="C219" s="725" t="s">
        <v>2989</v>
      </c>
      <c r="D219" s="725" t="s">
        <v>4127</v>
      </c>
      <c r="E219" s="725" t="s">
        <v>4105</v>
      </c>
      <c r="F219" s="728">
        <v>185</v>
      </c>
      <c r="G219" s="728">
        <v>13135</v>
      </c>
      <c r="H219" s="728">
        <v>1.0023656898656899</v>
      </c>
      <c r="I219" s="728">
        <v>71</v>
      </c>
      <c r="J219" s="728">
        <v>182</v>
      </c>
      <c r="K219" s="728">
        <v>13104</v>
      </c>
      <c r="L219" s="728">
        <v>1</v>
      </c>
      <c r="M219" s="728">
        <v>72</v>
      </c>
      <c r="N219" s="728">
        <v>155</v>
      </c>
      <c r="O219" s="728">
        <v>11160</v>
      </c>
      <c r="P219" s="741">
        <v>0.85164835164835162</v>
      </c>
      <c r="Q219" s="729">
        <v>72</v>
      </c>
    </row>
    <row r="220" spans="1:17" ht="14.4" customHeight="1" x14ac:dyDescent="0.3">
      <c r="A220" s="724" t="s">
        <v>4102</v>
      </c>
      <c r="B220" s="725" t="s">
        <v>4103</v>
      </c>
      <c r="C220" s="725" t="s">
        <v>2989</v>
      </c>
      <c r="D220" s="725" t="s">
        <v>4128</v>
      </c>
      <c r="E220" s="725" t="s">
        <v>4129</v>
      </c>
      <c r="F220" s="728">
        <v>2</v>
      </c>
      <c r="G220" s="728">
        <v>440</v>
      </c>
      <c r="H220" s="728">
        <v>0.64046579330422126</v>
      </c>
      <c r="I220" s="728">
        <v>220</v>
      </c>
      <c r="J220" s="728">
        <v>3</v>
      </c>
      <c r="K220" s="728">
        <v>687</v>
      </c>
      <c r="L220" s="728">
        <v>1</v>
      </c>
      <c r="M220" s="728">
        <v>229</v>
      </c>
      <c r="N220" s="728"/>
      <c r="O220" s="728"/>
      <c r="P220" s="741"/>
      <c r="Q220" s="729"/>
    </row>
    <row r="221" spans="1:17" ht="14.4" customHeight="1" x14ac:dyDescent="0.3">
      <c r="A221" s="724" t="s">
        <v>4102</v>
      </c>
      <c r="B221" s="725" t="s">
        <v>4103</v>
      </c>
      <c r="C221" s="725" t="s">
        <v>2989</v>
      </c>
      <c r="D221" s="725" t="s">
        <v>4130</v>
      </c>
      <c r="E221" s="725" t="s">
        <v>4131</v>
      </c>
      <c r="F221" s="728">
        <v>11</v>
      </c>
      <c r="G221" s="728">
        <v>13145</v>
      </c>
      <c r="H221" s="728">
        <v>1.8091109276080375</v>
      </c>
      <c r="I221" s="728">
        <v>1195</v>
      </c>
      <c r="J221" s="728">
        <v>6</v>
      </c>
      <c r="K221" s="728">
        <v>7266</v>
      </c>
      <c r="L221" s="728">
        <v>1</v>
      </c>
      <c r="M221" s="728">
        <v>1211</v>
      </c>
      <c r="N221" s="728">
        <v>7</v>
      </c>
      <c r="O221" s="728">
        <v>8477</v>
      </c>
      <c r="P221" s="741">
        <v>1.1666666666666667</v>
      </c>
      <c r="Q221" s="729">
        <v>1211</v>
      </c>
    </row>
    <row r="222" spans="1:17" ht="14.4" customHeight="1" x14ac:dyDescent="0.3">
      <c r="A222" s="724" t="s">
        <v>4102</v>
      </c>
      <c r="B222" s="725" t="s">
        <v>4103</v>
      </c>
      <c r="C222" s="725" t="s">
        <v>2989</v>
      </c>
      <c r="D222" s="725" t="s">
        <v>4132</v>
      </c>
      <c r="E222" s="725" t="s">
        <v>4133</v>
      </c>
      <c r="F222" s="728">
        <v>9</v>
      </c>
      <c r="G222" s="728">
        <v>990</v>
      </c>
      <c r="H222" s="728">
        <v>2.1710526315789473</v>
      </c>
      <c r="I222" s="728">
        <v>110</v>
      </c>
      <c r="J222" s="728">
        <v>4</v>
      </c>
      <c r="K222" s="728">
        <v>456</v>
      </c>
      <c r="L222" s="728">
        <v>1</v>
      </c>
      <c r="M222" s="728">
        <v>114</v>
      </c>
      <c r="N222" s="728">
        <v>6</v>
      </c>
      <c r="O222" s="728">
        <v>684</v>
      </c>
      <c r="P222" s="741">
        <v>1.5</v>
      </c>
      <c r="Q222" s="729">
        <v>114</v>
      </c>
    </row>
    <row r="223" spans="1:17" ht="14.4" customHeight="1" x14ac:dyDescent="0.3">
      <c r="A223" s="724" t="s">
        <v>4102</v>
      </c>
      <c r="B223" s="725" t="s">
        <v>4103</v>
      </c>
      <c r="C223" s="725" t="s">
        <v>2989</v>
      </c>
      <c r="D223" s="725" t="s">
        <v>4134</v>
      </c>
      <c r="E223" s="725" t="s">
        <v>4135</v>
      </c>
      <c r="F223" s="728">
        <v>1</v>
      </c>
      <c r="G223" s="728">
        <v>323</v>
      </c>
      <c r="H223" s="728">
        <v>0.4667630057803468</v>
      </c>
      <c r="I223" s="728">
        <v>323</v>
      </c>
      <c r="J223" s="728">
        <v>2</v>
      </c>
      <c r="K223" s="728">
        <v>692</v>
      </c>
      <c r="L223" s="728">
        <v>1</v>
      </c>
      <c r="M223" s="728">
        <v>346</v>
      </c>
      <c r="N223" s="728"/>
      <c r="O223" s="728"/>
      <c r="P223" s="741"/>
      <c r="Q223" s="729"/>
    </row>
    <row r="224" spans="1:17" ht="14.4" customHeight="1" x14ac:dyDescent="0.3">
      <c r="A224" s="724" t="s">
        <v>4102</v>
      </c>
      <c r="B224" s="725" t="s">
        <v>4103</v>
      </c>
      <c r="C224" s="725" t="s">
        <v>2989</v>
      </c>
      <c r="D224" s="725" t="s">
        <v>4136</v>
      </c>
      <c r="E224" s="725" t="s">
        <v>4137</v>
      </c>
      <c r="F224" s="728"/>
      <c r="G224" s="728"/>
      <c r="H224" s="728"/>
      <c r="I224" s="728"/>
      <c r="J224" s="728">
        <v>1</v>
      </c>
      <c r="K224" s="728">
        <v>301</v>
      </c>
      <c r="L224" s="728">
        <v>1</v>
      </c>
      <c r="M224" s="728">
        <v>301</v>
      </c>
      <c r="N224" s="728"/>
      <c r="O224" s="728"/>
      <c r="P224" s="741"/>
      <c r="Q224" s="729"/>
    </row>
    <row r="225" spans="1:17" ht="14.4" customHeight="1" x14ac:dyDescent="0.3">
      <c r="A225" s="724" t="s">
        <v>4138</v>
      </c>
      <c r="B225" s="725" t="s">
        <v>4139</v>
      </c>
      <c r="C225" s="725" t="s">
        <v>2989</v>
      </c>
      <c r="D225" s="725" t="s">
        <v>4140</v>
      </c>
      <c r="E225" s="725" t="s">
        <v>4141</v>
      </c>
      <c r="F225" s="728">
        <v>64</v>
      </c>
      <c r="G225" s="728">
        <v>3456</v>
      </c>
      <c r="H225" s="728">
        <v>2.4827586206896552</v>
      </c>
      <c r="I225" s="728">
        <v>54</v>
      </c>
      <c r="J225" s="728">
        <v>24</v>
      </c>
      <c r="K225" s="728">
        <v>1392</v>
      </c>
      <c r="L225" s="728">
        <v>1</v>
      </c>
      <c r="M225" s="728">
        <v>58</v>
      </c>
      <c r="N225" s="728">
        <v>48</v>
      </c>
      <c r="O225" s="728">
        <v>2784</v>
      </c>
      <c r="P225" s="741">
        <v>2</v>
      </c>
      <c r="Q225" s="729">
        <v>58</v>
      </c>
    </row>
    <row r="226" spans="1:17" ht="14.4" customHeight="1" x14ac:dyDescent="0.3">
      <c r="A226" s="724" t="s">
        <v>4138</v>
      </c>
      <c r="B226" s="725" t="s">
        <v>4139</v>
      </c>
      <c r="C226" s="725" t="s">
        <v>2989</v>
      </c>
      <c r="D226" s="725" t="s">
        <v>4142</v>
      </c>
      <c r="E226" s="725" t="s">
        <v>4143</v>
      </c>
      <c r="F226" s="728">
        <v>10</v>
      </c>
      <c r="G226" s="728">
        <v>1230</v>
      </c>
      <c r="H226" s="728">
        <v>2.3473282442748094</v>
      </c>
      <c r="I226" s="728">
        <v>123</v>
      </c>
      <c r="J226" s="728">
        <v>4</v>
      </c>
      <c r="K226" s="728">
        <v>524</v>
      </c>
      <c r="L226" s="728">
        <v>1</v>
      </c>
      <c r="M226" s="728">
        <v>131</v>
      </c>
      <c r="N226" s="728">
        <v>7</v>
      </c>
      <c r="O226" s="728">
        <v>917</v>
      </c>
      <c r="P226" s="741">
        <v>1.75</v>
      </c>
      <c r="Q226" s="729">
        <v>131</v>
      </c>
    </row>
    <row r="227" spans="1:17" ht="14.4" customHeight="1" x14ac:dyDescent="0.3">
      <c r="A227" s="724" t="s">
        <v>4138</v>
      </c>
      <c r="B227" s="725" t="s">
        <v>4139</v>
      </c>
      <c r="C227" s="725" t="s">
        <v>2989</v>
      </c>
      <c r="D227" s="725" t="s">
        <v>4144</v>
      </c>
      <c r="E227" s="725" t="s">
        <v>4145</v>
      </c>
      <c r="F227" s="728"/>
      <c r="G227" s="728"/>
      <c r="H227" s="728"/>
      <c r="I227" s="728"/>
      <c r="J227" s="728">
        <v>1</v>
      </c>
      <c r="K227" s="728">
        <v>407</v>
      </c>
      <c r="L227" s="728">
        <v>1</v>
      </c>
      <c r="M227" s="728">
        <v>407</v>
      </c>
      <c r="N227" s="728"/>
      <c r="O227" s="728"/>
      <c r="P227" s="741"/>
      <c r="Q227" s="729"/>
    </row>
    <row r="228" spans="1:17" ht="14.4" customHeight="1" x14ac:dyDescent="0.3">
      <c r="A228" s="724" t="s">
        <v>4138</v>
      </c>
      <c r="B228" s="725" t="s">
        <v>4139</v>
      </c>
      <c r="C228" s="725" t="s">
        <v>2989</v>
      </c>
      <c r="D228" s="725" t="s">
        <v>4146</v>
      </c>
      <c r="E228" s="725" t="s">
        <v>4147</v>
      </c>
      <c r="F228" s="728">
        <v>13</v>
      </c>
      <c r="G228" s="728">
        <v>2236</v>
      </c>
      <c r="H228" s="728">
        <v>0.83277467411545625</v>
      </c>
      <c r="I228" s="728">
        <v>172</v>
      </c>
      <c r="J228" s="728">
        <v>15</v>
      </c>
      <c r="K228" s="728">
        <v>2685</v>
      </c>
      <c r="L228" s="728">
        <v>1</v>
      </c>
      <c r="M228" s="728">
        <v>179</v>
      </c>
      <c r="N228" s="728">
        <v>11</v>
      </c>
      <c r="O228" s="728">
        <v>1980</v>
      </c>
      <c r="P228" s="741">
        <v>0.73743016759776536</v>
      </c>
      <c r="Q228" s="729">
        <v>180</v>
      </c>
    </row>
    <row r="229" spans="1:17" ht="14.4" customHeight="1" x14ac:dyDescent="0.3">
      <c r="A229" s="724" t="s">
        <v>4138</v>
      </c>
      <c r="B229" s="725" t="s">
        <v>4139</v>
      </c>
      <c r="C229" s="725" t="s">
        <v>2989</v>
      </c>
      <c r="D229" s="725" t="s">
        <v>4148</v>
      </c>
      <c r="E229" s="725" t="s">
        <v>4149</v>
      </c>
      <c r="F229" s="728">
        <v>4</v>
      </c>
      <c r="G229" s="728">
        <v>1288</v>
      </c>
      <c r="H229" s="728">
        <v>0.76895522388059701</v>
      </c>
      <c r="I229" s="728">
        <v>322</v>
      </c>
      <c r="J229" s="728">
        <v>5</v>
      </c>
      <c r="K229" s="728">
        <v>1675</v>
      </c>
      <c r="L229" s="728">
        <v>1</v>
      </c>
      <c r="M229" s="728">
        <v>335</v>
      </c>
      <c r="N229" s="728">
        <v>8</v>
      </c>
      <c r="O229" s="728">
        <v>2688</v>
      </c>
      <c r="P229" s="741">
        <v>1.604776119402985</v>
      </c>
      <c r="Q229" s="729">
        <v>336</v>
      </c>
    </row>
    <row r="230" spans="1:17" ht="14.4" customHeight="1" x14ac:dyDescent="0.3">
      <c r="A230" s="724" t="s">
        <v>4138</v>
      </c>
      <c r="B230" s="725" t="s">
        <v>4139</v>
      </c>
      <c r="C230" s="725" t="s">
        <v>2989</v>
      </c>
      <c r="D230" s="725" t="s">
        <v>4150</v>
      </c>
      <c r="E230" s="725" t="s">
        <v>4151</v>
      </c>
      <c r="F230" s="728">
        <v>179</v>
      </c>
      <c r="G230" s="728">
        <v>61039</v>
      </c>
      <c r="H230" s="728">
        <v>0.75386572473075786</v>
      </c>
      <c r="I230" s="728">
        <v>341</v>
      </c>
      <c r="J230" s="728">
        <v>232</v>
      </c>
      <c r="K230" s="728">
        <v>80968</v>
      </c>
      <c r="L230" s="728">
        <v>1</v>
      </c>
      <c r="M230" s="728">
        <v>349</v>
      </c>
      <c r="N230" s="728">
        <v>290</v>
      </c>
      <c r="O230" s="728">
        <v>101210</v>
      </c>
      <c r="P230" s="741">
        <v>1.25</v>
      </c>
      <c r="Q230" s="729">
        <v>349</v>
      </c>
    </row>
    <row r="231" spans="1:17" ht="14.4" customHeight="1" x14ac:dyDescent="0.3">
      <c r="A231" s="724" t="s">
        <v>4138</v>
      </c>
      <c r="B231" s="725" t="s">
        <v>4139</v>
      </c>
      <c r="C231" s="725" t="s">
        <v>2989</v>
      </c>
      <c r="D231" s="725" t="s">
        <v>4152</v>
      </c>
      <c r="E231" s="725" t="s">
        <v>4153</v>
      </c>
      <c r="F231" s="728"/>
      <c r="G231" s="728"/>
      <c r="H231" s="728"/>
      <c r="I231" s="728"/>
      <c r="J231" s="728">
        <v>1</v>
      </c>
      <c r="K231" s="728">
        <v>117</v>
      </c>
      <c r="L231" s="728">
        <v>1</v>
      </c>
      <c r="M231" s="728">
        <v>117</v>
      </c>
      <c r="N231" s="728"/>
      <c r="O231" s="728"/>
      <c r="P231" s="741"/>
      <c r="Q231" s="729"/>
    </row>
    <row r="232" spans="1:17" ht="14.4" customHeight="1" x14ac:dyDescent="0.3">
      <c r="A232" s="724" t="s">
        <v>4138</v>
      </c>
      <c r="B232" s="725" t="s">
        <v>4139</v>
      </c>
      <c r="C232" s="725" t="s">
        <v>2989</v>
      </c>
      <c r="D232" s="725" t="s">
        <v>4154</v>
      </c>
      <c r="E232" s="725" t="s">
        <v>4155</v>
      </c>
      <c r="F232" s="728"/>
      <c r="G232" s="728"/>
      <c r="H232" s="728"/>
      <c r="I232" s="728"/>
      <c r="J232" s="728">
        <v>1</v>
      </c>
      <c r="K232" s="728">
        <v>38</v>
      </c>
      <c r="L232" s="728">
        <v>1</v>
      </c>
      <c r="M232" s="728">
        <v>38</v>
      </c>
      <c r="N232" s="728"/>
      <c r="O232" s="728"/>
      <c r="P232" s="741"/>
      <c r="Q232" s="729"/>
    </row>
    <row r="233" spans="1:17" ht="14.4" customHeight="1" x14ac:dyDescent="0.3">
      <c r="A233" s="724" t="s">
        <v>4138</v>
      </c>
      <c r="B233" s="725" t="s">
        <v>4139</v>
      </c>
      <c r="C233" s="725" t="s">
        <v>2989</v>
      </c>
      <c r="D233" s="725" t="s">
        <v>4156</v>
      </c>
      <c r="E233" s="725" t="s">
        <v>4157</v>
      </c>
      <c r="F233" s="728">
        <v>12</v>
      </c>
      <c r="G233" s="728">
        <v>3420</v>
      </c>
      <c r="H233" s="728">
        <v>1.6071428571428572</v>
      </c>
      <c r="I233" s="728">
        <v>285</v>
      </c>
      <c r="J233" s="728">
        <v>7</v>
      </c>
      <c r="K233" s="728">
        <v>2128</v>
      </c>
      <c r="L233" s="728">
        <v>1</v>
      </c>
      <c r="M233" s="728">
        <v>304</v>
      </c>
      <c r="N233" s="728">
        <v>12</v>
      </c>
      <c r="O233" s="728">
        <v>3660</v>
      </c>
      <c r="P233" s="741">
        <v>1.7199248120300752</v>
      </c>
      <c r="Q233" s="729">
        <v>305</v>
      </c>
    </row>
    <row r="234" spans="1:17" ht="14.4" customHeight="1" x14ac:dyDescent="0.3">
      <c r="A234" s="724" t="s">
        <v>4138</v>
      </c>
      <c r="B234" s="725" t="s">
        <v>4139</v>
      </c>
      <c r="C234" s="725" t="s">
        <v>2989</v>
      </c>
      <c r="D234" s="725" t="s">
        <v>4158</v>
      </c>
      <c r="E234" s="725" t="s">
        <v>4159</v>
      </c>
      <c r="F234" s="728">
        <v>39</v>
      </c>
      <c r="G234" s="728">
        <v>18018</v>
      </c>
      <c r="H234" s="728">
        <v>0.82894736842105265</v>
      </c>
      <c r="I234" s="728">
        <v>462</v>
      </c>
      <c r="J234" s="728">
        <v>44</v>
      </c>
      <c r="K234" s="728">
        <v>21736</v>
      </c>
      <c r="L234" s="728">
        <v>1</v>
      </c>
      <c r="M234" s="728">
        <v>494</v>
      </c>
      <c r="N234" s="728">
        <v>57</v>
      </c>
      <c r="O234" s="728">
        <v>28158</v>
      </c>
      <c r="P234" s="741">
        <v>1.2954545454545454</v>
      </c>
      <c r="Q234" s="729">
        <v>494</v>
      </c>
    </row>
    <row r="235" spans="1:17" ht="14.4" customHeight="1" x14ac:dyDescent="0.3">
      <c r="A235" s="724" t="s">
        <v>4138</v>
      </c>
      <c r="B235" s="725" t="s">
        <v>4139</v>
      </c>
      <c r="C235" s="725" t="s">
        <v>2989</v>
      </c>
      <c r="D235" s="725" t="s">
        <v>4160</v>
      </c>
      <c r="E235" s="725" t="s">
        <v>4161</v>
      </c>
      <c r="F235" s="728">
        <v>53</v>
      </c>
      <c r="G235" s="728">
        <v>18868</v>
      </c>
      <c r="H235" s="728">
        <v>1.0623873873873875</v>
      </c>
      <c r="I235" s="728">
        <v>356</v>
      </c>
      <c r="J235" s="728">
        <v>48</v>
      </c>
      <c r="K235" s="728">
        <v>17760</v>
      </c>
      <c r="L235" s="728">
        <v>1</v>
      </c>
      <c r="M235" s="728">
        <v>370</v>
      </c>
      <c r="N235" s="728">
        <v>68</v>
      </c>
      <c r="O235" s="728">
        <v>25160</v>
      </c>
      <c r="P235" s="741">
        <v>1.4166666666666667</v>
      </c>
      <c r="Q235" s="729">
        <v>370</v>
      </c>
    </row>
    <row r="236" spans="1:17" ht="14.4" customHeight="1" x14ac:dyDescent="0.3">
      <c r="A236" s="724" t="s">
        <v>4138</v>
      </c>
      <c r="B236" s="725" t="s">
        <v>4139</v>
      </c>
      <c r="C236" s="725" t="s">
        <v>2989</v>
      </c>
      <c r="D236" s="725" t="s">
        <v>4162</v>
      </c>
      <c r="E236" s="725" t="s">
        <v>4163</v>
      </c>
      <c r="F236" s="728"/>
      <c r="G236" s="728"/>
      <c r="H236" s="728"/>
      <c r="I236" s="728"/>
      <c r="J236" s="728">
        <v>1</v>
      </c>
      <c r="K236" s="728">
        <v>111</v>
      </c>
      <c r="L236" s="728">
        <v>1</v>
      </c>
      <c r="M236" s="728">
        <v>111</v>
      </c>
      <c r="N236" s="728"/>
      <c r="O236" s="728"/>
      <c r="P236" s="741"/>
      <c r="Q236" s="729"/>
    </row>
    <row r="237" spans="1:17" ht="14.4" customHeight="1" x14ac:dyDescent="0.3">
      <c r="A237" s="724" t="s">
        <v>4138</v>
      </c>
      <c r="B237" s="725" t="s">
        <v>4139</v>
      </c>
      <c r="C237" s="725" t="s">
        <v>2989</v>
      </c>
      <c r="D237" s="725" t="s">
        <v>4164</v>
      </c>
      <c r="E237" s="725" t="s">
        <v>4165</v>
      </c>
      <c r="F237" s="728">
        <v>1</v>
      </c>
      <c r="G237" s="728">
        <v>117</v>
      </c>
      <c r="H237" s="728"/>
      <c r="I237" s="728">
        <v>117</v>
      </c>
      <c r="J237" s="728"/>
      <c r="K237" s="728"/>
      <c r="L237" s="728"/>
      <c r="M237" s="728"/>
      <c r="N237" s="728"/>
      <c r="O237" s="728"/>
      <c r="P237" s="741"/>
      <c r="Q237" s="729"/>
    </row>
    <row r="238" spans="1:17" ht="14.4" customHeight="1" x14ac:dyDescent="0.3">
      <c r="A238" s="724" t="s">
        <v>4138</v>
      </c>
      <c r="B238" s="725" t="s">
        <v>4139</v>
      </c>
      <c r="C238" s="725" t="s">
        <v>2989</v>
      </c>
      <c r="D238" s="725" t="s">
        <v>4166</v>
      </c>
      <c r="E238" s="725" t="s">
        <v>4167</v>
      </c>
      <c r="F238" s="728"/>
      <c r="G238" s="728"/>
      <c r="H238" s="728"/>
      <c r="I238" s="728"/>
      <c r="J238" s="728">
        <v>1</v>
      </c>
      <c r="K238" s="728">
        <v>495</v>
      </c>
      <c r="L238" s="728">
        <v>1</v>
      </c>
      <c r="M238" s="728">
        <v>495</v>
      </c>
      <c r="N238" s="728"/>
      <c r="O238" s="728"/>
      <c r="P238" s="741"/>
      <c r="Q238" s="729"/>
    </row>
    <row r="239" spans="1:17" ht="14.4" customHeight="1" x14ac:dyDescent="0.3">
      <c r="A239" s="724" t="s">
        <v>4138</v>
      </c>
      <c r="B239" s="725" t="s">
        <v>4139</v>
      </c>
      <c r="C239" s="725" t="s">
        <v>2989</v>
      </c>
      <c r="D239" s="725" t="s">
        <v>4168</v>
      </c>
      <c r="E239" s="725" t="s">
        <v>4169</v>
      </c>
      <c r="F239" s="728">
        <v>3</v>
      </c>
      <c r="G239" s="728">
        <v>1311</v>
      </c>
      <c r="H239" s="728">
        <v>2.875</v>
      </c>
      <c r="I239" s="728">
        <v>437</v>
      </c>
      <c r="J239" s="728">
        <v>1</v>
      </c>
      <c r="K239" s="728">
        <v>456</v>
      </c>
      <c r="L239" s="728">
        <v>1</v>
      </c>
      <c r="M239" s="728">
        <v>456</v>
      </c>
      <c r="N239" s="728">
        <v>9</v>
      </c>
      <c r="O239" s="728">
        <v>4104</v>
      </c>
      <c r="P239" s="741">
        <v>9</v>
      </c>
      <c r="Q239" s="729">
        <v>456</v>
      </c>
    </row>
    <row r="240" spans="1:17" ht="14.4" customHeight="1" x14ac:dyDescent="0.3">
      <c r="A240" s="724" t="s">
        <v>4138</v>
      </c>
      <c r="B240" s="725" t="s">
        <v>4139</v>
      </c>
      <c r="C240" s="725" t="s">
        <v>2989</v>
      </c>
      <c r="D240" s="725" t="s">
        <v>4170</v>
      </c>
      <c r="E240" s="725" t="s">
        <v>4171</v>
      </c>
      <c r="F240" s="728">
        <v>146</v>
      </c>
      <c r="G240" s="728">
        <v>7884</v>
      </c>
      <c r="H240" s="728">
        <v>0.71542649727767693</v>
      </c>
      <c r="I240" s="728">
        <v>54</v>
      </c>
      <c r="J240" s="728">
        <v>190</v>
      </c>
      <c r="K240" s="728">
        <v>11020</v>
      </c>
      <c r="L240" s="728">
        <v>1</v>
      </c>
      <c r="M240" s="728">
        <v>58</v>
      </c>
      <c r="N240" s="728">
        <v>111</v>
      </c>
      <c r="O240" s="728">
        <v>6438</v>
      </c>
      <c r="P240" s="741">
        <v>0.58421052631578951</v>
      </c>
      <c r="Q240" s="729">
        <v>58</v>
      </c>
    </row>
    <row r="241" spans="1:17" ht="14.4" customHeight="1" x14ac:dyDescent="0.3">
      <c r="A241" s="724" t="s">
        <v>4138</v>
      </c>
      <c r="B241" s="725" t="s">
        <v>4139</v>
      </c>
      <c r="C241" s="725" t="s">
        <v>2989</v>
      </c>
      <c r="D241" s="725" t="s">
        <v>4172</v>
      </c>
      <c r="E241" s="725" t="s">
        <v>4173</v>
      </c>
      <c r="F241" s="728"/>
      <c r="G241" s="728"/>
      <c r="H241" s="728"/>
      <c r="I241" s="728"/>
      <c r="J241" s="728"/>
      <c r="K241" s="728"/>
      <c r="L241" s="728"/>
      <c r="M241" s="728"/>
      <c r="N241" s="728">
        <v>3</v>
      </c>
      <c r="O241" s="728">
        <v>6519</v>
      </c>
      <c r="P241" s="741"/>
      <c r="Q241" s="729">
        <v>2173</v>
      </c>
    </row>
    <row r="242" spans="1:17" ht="14.4" customHeight="1" x14ac:dyDescent="0.3">
      <c r="A242" s="724" t="s">
        <v>4138</v>
      </c>
      <c r="B242" s="725" t="s">
        <v>4139</v>
      </c>
      <c r="C242" s="725" t="s">
        <v>2989</v>
      </c>
      <c r="D242" s="725" t="s">
        <v>4174</v>
      </c>
      <c r="E242" s="725" t="s">
        <v>4175</v>
      </c>
      <c r="F242" s="728">
        <v>106</v>
      </c>
      <c r="G242" s="728">
        <v>17914</v>
      </c>
      <c r="H242" s="728">
        <v>1.4417706237424548</v>
      </c>
      <c r="I242" s="728">
        <v>169</v>
      </c>
      <c r="J242" s="728">
        <v>71</v>
      </c>
      <c r="K242" s="728">
        <v>12425</v>
      </c>
      <c r="L242" s="728">
        <v>1</v>
      </c>
      <c r="M242" s="728">
        <v>175</v>
      </c>
      <c r="N242" s="728">
        <v>167</v>
      </c>
      <c r="O242" s="728">
        <v>29392</v>
      </c>
      <c r="P242" s="741">
        <v>2.3655533199195169</v>
      </c>
      <c r="Q242" s="729">
        <v>176</v>
      </c>
    </row>
    <row r="243" spans="1:17" ht="14.4" customHeight="1" x14ac:dyDescent="0.3">
      <c r="A243" s="724" t="s">
        <v>4138</v>
      </c>
      <c r="B243" s="725" t="s">
        <v>4139</v>
      </c>
      <c r="C243" s="725" t="s">
        <v>2989</v>
      </c>
      <c r="D243" s="725" t="s">
        <v>4176</v>
      </c>
      <c r="E243" s="725" t="s">
        <v>4177</v>
      </c>
      <c r="F243" s="728">
        <v>2</v>
      </c>
      <c r="G243" s="728">
        <v>326</v>
      </c>
      <c r="H243" s="728">
        <v>0.64299802761341218</v>
      </c>
      <c r="I243" s="728">
        <v>163</v>
      </c>
      <c r="J243" s="728">
        <v>3</v>
      </c>
      <c r="K243" s="728">
        <v>507</v>
      </c>
      <c r="L243" s="728">
        <v>1</v>
      </c>
      <c r="M243" s="728">
        <v>169</v>
      </c>
      <c r="N243" s="728">
        <v>6</v>
      </c>
      <c r="O243" s="728">
        <v>1020</v>
      </c>
      <c r="P243" s="741">
        <v>2.0118343195266273</v>
      </c>
      <c r="Q243" s="729">
        <v>170</v>
      </c>
    </row>
    <row r="244" spans="1:17" ht="14.4" customHeight="1" x14ac:dyDescent="0.3">
      <c r="A244" s="724" t="s">
        <v>4138</v>
      </c>
      <c r="B244" s="725" t="s">
        <v>4139</v>
      </c>
      <c r="C244" s="725" t="s">
        <v>2989</v>
      </c>
      <c r="D244" s="725" t="s">
        <v>4178</v>
      </c>
      <c r="E244" s="725" t="s">
        <v>4179</v>
      </c>
      <c r="F244" s="728">
        <v>38</v>
      </c>
      <c r="G244" s="728">
        <v>76456</v>
      </c>
      <c r="H244" s="728">
        <v>1.1964945226917059</v>
      </c>
      <c r="I244" s="728">
        <v>2012</v>
      </c>
      <c r="J244" s="728">
        <v>30</v>
      </c>
      <c r="K244" s="728">
        <v>63900</v>
      </c>
      <c r="L244" s="728">
        <v>1</v>
      </c>
      <c r="M244" s="728">
        <v>2130</v>
      </c>
      <c r="N244" s="728">
        <v>35</v>
      </c>
      <c r="O244" s="728">
        <v>74585</v>
      </c>
      <c r="P244" s="741">
        <v>1.1672143974960876</v>
      </c>
      <c r="Q244" s="729">
        <v>2131</v>
      </c>
    </row>
    <row r="245" spans="1:17" ht="14.4" customHeight="1" x14ac:dyDescent="0.3">
      <c r="A245" s="724" t="s">
        <v>4138</v>
      </c>
      <c r="B245" s="725" t="s">
        <v>4139</v>
      </c>
      <c r="C245" s="725" t="s">
        <v>2989</v>
      </c>
      <c r="D245" s="725" t="s">
        <v>4180</v>
      </c>
      <c r="E245" s="725" t="s">
        <v>4181</v>
      </c>
      <c r="F245" s="728"/>
      <c r="G245" s="728"/>
      <c r="H245" s="728"/>
      <c r="I245" s="728"/>
      <c r="J245" s="728">
        <v>1</v>
      </c>
      <c r="K245" s="728">
        <v>242</v>
      </c>
      <c r="L245" s="728">
        <v>1</v>
      </c>
      <c r="M245" s="728">
        <v>242</v>
      </c>
      <c r="N245" s="728"/>
      <c r="O245" s="728"/>
      <c r="P245" s="741"/>
      <c r="Q245" s="729"/>
    </row>
    <row r="246" spans="1:17" ht="14.4" customHeight="1" x14ac:dyDescent="0.3">
      <c r="A246" s="724" t="s">
        <v>4138</v>
      </c>
      <c r="B246" s="725" t="s">
        <v>4139</v>
      </c>
      <c r="C246" s="725" t="s">
        <v>2989</v>
      </c>
      <c r="D246" s="725" t="s">
        <v>4182</v>
      </c>
      <c r="E246" s="725" t="s">
        <v>4183</v>
      </c>
      <c r="F246" s="728">
        <v>1</v>
      </c>
      <c r="G246" s="728">
        <v>418</v>
      </c>
      <c r="H246" s="728"/>
      <c r="I246" s="728">
        <v>418</v>
      </c>
      <c r="J246" s="728"/>
      <c r="K246" s="728"/>
      <c r="L246" s="728"/>
      <c r="M246" s="728"/>
      <c r="N246" s="728"/>
      <c r="O246" s="728"/>
      <c r="P246" s="741"/>
      <c r="Q246" s="729"/>
    </row>
    <row r="247" spans="1:17" ht="14.4" customHeight="1" x14ac:dyDescent="0.3">
      <c r="A247" s="724" t="s">
        <v>4138</v>
      </c>
      <c r="B247" s="725" t="s">
        <v>4139</v>
      </c>
      <c r="C247" s="725" t="s">
        <v>2989</v>
      </c>
      <c r="D247" s="725" t="s">
        <v>4184</v>
      </c>
      <c r="E247" s="725" t="s">
        <v>4185</v>
      </c>
      <c r="F247" s="728"/>
      <c r="G247" s="728"/>
      <c r="H247" s="728"/>
      <c r="I247" s="728"/>
      <c r="J247" s="728"/>
      <c r="K247" s="728"/>
      <c r="L247" s="728"/>
      <c r="M247" s="728"/>
      <c r="N247" s="728">
        <v>2</v>
      </c>
      <c r="O247" s="728">
        <v>578</v>
      </c>
      <c r="P247" s="741"/>
      <c r="Q247" s="729">
        <v>289</v>
      </c>
    </row>
    <row r="248" spans="1:17" ht="14.4" customHeight="1" x14ac:dyDescent="0.3">
      <c r="A248" s="724" t="s">
        <v>4138</v>
      </c>
      <c r="B248" s="725" t="s">
        <v>4139</v>
      </c>
      <c r="C248" s="725" t="s">
        <v>2989</v>
      </c>
      <c r="D248" s="725" t="s">
        <v>4186</v>
      </c>
      <c r="E248" s="725" t="s">
        <v>4187</v>
      </c>
      <c r="F248" s="728"/>
      <c r="G248" s="728"/>
      <c r="H248" s="728"/>
      <c r="I248" s="728"/>
      <c r="J248" s="728">
        <v>5</v>
      </c>
      <c r="K248" s="728">
        <v>0</v>
      </c>
      <c r="L248" s="728"/>
      <c r="M248" s="728">
        <v>0</v>
      </c>
      <c r="N248" s="728">
        <v>1</v>
      </c>
      <c r="O248" s="728">
        <v>0</v>
      </c>
      <c r="P248" s="741"/>
      <c r="Q248" s="729">
        <v>0</v>
      </c>
    </row>
    <row r="249" spans="1:17" ht="14.4" customHeight="1" x14ac:dyDescent="0.3">
      <c r="A249" s="724" t="s">
        <v>4138</v>
      </c>
      <c r="B249" s="725" t="s">
        <v>4139</v>
      </c>
      <c r="C249" s="725" t="s">
        <v>2989</v>
      </c>
      <c r="D249" s="725" t="s">
        <v>4188</v>
      </c>
      <c r="E249" s="725" t="s">
        <v>4189</v>
      </c>
      <c r="F249" s="728"/>
      <c r="G249" s="728"/>
      <c r="H249" s="728"/>
      <c r="I249" s="728"/>
      <c r="J249" s="728"/>
      <c r="K249" s="728"/>
      <c r="L249" s="728"/>
      <c r="M249" s="728"/>
      <c r="N249" s="728">
        <v>1</v>
      </c>
      <c r="O249" s="728">
        <v>0</v>
      </c>
      <c r="P249" s="741"/>
      <c r="Q249" s="729">
        <v>0</v>
      </c>
    </row>
    <row r="250" spans="1:17" ht="14.4" customHeight="1" x14ac:dyDescent="0.3">
      <c r="A250" s="724" t="s">
        <v>4190</v>
      </c>
      <c r="B250" s="725" t="s">
        <v>4191</v>
      </c>
      <c r="C250" s="725" t="s">
        <v>2989</v>
      </c>
      <c r="D250" s="725" t="s">
        <v>4192</v>
      </c>
      <c r="E250" s="725" t="s">
        <v>4193</v>
      </c>
      <c r="F250" s="728">
        <v>485</v>
      </c>
      <c r="G250" s="728">
        <v>78085</v>
      </c>
      <c r="H250" s="728">
        <v>0.97485611555699825</v>
      </c>
      <c r="I250" s="728">
        <v>161</v>
      </c>
      <c r="J250" s="728">
        <v>463</v>
      </c>
      <c r="K250" s="728">
        <v>80099</v>
      </c>
      <c r="L250" s="728">
        <v>1</v>
      </c>
      <c r="M250" s="728">
        <v>173</v>
      </c>
      <c r="N250" s="728">
        <v>466</v>
      </c>
      <c r="O250" s="728">
        <v>80618</v>
      </c>
      <c r="P250" s="741">
        <v>1.0064794816414686</v>
      </c>
      <c r="Q250" s="729">
        <v>173</v>
      </c>
    </row>
    <row r="251" spans="1:17" ht="14.4" customHeight="1" x14ac:dyDescent="0.3">
      <c r="A251" s="724" t="s">
        <v>4190</v>
      </c>
      <c r="B251" s="725" t="s">
        <v>4191</v>
      </c>
      <c r="C251" s="725" t="s">
        <v>2989</v>
      </c>
      <c r="D251" s="725" t="s">
        <v>4194</v>
      </c>
      <c r="E251" s="725" t="s">
        <v>4195</v>
      </c>
      <c r="F251" s="728">
        <v>1</v>
      </c>
      <c r="G251" s="728">
        <v>1169</v>
      </c>
      <c r="H251" s="728"/>
      <c r="I251" s="728">
        <v>1169</v>
      </c>
      <c r="J251" s="728"/>
      <c r="K251" s="728"/>
      <c r="L251" s="728"/>
      <c r="M251" s="728"/>
      <c r="N251" s="728"/>
      <c r="O251" s="728"/>
      <c r="P251" s="741"/>
      <c r="Q251" s="729"/>
    </row>
    <row r="252" spans="1:17" ht="14.4" customHeight="1" x14ac:dyDescent="0.3">
      <c r="A252" s="724" t="s">
        <v>4190</v>
      </c>
      <c r="B252" s="725" t="s">
        <v>4191</v>
      </c>
      <c r="C252" s="725" t="s">
        <v>2989</v>
      </c>
      <c r="D252" s="725" t="s">
        <v>4196</v>
      </c>
      <c r="E252" s="725" t="s">
        <v>4197</v>
      </c>
      <c r="F252" s="728">
        <v>37</v>
      </c>
      <c r="G252" s="728">
        <v>1480</v>
      </c>
      <c r="H252" s="728">
        <v>1.0616929698708752</v>
      </c>
      <c r="I252" s="728">
        <v>40</v>
      </c>
      <c r="J252" s="728">
        <v>34</v>
      </c>
      <c r="K252" s="728">
        <v>1394</v>
      </c>
      <c r="L252" s="728">
        <v>1</v>
      </c>
      <c r="M252" s="728">
        <v>41</v>
      </c>
      <c r="N252" s="728">
        <v>34</v>
      </c>
      <c r="O252" s="728">
        <v>1564</v>
      </c>
      <c r="P252" s="741">
        <v>1.1219512195121952</v>
      </c>
      <c r="Q252" s="729">
        <v>46</v>
      </c>
    </row>
    <row r="253" spans="1:17" ht="14.4" customHeight="1" x14ac:dyDescent="0.3">
      <c r="A253" s="724" t="s">
        <v>4190</v>
      </c>
      <c r="B253" s="725" t="s">
        <v>4191</v>
      </c>
      <c r="C253" s="725" t="s">
        <v>2989</v>
      </c>
      <c r="D253" s="725" t="s">
        <v>4198</v>
      </c>
      <c r="E253" s="725" t="s">
        <v>4199</v>
      </c>
      <c r="F253" s="728">
        <v>3</v>
      </c>
      <c r="G253" s="728">
        <v>1149</v>
      </c>
      <c r="H253" s="728">
        <v>0.59843749999999996</v>
      </c>
      <c r="I253" s="728">
        <v>383</v>
      </c>
      <c r="J253" s="728">
        <v>5</v>
      </c>
      <c r="K253" s="728">
        <v>1920</v>
      </c>
      <c r="L253" s="728">
        <v>1</v>
      </c>
      <c r="M253" s="728">
        <v>384</v>
      </c>
      <c r="N253" s="728">
        <v>4</v>
      </c>
      <c r="O253" s="728">
        <v>1388</v>
      </c>
      <c r="P253" s="741">
        <v>0.72291666666666665</v>
      </c>
      <c r="Q253" s="729">
        <v>347</v>
      </c>
    </row>
    <row r="254" spans="1:17" ht="14.4" customHeight="1" x14ac:dyDescent="0.3">
      <c r="A254" s="724" t="s">
        <v>4190</v>
      </c>
      <c r="B254" s="725" t="s">
        <v>4191</v>
      </c>
      <c r="C254" s="725" t="s">
        <v>2989</v>
      </c>
      <c r="D254" s="725" t="s">
        <v>4200</v>
      </c>
      <c r="E254" s="725" t="s">
        <v>4201</v>
      </c>
      <c r="F254" s="728"/>
      <c r="G254" s="728"/>
      <c r="H254" s="728"/>
      <c r="I254" s="728"/>
      <c r="J254" s="728"/>
      <c r="K254" s="728"/>
      <c r="L254" s="728"/>
      <c r="M254" s="728"/>
      <c r="N254" s="728">
        <v>8</v>
      </c>
      <c r="O254" s="728">
        <v>408</v>
      </c>
      <c r="P254" s="741"/>
      <c r="Q254" s="729">
        <v>51</v>
      </c>
    </row>
    <row r="255" spans="1:17" ht="14.4" customHeight="1" x14ac:dyDescent="0.3">
      <c r="A255" s="724" t="s">
        <v>4190</v>
      </c>
      <c r="B255" s="725" t="s">
        <v>4191</v>
      </c>
      <c r="C255" s="725" t="s">
        <v>2989</v>
      </c>
      <c r="D255" s="725" t="s">
        <v>4202</v>
      </c>
      <c r="E255" s="725" t="s">
        <v>4203</v>
      </c>
      <c r="F255" s="728"/>
      <c r="G255" s="728"/>
      <c r="H255" s="728"/>
      <c r="I255" s="728"/>
      <c r="J255" s="728"/>
      <c r="K255" s="728"/>
      <c r="L255" s="728"/>
      <c r="M255" s="728"/>
      <c r="N255" s="728">
        <v>8</v>
      </c>
      <c r="O255" s="728">
        <v>3016</v>
      </c>
      <c r="P255" s="741"/>
      <c r="Q255" s="729">
        <v>377</v>
      </c>
    </row>
    <row r="256" spans="1:17" ht="14.4" customHeight="1" x14ac:dyDescent="0.3">
      <c r="A256" s="724" t="s">
        <v>4190</v>
      </c>
      <c r="B256" s="725" t="s">
        <v>4191</v>
      </c>
      <c r="C256" s="725" t="s">
        <v>2989</v>
      </c>
      <c r="D256" s="725" t="s">
        <v>4204</v>
      </c>
      <c r="E256" s="725" t="s">
        <v>4205</v>
      </c>
      <c r="F256" s="728">
        <v>24</v>
      </c>
      <c r="G256" s="728">
        <v>984</v>
      </c>
      <c r="H256" s="728">
        <v>1.1156462585034013</v>
      </c>
      <c r="I256" s="728">
        <v>41</v>
      </c>
      <c r="J256" s="728">
        <v>21</v>
      </c>
      <c r="K256" s="728">
        <v>882</v>
      </c>
      <c r="L256" s="728">
        <v>1</v>
      </c>
      <c r="M256" s="728">
        <v>42</v>
      </c>
      <c r="N256" s="728">
        <v>11</v>
      </c>
      <c r="O256" s="728">
        <v>374</v>
      </c>
      <c r="P256" s="741">
        <v>0.42403628117913833</v>
      </c>
      <c r="Q256" s="729">
        <v>34</v>
      </c>
    </row>
    <row r="257" spans="1:17" ht="14.4" customHeight="1" x14ac:dyDescent="0.3">
      <c r="A257" s="724" t="s">
        <v>4190</v>
      </c>
      <c r="B257" s="725" t="s">
        <v>4191</v>
      </c>
      <c r="C257" s="725" t="s">
        <v>2989</v>
      </c>
      <c r="D257" s="725" t="s">
        <v>4206</v>
      </c>
      <c r="E257" s="725" t="s">
        <v>4207</v>
      </c>
      <c r="F257" s="728">
        <v>2</v>
      </c>
      <c r="G257" s="728">
        <v>982</v>
      </c>
      <c r="H257" s="728">
        <v>0.66531165311653118</v>
      </c>
      <c r="I257" s="728">
        <v>491</v>
      </c>
      <c r="J257" s="728">
        <v>3</v>
      </c>
      <c r="K257" s="728">
        <v>1476</v>
      </c>
      <c r="L257" s="728">
        <v>1</v>
      </c>
      <c r="M257" s="728">
        <v>492</v>
      </c>
      <c r="N257" s="728">
        <v>1</v>
      </c>
      <c r="O257" s="728">
        <v>524</v>
      </c>
      <c r="P257" s="741">
        <v>0.35501355013550134</v>
      </c>
      <c r="Q257" s="729">
        <v>524</v>
      </c>
    </row>
    <row r="258" spans="1:17" ht="14.4" customHeight="1" x14ac:dyDescent="0.3">
      <c r="A258" s="724" t="s">
        <v>4190</v>
      </c>
      <c r="B258" s="725" t="s">
        <v>4191</v>
      </c>
      <c r="C258" s="725" t="s">
        <v>2989</v>
      </c>
      <c r="D258" s="725" t="s">
        <v>4208</v>
      </c>
      <c r="E258" s="725" t="s">
        <v>4209</v>
      </c>
      <c r="F258" s="728">
        <v>19</v>
      </c>
      <c r="G258" s="728">
        <v>589</v>
      </c>
      <c r="H258" s="728">
        <v>9.5</v>
      </c>
      <c r="I258" s="728">
        <v>31</v>
      </c>
      <c r="J258" s="728">
        <v>2</v>
      </c>
      <c r="K258" s="728">
        <v>62</v>
      </c>
      <c r="L258" s="728">
        <v>1</v>
      </c>
      <c r="M258" s="728">
        <v>31</v>
      </c>
      <c r="N258" s="728">
        <v>4</v>
      </c>
      <c r="O258" s="728">
        <v>228</v>
      </c>
      <c r="P258" s="741">
        <v>3.6774193548387095</v>
      </c>
      <c r="Q258" s="729">
        <v>57</v>
      </c>
    </row>
    <row r="259" spans="1:17" ht="14.4" customHeight="1" x14ac:dyDescent="0.3">
      <c r="A259" s="724" t="s">
        <v>4190</v>
      </c>
      <c r="B259" s="725" t="s">
        <v>4191</v>
      </c>
      <c r="C259" s="725" t="s">
        <v>2989</v>
      </c>
      <c r="D259" s="725" t="s">
        <v>4210</v>
      </c>
      <c r="E259" s="725" t="s">
        <v>4211</v>
      </c>
      <c r="F259" s="728">
        <v>3</v>
      </c>
      <c r="G259" s="728">
        <v>621</v>
      </c>
      <c r="H259" s="728"/>
      <c r="I259" s="728">
        <v>207</v>
      </c>
      <c r="J259" s="728"/>
      <c r="K259" s="728"/>
      <c r="L259" s="728"/>
      <c r="M259" s="728"/>
      <c r="N259" s="728"/>
      <c r="O259" s="728"/>
      <c r="P259" s="741"/>
      <c r="Q259" s="729"/>
    </row>
    <row r="260" spans="1:17" ht="14.4" customHeight="1" x14ac:dyDescent="0.3">
      <c r="A260" s="724" t="s">
        <v>4190</v>
      </c>
      <c r="B260" s="725" t="s">
        <v>4191</v>
      </c>
      <c r="C260" s="725" t="s">
        <v>2989</v>
      </c>
      <c r="D260" s="725" t="s">
        <v>4212</v>
      </c>
      <c r="E260" s="725" t="s">
        <v>4213</v>
      </c>
      <c r="F260" s="728">
        <v>3</v>
      </c>
      <c r="G260" s="728">
        <v>1140</v>
      </c>
      <c r="H260" s="728"/>
      <c r="I260" s="728">
        <v>380</v>
      </c>
      <c r="J260" s="728"/>
      <c r="K260" s="728"/>
      <c r="L260" s="728"/>
      <c r="M260" s="728"/>
      <c r="N260" s="728"/>
      <c r="O260" s="728"/>
      <c r="P260" s="741"/>
      <c r="Q260" s="729"/>
    </row>
    <row r="261" spans="1:17" ht="14.4" customHeight="1" x14ac:dyDescent="0.3">
      <c r="A261" s="724" t="s">
        <v>4190</v>
      </c>
      <c r="B261" s="725" t="s">
        <v>4191</v>
      </c>
      <c r="C261" s="725" t="s">
        <v>2989</v>
      </c>
      <c r="D261" s="725" t="s">
        <v>4214</v>
      </c>
      <c r="E261" s="725" t="s">
        <v>4215</v>
      </c>
      <c r="F261" s="728">
        <v>113</v>
      </c>
      <c r="G261" s="728">
        <v>13108</v>
      </c>
      <c r="H261" s="728">
        <v>0.68732630695820884</v>
      </c>
      <c r="I261" s="728">
        <v>116</v>
      </c>
      <c r="J261" s="728">
        <v>163</v>
      </c>
      <c r="K261" s="728">
        <v>19071</v>
      </c>
      <c r="L261" s="728">
        <v>1</v>
      </c>
      <c r="M261" s="728">
        <v>117</v>
      </c>
      <c r="N261" s="728">
        <v>189</v>
      </c>
      <c r="O261" s="728">
        <v>25704</v>
      </c>
      <c r="P261" s="741">
        <v>1.3478055686644643</v>
      </c>
      <c r="Q261" s="729">
        <v>136</v>
      </c>
    </row>
    <row r="262" spans="1:17" ht="14.4" customHeight="1" x14ac:dyDescent="0.3">
      <c r="A262" s="724" t="s">
        <v>4190</v>
      </c>
      <c r="B262" s="725" t="s">
        <v>4191</v>
      </c>
      <c r="C262" s="725" t="s">
        <v>2989</v>
      </c>
      <c r="D262" s="725" t="s">
        <v>4216</v>
      </c>
      <c r="E262" s="725" t="s">
        <v>4217</v>
      </c>
      <c r="F262" s="728">
        <v>89</v>
      </c>
      <c r="G262" s="728">
        <v>7565</v>
      </c>
      <c r="H262" s="728">
        <v>0.94468031968031974</v>
      </c>
      <c r="I262" s="728">
        <v>85</v>
      </c>
      <c r="J262" s="728">
        <v>88</v>
      </c>
      <c r="K262" s="728">
        <v>8008</v>
      </c>
      <c r="L262" s="728">
        <v>1</v>
      </c>
      <c r="M262" s="728">
        <v>91</v>
      </c>
      <c r="N262" s="728">
        <v>93</v>
      </c>
      <c r="O262" s="728">
        <v>8463</v>
      </c>
      <c r="P262" s="741">
        <v>1.0568181818181819</v>
      </c>
      <c r="Q262" s="729">
        <v>91</v>
      </c>
    </row>
    <row r="263" spans="1:17" ht="14.4" customHeight="1" x14ac:dyDescent="0.3">
      <c r="A263" s="724" t="s">
        <v>4190</v>
      </c>
      <c r="B263" s="725" t="s">
        <v>4191</v>
      </c>
      <c r="C263" s="725" t="s">
        <v>2989</v>
      </c>
      <c r="D263" s="725" t="s">
        <v>4218</v>
      </c>
      <c r="E263" s="725" t="s">
        <v>4219</v>
      </c>
      <c r="F263" s="728"/>
      <c r="G263" s="728"/>
      <c r="H263" s="728"/>
      <c r="I263" s="728"/>
      <c r="J263" s="728">
        <v>1</v>
      </c>
      <c r="K263" s="728">
        <v>99</v>
      </c>
      <c r="L263" s="728">
        <v>1</v>
      </c>
      <c r="M263" s="728">
        <v>99</v>
      </c>
      <c r="N263" s="728">
        <v>3</v>
      </c>
      <c r="O263" s="728">
        <v>411</v>
      </c>
      <c r="P263" s="741">
        <v>4.1515151515151514</v>
      </c>
      <c r="Q263" s="729">
        <v>137</v>
      </c>
    </row>
    <row r="264" spans="1:17" ht="14.4" customHeight="1" x14ac:dyDescent="0.3">
      <c r="A264" s="724" t="s">
        <v>4190</v>
      </c>
      <c r="B264" s="725" t="s">
        <v>4191</v>
      </c>
      <c r="C264" s="725" t="s">
        <v>2989</v>
      </c>
      <c r="D264" s="725" t="s">
        <v>4220</v>
      </c>
      <c r="E264" s="725" t="s">
        <v>4221</v>
      </c>
      <c r="F264" s="728">
        <v>24</v>
      </c>
      <c r="G264" s="728">
        <v>504</v>
      </c>
      <c r="H264" s="728">
        <v>1.0909090909090908</v>
      </c>
      <c r="I264" s="728">
        <v>21</v>
      </c>
      <c r="J264" s="728">
        <v>22</v>
      </c>
      <c r="K264" s="728">
        <v>462</v>
      </c>
      <c r="L264" s="728">
        <v>1</v>
      </c>
      <c r="M264" s="728">
        <v>21</v>
      </c>
      <c r="N264" s="728">
        <v>15</v>
      </c>
      <c r="O264" s="728">
        <v>990</v>
      </c>
      <c r="P264" s="741">
        <v>2.1428571428571428</v>
      </c>
      <c r="Q264" s="729">
        <v>66</v>
      </c>
    </row>
    <row r="265" spans="1:17" ht="14.4" customHeight="1" x14ac:dyDescent="0.3">
      <c r="A265" s="724" t="s">
        <v>4190</v>
      </c>
      <c r="B265" s="725" t="s">
        <v>4191</v>
      </c>
      <c r="C265" s="725" t="s">
        <v>2989</v>
      </c>
      <c r="D265" s="725" t="s">
        <v>4222</v>
      </c>
      <c r="E265" s="725" t="s">
        <v>4223</v>
      </c>
      <c r="F265" s="728">
        <v>7</v>
      </c>
      <c r="G265" s="728">
        <v>3409</v>
      </c>
      <c r="H265" s="728">
        <v>0.53735813366960905</v>
      </c>
      <c r="I265" s="728">
        <v>487</v>
      </c>
      <c r="J265" s="728">
        <v>13</v>
      </c>
      <c r="K265" s="728">
        <v>6344</v>
      </c>
      <c r="L265" s="728">
        <v>1</v>
      </c>
      <c r="M265" s="728">
        <v>488</v>
      </c>
      <c r="N265" s="728">
        <v>3</v>
      </c>
      <c r="O265" s="728">
        <v>984</v>
      </c>
      <c r="P265" s="741">
        <v>0.15510718789407313</v>
      </c>
      <c r="Q265" s="729">
        <v>328</v>
      </c>
    </row>
    <row r="266" spans="1:17" ht="14.4" customHeight="1" x14ac:dyDescent="0.3">
      <c r="A266" s="724" t="s">
        <v>4190</v>
      </c>
      <c r="B266" s="725" t="s">
        <v>4191</v>
      </c>
      <c r="C266" s="725" t="s">
        <v>2989</v>
      </c>
      <c r="D266" s="725" t="s">
        <v>4224</v>
      </c>
      <c r="E266" s="725" t="s">
        <v>4225</v>
      </c>
      <c r="F266" s="728">
        <v>14</v>
      </c>
      <c r="G266" s="728">
        <v>574</v>
      </c>
      <c r="H266" s="728">
        <v>1.2727272727272727</v>
      </c>
      <c r="I266" s="728">
        <v>41</v>
      </c>
      <c r="J266" s="728">
        <v>11</v>
      </c>
      <c r="K266" s="728">
        <v>451</v>
      </c>
      <c r="L266" s="728">
        <v>1</v>
      </c>
      <c r="M266" s="728">
        <v>41</v>
      </c>
      <c r="N266" s="728">
        <v>8</v>
      </c>
      <c r="O266" s="728">
        <v>408</v>
      </c>
      <c r="P266" s="741">
        <v>0.90465631929046564</v>
      </c>
      <c r="Q266" s="729">
        <v>51</v>
      </c>
    </row>
    <row r="267" spans="1:17" ht="14.4" customHeight="1" x14ac:dyDescent="0.3">
      <c r="A267" s="724" t="s">
        <v>4190</v>
      </c>
      <c r="B267" s="725" t="s">
        <v>4191</v>
      </c>
      <c r="C267" s="725" t="s">
        <v>2989</v>
      </c>
      <c r="D267" s="725" t="s">
        <v>4226</v>
      </c>
      <c r="E267" s="725" t="s">
        <v>4227</v>
      </c>
      <c r="F267" s="728">
        <v>1</v>
      </c>
      <c r="G267" s="728">
        <v>608</v>
      </c>
      <c r="H267" s="728">
        <v>0.49511400651465798</v>
      </c>
      <c r="I267" s="728">
        <v>608</v>
      </c>
      <c r="J267" s="728">
        <v>2</v>
      </c>
      <c r="K267" s="728">
        <v>1228</v>
      </c>
      <c r="L267" s="728">
        <v>1</v>
      </c>
      <c r="M267" s="728">
        <v>614</v>
      </c>
      <c r="N267" s="728">
        <v>2</v>
      </c>
      <c r="O267" s="728">
        <v>1224</v>
      </c>
      <c r="P267" s="741">
        <v>0.99674267100977199</v>
      </c>
      <c r="Q267" s="729">
        <v>612</v>
      </c>
    </row>
    <row r="268" spans="1:17" ht="14.4" customHeight="1" x14ac:dyDescent="0.3">
      <c r="A268" s="724" t="s">
        <v>4228</v>
      </c>
      <c r="B268" s="725" t="s">
        <v>3736</v>
      </c>
      <c r="C268" s="725" t="s">
        <v>2989</v>
      </c>
      <c r="D268" s="725" t="s">
        <v>3737</v>
      </c>
      <c r="E268" s="725" t="s">
        <v>3738</v>
      </c>
      <c r="F268" s="728"/>
      <c r="G268" s="728"/>
      <c r="H268" s="728"/>
      <c r="I268" s="728"/>
      <c r="J268" s="728"/>
      <c r="K268" s="728"/>
      <c r="L268" s="728"/>
      <c r="M268" s="728"/>
      <c r="N268" s="728">
        <v>2</v>
      </c>
      <c r="O268" s="728">
        <v>25588</v>
      </c>
      <c r="P268" s="741"/>
      <c r="Q268" s="729">
        <v>12794</v>
      </c>
    </row>
    <row r="269" spans="1:17" ht="14.4" customHeight="1" x14ac:dyDescent="0.3">
      <c r="A269" s="724" t="s">
        <v>4228</v>
      </c>
      <c r="B269" s="725" t="s">
        <v>3736</v>
      </c>
      <c r="C269" s="725" t="s">
        <v>2989</v>
      </c>
      <c r="D269" s="725" t="s">
        <v>4229</v>
      </c>
      <c r="E269" s="725" t="s">
        <v>4230</v>
      </c>
      <c r="F269" s="728">
        <v>6</v>
      </c>
      <c r="G269" s="728">
        <v>7608</v>
      </c>
      <c r="H269" s="728">
        <v>0.3706157443491816</v>
      </c>
      <c r="I269" s="728">
        <v>1268</v>
      </c>
      <c r="J269" s="728">
        <v>16</v>
      </c>
      <c r="K269" s="728">
        <v>20528</v>
      </c>
      <c r="L269" s="728">
        <v>1</v>
      </c>
      <c r="M269" s="728">
        <v>1283</v>
      </c>
      <c r="N269" s="728">
        <v>9</v>
      </c>
      <c r="O269" s="728">
        <v>11565</v>
      </c>
      <c r="P269" s="741">
        <v>0.56337685113016367</v>
      </c>
      <c r="Q269" s="729">
        <v>1285</v>
      </c>
    </row>
    <row r="270" spans="1:17" ht="14.4" customHeight="1" x14ac:dyDescent="0.3">
      <c r="A270" s="724" t="s">
        <v>4228</v>
      </c>
      <c r="B270" s="725" t="s">
        <v>3736</v>
      </c>
      <c r="C270" s="725" t="s">
        <v>2989</v>
      </c>
      <c r="D270" s="725" t="s">
        <v>4231</v>
      </c>
      <c r="E270" s="725" t="s">
        <v>4232</v>
      </c>
      <c r="F270" s="728">
        <v>80</v>
      </c>
      <c r="G270" s="728">
        <v>755680</v>
      </c>
      <c r="H270" s="728">
        <v>0.80710208824635155</v>
      </c>
      <c r="I270" s="728">
        <v>9446</v>
      </c>
      <c r="J270" s="728">
        <v>96</v>
      </c>
      <c r="K270" s="728">
        <v>936288</v>
      </c>
      <c r="L270" s="728">
        <v>1</v>
      </c>
      <c r="M270" s="728">
        <v>9753</v>
      </c>
      <c r="N270" s="728">
        <v>83</v>
      </c>
      <c r="O270" s="728">
        <v>810246</v>
      </c>
      <c r="P270" s="741">
        <v>0.86538116476981441</v>
      </c>
      <c r="Q270" s="729">
        <v>9762</v>
      </c>
    </row>
    <row r="271" spans="1:17" ht="14.4" customHeight="1" x14ac:dyDescent="0.3">
      <c r="A271" s="724" t="s">
        <v>4228</v>
      </c>
      <c r="B271" s="725" t="s">
        <v>3736</v>
      </c>
      <c r="C271" s="725" t="s">
        <v>2989</v>
      </c>
      <c r="D271" s="725" t="s">
        <v>4233</v>
      </c>
      <c r="E271" s="725" t="s">
        <v>4234</v>
      </c>
      <c r="F271" s="728">
        <v>18</v>
      </c>
      <c r="G271" s="728">
        <v>40752</v>
      </c>
      <c r="H271" s="728">
        <v>0.37009590235396689</v>
      </c>
      <c r="I271" s="728">
        <v>2264</v>
      </c>
      <c r="J271" s="728">
        <v>48</v>
      </c>
      <c r="K271" s="728">
        <v>110112</v>
      </c>
      <c r="L271" s="728">
        <v>1</v>
      </c>
      <c r="M271" s="728">
        <v>2294</v>
      </c>
      <c r="N271" s="728">
        <v>24</v>
      </c>
      <c r="O271" s="728">
        <v>55128</v>
      </c>
      <c r="P271" s="741">
        <v>0.50065387968613773</v>
      </c>
      <c r="Q271" s="729">
        <v>2297</v>
      </c>
    </row>
    <row r="272" spans="1:17" ht="14.4" customHeight="1" x14ac:dyDescent="0.3">
      <c r="A272" s="724" t="s">
        <v>4228</v>
      </c>
      <c r="B272" s="725" t="s">
        <v>3736</v>
      </c>
      <c r="C272" s="725" t="s">
        <v>2989</v>
      </c>
      <c r="D272" s="725" t="s">
        <v>4235</v>
      </c>
      <c r="E272" s="725" t="s">
        <v>4236</v>
      </c>
      <c r="F272" s="728"/>
      <c r="G272" s="728"/>
      <c r="H272" s="728"/>
      <c r="I272" s="728"/>
      <c r="J272" s="728"/>
      <c r="K272" s="728"/>
      <c r="L272" s="728"/>
      <c r="M272" s="728"/>
      <c r="N272" s="728">
        <v>4</v>
      </c>
      <c r="O272" s="728">
        <v>30224</v>
      </c>
      <c r="P272" s="741"/>
      <c r="Q272" s="729">
        <v>7556</v>
      </c>
    </row>
    <row r="273" spans="1:17" ht="14.4" customHeight="1" x14ac:dyDescent="0.3">
      <c r="A273" s="724" t="s">
        <v>4228</v>
      </c>
      <c r="B273" s="725" t="s">
        <v>3736</v>
      </c>
      <c r="C273" s="725" t="s">
        <v>2989</v>
      </c>
      <c r="D273" s="725" t="s">
        <v>4237</v>
      </c>
      <c r="E273" s="725" t="s">
        <v>4238</v>
      </c>
      <c r="F273" s="728"/>
      <c r="G273" s="728"/>
      <c r="H273" s="728"/>
      <c r="I273" s="728"/>
      <c r="J273" s="728"/>
      <c r="K273" s="728"/>
      <c r="L273" s="728"/>
      <c r="M273" s="728"/>
      <c r="N273" s="728">
        <v>1</v>
      </c>
      <c r="O273" s="728">
        <v>0</v>
      </c>
      <c r="P273" s="741"/>
      <c r="Q273" s="729">
        <v>0</v>
      </c>
    </row>
    <row r="274" spans="1:17" ht="14.4" customHeight="1" x14ac:dyDescent="0.3">
      <c r="A274" s="724" t="s">
        <v>4228</v>
      </c>
      <c r="B274" s="725" t="s">
        <v>3736</v>
      </c>
      <c r="C274" s="725" t="s">
        <v>2989</v>
      </c>
      <c r="D274" s="725" t="s">
        <v>4239</v>
      </c>
      <c r="E274" s="725" t="s">
        <v>4240</v>
      </c>
      <c r="F274" s="728"/>
      <c r="G274" s="728"/>
      <c r="H274" s="728"/>
      <c r="I274" s="728"/>
      <c r="J274" s="728"/>
      <c r="K274" s="728"/>
      <c r="L274" s="728"/>
      <c r="M274" s="728"/>
      <c r="N274" s="728">
        <v>1</v>
      </c>
      <c r="O274" s="728">
        <v>0</v>
      </c>
      <c r="P274" s="741"/>
      <c r="Q274" s="729">
        <v>0</v>
      </c>
    </row>
    <row r="275" spans="1:17" ht="14.4" customHeight="1" x14ac:dyDescent="0.3">
      <c r="A275" s="724" t="s">
        <v>4228</v>
      </c>
      <c r="B275" s="725" t="s">
        <v>3736</v>
      </c>
      <c r="C275" s="725" t="s">
        <v>2989</v>
      </c>
      <c r="D275" s="725" t="s">
        <v>4241</v>
      </c>
      <c r="E275" s="725" t="s">
        <v>4242</v>
      </c>
      <c r="F275" s="728"/>
      <c r="G275" s="728"/>
      <c r="H275" s="728"/>
      <c r="I275" s="728"/>
      <c r="J275" s="728"/>
      <c r="K275" s="728"/>
      <c r="L275" s="728"/>
      <c r="M275" s="728"/>
      <c r="N275" s="728">
        <v>3</v>
      </c>
      <c r="O275" s="728">
        <v>0</v>
      </c>
      <c r="P275" s="741"/>
      <c r="Q275" s="729">
        <v>0</v>
      </c>
    </row>
    <row r="276" spans="1:17" ht="14.4" customHeight="1" thickBot="1" x14ac:dyDescent="0.35">
      <c r="A276" s="730" t="s">
        <v>4228</v>
      </c>
      <c r="B276" s="731" t="s">
        <v>3736</v>
      </c>
      <c r="C276" s="731" t="s">
        <v>2989</v>
      </c>
      <c r="D276" s="731" t="s">
        <v>4243</v>
      </c>
      <c r="E276" s="731" t="s">
        <v>4244</v>
      </c>
      <c r="F276" s="734"/>
      <c r="G276" s="734"/>
      <c r="H276" s="734"/>
      <c r="I276" s="734"/>
      <c r="J276" s="734"/>
      <c r="K276" s="734"/>
      <c r="L276" s="734"/>
      <c r="M276" s="734"/>
      <c r="N276" s="734">
        <v>1</v>
      </c>
      <c r="O276" s="734">
        <v>0</v>
      </c>
      <c r="P276" s="742"/>
      <c r="Q276" s="735">
        <v>0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72" t="s">
        <v>181</v>
      </c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673"/>
      <c r="N1" s="673"/>
    </row>
    <row r="2" spans="1:14" ht="14.4" customHeight="1" thickBot="1" x14ac:dyDescent="0.35">
      <c r="A2" s="374" t="s">
        <v>323</v>
      </c>
      <c r="B2" s="189"/>
      <c r="C2" s="189"/>
      <c r="D2" s="189"/>
      <c r="E2" s="189"/>
      <c r="F2" s="189"/>
      <c r="G2" s="428"/>
      <c r="H2" s="428"/>
      <c r="I2" s="428"/>
      <c r="J2" s="189"/>
      <c r="K2" s="428"/>
      <c r="L2" s="428"/>
      <c r="M2" s="428"/>
      <c r="N2" s="189"/>
    </row>
    <row r="3" spans="1:14" ht="14.4" customHeight="1" thickBot="1" x14ac:dyDescent="0.35">
      <c r="A3" s="190"/>
      <c r="B3" s="191" t="s">
        <v>159</v>
      </c>
      <c r="C3" s="192">
        <f>SUBTOTAL(9,C6:C1048576)</f>
        <v>1930</v>
      </c>
      <c r="D3" s="193">
        <f>SUBTOTAL(9,D6:D1048576)</f>
        <v>1923</v>
      </c>
      <c r="E3" s="193">
        <f>SUBTOTAL(9,E6:E1048576)</f>
        <v>2051</v>
      </c>
      <c r="F3" s="194">
        <f>IF(OR(E3=0,D3=0),"",E3/D3)</f>
        <v>1.0665626625065003</v>
      </c>
      <c r="G3" s="429">
        <f>SUBTOTAL(9,G6:G1048576)</f>
        <v>7983.6030000000001</v>
      </c>
      <c r="H3" s="430">
        <f>SUBTOTAL(9,H6:H1048576)</f>
        <v>8727.792199999998</v>
      </c>
      <c r="I3" s="430">
        <f>SUBTOTAL(9,I6:I1048576)</f>
        <v>8434.9528599999994</v>
      </c>
      <c r="J3" s="194">
        <f>IF(OR(I3=0,H3=0),"",I3/H3)</f>
        <v>0.96644748943495717</v>
      </c>
      <c r="K3" s="429">
        <f>SUBTOTAL(9,K6:K1048576)</f>
        <v>2043.6100000000001</v>
      </c>
      <c r="L3" s="430">
        <f>SUBTOTAL(9,L6:L1048576)</f>
        <v>2268.42</v>
      </c>
      <c r="M3" s="430">
        <f>SUBTOTAL(9,M6:M1048576)</f>
        <v>2049.2399999999998</v>
      </c>
      <c r="N3" s="195">
        <f>IF(OR(M3=0,E3=0),"",M3*1000/E3)</f>
        <v>999.14188200877607</v>
      </c>
    </row>
    <row r="4" spans="1:14" ht="14.4" customHeight="1" x14ac:dyDescent="0.3">
      <c r="A4" s="674" t="s">
        <v>90</v>
      </c>
      <c r="B4" s="675" t="s">
        <v>11</v>
      </c>
      <c r="C4" s="676" t="s">
        <v>91</v>
      </c>
      <c r="D4" s="676"/>
      <c r="E4" s="676"/>
      <c r="F4" s="677"/>
      <c r="G4" s="678" t="s">
        <v>320</v>
      </c>
      <c r="H4" s="676"/>
      <c r="I4" s="676"/>
      <c r="J4" s="677"/>
      <c r="K4" s="678" t="s">
        <v>92</v>
      </c>
      <c r="L4" s="676"/>
      <c r="M4" s="676"/>
      <c r="N4" s="679"/>
    </row>
    <row r="5" spans="1:14" ht="14.4" customHeight="1" thickBot="1" x14ac:dyDescent="0.35">
      <c r="A5" s="945"/>
      <c r="B5" s="946"/>
      <c r="C5" s="953">
        <v>2015</v>
      </c>
      <c r="D5" s="953">
        <v>2016</v>
      </c>
      <c r="E5" s="953">
        <v>2017</v>
      </c>
      <c r="F5" s="954" t="s">
        <v>2</v>
      </c>
      <c r="G5" s="964">
        <v>2015</v>
      </c>
      <c r="H5" s="953">
        <v>2016</v>
      </c>
      <c r="I5" s="953">
        <v>2017</v>
      </c>
      <c r="J5" s="954" t="s">
        <v>2</v>
      </c>
      <c r="K5" s="964">
        <v>2015</v>
      </c>
      <c r="L5" s="953">
        <v>2016</v>
      </c>
      <c r="M5" s="953">
        <v>2017</v>
      </c>
      <c r="N5" s="965" t="s">
        <v>93</v>
      </c>
    </row>
    <row r="6" spans="1:14" ht="14.4" customHeight="1" x14ac:dyDescent="0.3">
      <c r="A6" s="947" t="s">
        <v>3380</v>
      </c>
      <c r="B6" s="950" t="s">
        <v>4246</v>
      </c>
      <c r="C6" s="955">
        <v>1501</v>
      </c>
      <c r="D6" s="956">
        <v>1422</v>
      </c>
      <c r="E6" s="956">
        <v>1534</v>
      </c>
      <c r="F6" s="961">
        <v>1.078762306610408</v>
      </c>
      <c r="G6" s="955">
        <v>1517.8608000000006</v>
      </c>
      <c r="H6" s="956">
        <v>1426.2905999999998</v>
      </c>
      <c r="I6" s="956">
        <v>1525.5892000000001</v>
      </c>
      <c r="J6" s="961">
        <v>1.0696201741776887</v>
      </c>
      <c r="K6" s="955">
        <v>165.11</v>
      </c>
      <c r="L6" s="956">
        <v>156.41999999999999</v>
      </c>
      <c r="M6" s="956">
        <v>168.74</v>
      </c>
      <c r="N6" s="966">
        <v>110</v>
      </c>
    </row>
    <row r="7" spans="1:14" ht="14.4" customHeight="1" x14ac:dyDescent="0.3">
      <c r="A7" s="948" t="s">
        <v>3527</v>
      </c>
      <c r="B7" s="951" t="s">
        <v>4247</v>
      </c>
      <c r="C7" s="957">
        <v>10</v>
      </c>
      <c r="D7" s="958">
        <v>19</v>
      </c>
      <c r="E7" s="958">
        <v>14</v>
      </c>
      <c r="F7" s="962">
        <v>0.73684210526315785</v>
      </c>
      <c r="G7" s="957">
        <v>287.69400000000002</v>
      </c>
      <c r="H7" s="958">
        <v>546.61860000000001</v>
      </c>
      <c r="I7" s="958">
        <v>402.77160000000003</v>
      </c>
      <c r="J7" s="962">
        <v>0.73684210526315796</v>
      </c>
      <c r="K7" s="957">
        <v>110</v>
      </c>
      <c r="L7" s="958">
        <v>209</v>
      </c>
      <c r="M7" s="958">
        <v>154</v>
      </c>
      <c r="N7" s="967">
        <v>11000</v>
      </c>
    </row>
    <row r="8" spans="1:14" ht="14.4" customHeight="1" x14ac:dyDescent="0.3">
      <c r="A8" s="948" t="s">
        <v>3545</v>
      </c>
      <c r="B8" s="951" t="s">
        <v>4247</v>
      </c>
      <c r="C8" s="957">
        <v>70</v>
      </c>
      <c r="D8" s="958">
        <v>99</v>
      </c>
      <c r="E8" s="958">
        <v>73</v>
      </c>
      <c r="F8" s="962">
        <v>0.73737373737373735</v>
      </c>
      <c r="G8" s="957">
        <v>1761.8579999999999</v>
      </c>
      <c r="H8" s="958">
        <v>2491.7706000000003</v>
      </c>
      <c r="I8" s="958">
        <v>1868.1287999999997</v>
      </c>
      <c r="J8" s="962">
        <v>0.74971941638608286</v>
      </c>
      <c r="K8" s="957">
        <v>630</v>
      </c>
      <c r="L8" s="958">
        <v>891</v>
      </c>
      <c r="M8" s="958">
        <v>657</v>
      </c>
      <c r="N8" s="967">
        <v>9000</v>
      </c>
    </row>
    <row r="9" spans="1:14" ht="14.4" customHeight="1" x14ac:dyDescent="0.3">
      <c r="A9" s="948" t="s">
        <v>3540</v>
      </c>
      <c r="B9" s="951" t="s">
        <v>4247</v>
      </c>
      <c r="C9" s="957">
        <v>115</v>
      </c>
      <c r="D9" s="958">
        <v>85</v>
      </c>
      <c r="E9" s="958">
        <v>84</v>
      </c>
      <c r="F9" s="962">
        <v>0.9882352941176471</v>
      </c>
      <c r="G9" s="957">
        <v>2480.4810000000002</v>
      </c>
      <c r="H9" s="958">
        <v>1833.3989999999999</v>
      </c>
      <c r="I9" s="958">
        <v>1827.6471600000002</v>
      </c>
      <c r="J9" s="962">
        <v>0.9968627450980394</v>
      </c>
      <c r="K9" s="957">
        <v>805</v>
      </c>
      <c r="L9" s="958">
        <v>595</v>
      </c>
      <c r="M9" s="958">
        <v>588</v>
      </c>
      <c r="N9" s="967">
        <v>7000</v>
      </c>
    </row>
    <row r="10" spans="1:14" ht="14.4" customHeight="1" x14ac:dyDescent="0.3">
      <c r="A10" s="948" t="s">
        <v>3529</v>
      </c>
      <c r="B10" s="951" t="s">
        <v>4247</v>
      </c>
      <c r="C10" s="957">
        <v>124</v>
      </c>
      <c r="D10" s="958">
        <v>150</v>
      </c>
      <c r="E10" s="958">
        <v>173</v>
      </c>
      <c r="F10" s="962">
        <v>1.1533333333333333</v>
      </c>
      <c r="G10" s="957">
        <v>1327.7051999999999</v>
      </c>
      <c r="H10" s="958">
        <v>1606.0950000000003</v>
      </c>
      <c r="I10" s="958">
        <v>1852.3628999999999</v>
      </c>
      <c r="J10" s="962">
        <v>1.1533333333333331</v>
      </c>
      <c r="K10" s="957">
        <v>248</v>
      </c>
      <c r="L10" s="958">
        <v>300</v>
      </c>
      <c r="M10" s="958">
        <v>346</v>
      </c>
      <c r="N10" s="967">
        <v>2000</v>
      </c>
    </row>
    <row r="11" spans="1:14" ht="14.4" customHeight="1" x14ac:dyDescent="0.3">
      <c r="A11" s="948" t="s">
        <v>3542</v>
      </c>
      <c r="B11" s="951" t="s">
        <v>4247</v>
      </c>
      <c r="C11" s="957">
        <v>61</v>
      </c>
      <c r="D11" s="958">
        <v>86</v>
      </c>
      <c r="E11" s="958">
        <v>98</v>
      </c>
      <c r="F11" s="962">
        <v>1.1395348837209303</v>
      </c>
      <c r="G11" s="957">
        <v>366.51240000000007</v>
      </c>
      <c r="H11" s="958">
        <v>518.05759999999998</v>
      </c>
      <c r="I11" s="958">
        <v>588.82320000000004</v>
      </c>
      <c r="J11" s="962">
        <v>1.1365979381443301</v>
      </c>
      <c r="K11" s="957">
        <v>61</v>
      </c>
      <c r="L11" s="958">
        <v>86</v>
      </c>
      <c r="M11" s="958">
        <v>98</v>
      </c>
      <c r="N11" s="967">
        <v>1000</v>
      </c>
    </row>
    <row r="12" spans="1:14" ht="14.4" customHeight="1" thickBot="1" x14ac:dyDescent="0.35">
      <c r="A12" s="949" t="s">
        <v>3538</v>
      </c>
      <c r="B12" s="952" t="s">
        <v>4247</v>
      </c>
      <c r="C12" s="959">
        <v>49</v>
      </c>
      <c r="D12" s="960">
        <v>62</v>
      </c>
      <c r="E12" s="960">
        <v>75</v>
      </c>
      <c r="F12" s="963">
        <v>1.2096774193548387</v>
      </c>
      <c r="G12" s="959">
        <v>241.49159999999995</v>
      </c>
      <c r="H12" s="960">
        <v>305.56080000000003</v>
      </c>
      <c r="I12" s="960">
        <v>369.62999999999994</v>
      </c>
      <c r="J12" s="963">
        <v>1.2096774193548383</v>
      </c>
      <c r="K12" s="959">
        <v>24.5</v>
      </c>
      <c r="L12" s="960">
        <v>31</v>
      </c>
      <c r="M12" s="960">
        <v>37.5</v>
      </c>
      <c r="N12" s="968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26" t="s">
        <v>128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</row>
    <row r="2" spans="1:13" ht="14.4" customHeight="1" x14ac:dyDescent="0.3">
      <c r="A2" s="374" t="s">
        <v>323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103</v>
      </c>
      <c r="C3" s="322" t="s">
        <v>104</v>
      </c>
      <c r="D3" s="322" t="s">
        <v>105</v>
      </c>
      <c r="E3" s="321" t="s">
        <v>106</v>
      </c>
      <c r="F3" s="322" t="s">
        <v>107</v>
      </c>
      <c r="G3" s="322" t="s">
        <v>108</v>
      </c>
      <c r="H3" s="322" t="s">
        <v>109</v>
      </c>
      <c r="I3" s="322" t="s">
        <v>110</v>
      </c>
      <c r="J3" s="322" t="s">
        <v>111</v>
      </c>
      <c r="K3" s="322" t="s">
        <v>112</v>
      </c>
      <c r="L3" s="322" t="s">
        <v>113</v>
      </c>
      <c r="M3" s="322" t="s">
        <v>114</v>
      </c>
    </row>
    <row r="4" spans="1:13" ht="14.4" customHeight="1" x14ac:dyDescent="0.3">
      <c r="A4" s="320" t="s">
        <v>102</v>
      </c>
      <c r="B4" s="323">
        <f>(B10+B8)/B6</f>
        <v>0.97056359863241315</v>
      </c>
      <c r="C4" s="323">
        <f t="shared" ref="C4:M4" si="0">(C10+C8)/C6</f>
        <v>0.94173765230530171</v>
      </c>
      <c r="D4" s="323">
        <f t="shared" si="0"/>
        <v>1.0026933518264038</v>
      </c>
      <c r="E4" s="323">
        <f t="shared" si="0"/>
        <v>1.7702110241540336E-2</v>
      </c>
      <c r="F4" s="323">
        <f t="shared" si="0"/>
        <v>1.7702110241540336E-2</v>
      </c>
      <c r="G4" s="323">
        <f t="shared" si="0"/>
        <v>1.7702110241540336E-2</v>
      </c>
      <c r="H4" s="323">
        <f t="shared" si="0"/>
        <v>1.7702110241540336E-2</v>
      </c>
      <c r="I4" s="323">
        <f t="shared" si="0"/>
        <v>1.7702110241540336E-2</v>
      </c>
      <c r="J4" s="323">
        <f t="shared" si="0"/>
        <v>1.7702110241540336E-2</v>
      </c>
      <c r="K4" s="323">
        <f t="shared" si="0"/>
        <v>1.7702110241540336E-2</v>
      </c>
      <c r="L4" s="323">
        <f t="shared" si="0"/>
        <v>1.7702110241540336E-2</v>
      </c>
      <c r="M4" s="323">
        <f t="shared" si="0"/>
        <v>1.7702110241540336E-2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9118.7511900000009</v>
      </c>
      <c r="C5" s="323">
        <f>IF(ISERROR(VLOOKUP($A5,'Man Tab'!$A:$Q,COLUMN()+2,0)),0,VLOOKUP($A5,'Man Tab'!$A:$Q,COLUMN()+2,0))</f>
        <v>13618.599130000001</v>
      </c>
      <c r="D5" s="323">
        <f>IF(ISERROR(VLOOKUP($A5,'Man Tab'!$A:$Q,COLUMN()+2,0)),0,VLOOKUP($A5,'Man Tab'!$A:$Q,COLUMN()+2,0))</f>
        <v>12361.3171</v>
      </c>
      <c r="E5" s="323">
        <f>IF(ISERROR(VLOOKUP($A5,'Man Tab'!$A:$Q,COLUMN()+2,0)),0,VLOOKUP($A5,'Man Tab'!$A:$Q,COLUMN()+2,0))</f>
        <v>0</v>
      </c>
      <c r="F5" s="323">
        <f>IF(ISERROR(VLOOKUP($A5,'Man Tab'!$A:$Q,COLUMN()+2,0)),0,VLOOKUP($A5,'Man Tab'!$A:$Q,COLUMN()+2,0))</f>
        <v>0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98</v>
      </c>
      <c r="B6" s="325">
        <f>B5</f>
        <v>9118.7511900000009</v>
      </c>
      <c r="C6" s="325">
        <f t="shared" ref="C6:M6" si="1">C5+B6</f>
        <v>22737.350320000001</v>
      </c>
      <c r="D6" s="325">
        <f t="shared" si="1"/>
        <v>35098.667419999998</v>
      </c>
      <c r="E6" s="325">
        <f t="shared" si="1"/>
        <v>35098.667419999998</v>
      </c>
      <c r="F6" s="325">
        <f t="shared" si="1"/>
        <v>35098.667419999998</v>
      </c>
      <c r="G6" s="325">
        <f t="shared" si="1"/>
        <v>35098.667419999998</v>
      </c>
      <c r="H6" s="325">
        <f t="shared" si="1"/>
        <v>35098.667419999998</v>
      </c>
      <c r="I6" s="325">
        <f t="shared" si="1"/>
        <v>35098.667419999998</v>
      </c>
      <c r="J6" s="325">
        <f t="shared" si="1"/>
        <v>35098.667419999998</v>
      </c>
      <c r="K6" s="325">
        <f t="shared" si="1"/>
        <v>35098.667419999998</v>
      </c>
      <c r="L6" s="325">
        <f t="shared" si="1"/>
        <v>35098.667419999998</v>
      </c>
      <c r="M6" s="325">
        <f t="shared" si="1"/>
        <v>35098.667419999998</v>
      </c>
    </row>
    <row r="7" spans="1:13" ht="14.4" customHeight="1" x14ac:dyDescent="0.3">
      <c r="A7" s="324" t="s">
        <v>126</v>
      </c>
      <c r="B7" s="324">
        <v>287.03800000000001</v>
      </c>
      <c r="C7" s="324">
        <v>699.43499999999995</v>
      </c>
      <c r="D7" s="324">
        <v>1152.396</v>
      </c>
      <c r="E7" s="324"/>
      <c r="F7" s="324"/>
      <c r="G7" s="324"/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99</v>
      </c>
      <c r="B8" s="325">
        <f>B7*30</f>
        <v>8611.14</v>
      </c>
      <c r="C8" s="325">
        <f t="shared" ref="C8:M8" si="2">C7*30</f>
        <v>20983.05</v>
      </c>
      <c r="D8" s="325">
        <f t="shared" si="2"/>
        <v>34571.879999999997</v>
      </c>
      <c r="E8" s="325">
        <f t="shared" si="2"/>
        <v>0</v>
      </c>
      <c r="F8" s="325">
        <f t="shared" si="2"/>
        <v>0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127</v>
      </c>
      <c r="B9" s="324">
        <v>239187.96999999997</v>
      </c>
      <c r="C9" s="324">
        <v>190380.94000000003</v>
      </c>
      <c r="D9" s="324">
        <v>191751.57000000004</v>
      </c>
      <c r="E9" s="324">
        <v>0</v>
      </c>
      <c r="F9" s="324">
        <v>0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100</v>
      </c>
      <c r="B10" s="325">
        <f>B9/1000</f>
        <v>239.18796999999998</v>
      </c>
      <c r="C10" s="325">
        <f t="shared" ref="C10:M10" si="3">C9/1000+B10</f>
        <v>429.56891000000002</v>
      </c>
      <c r="D10" s="325">
        <f t="shared" si="3"/>
        <v>621.32048000000009</v>
      </c>
      <c r="E10" s="325">
        <f t="shared" si="3"/>
        <v>621.32048000000009</v>
      </c>
      <c r="F10" s="325">
        <f t="shared" si="3"/>
        <v>621.32048000000009</v>
      </c>
      <c r="G10" s="325">
        <f t="shared" si="3"/>
        <v>621.32048000000009</v>
      </c>
      <c r="H10" s="325">
        <f t="shared" si="3"/>
        <v>621.32048000000009</v>
      </c>
      <c r="I10" s="325">
        <f t="shared" si="3"/>
        <v>621.32048000000009</v>
      </c>
      <c r="J10" s="325">
        <f t="shared" si="3"/>
        <v>621.32048000000009</v>
      </c>
      <c r="K10" s="325">
        <f t="shared" si="3"/>
        <v>621.32048000000009</v>
      </c>
      <c r="L10" s="325">
        <f t="shared" si="3"/>
        <v>621.32048000000009</v>
      </c>
      <c r="M10" s="325">
        <f t="shared" si="3"/>
        <v>621.32048000000009</v>
      </c>
    </row>
    <row r="11" spans="1:13" ht="14.4" customHeight="1" x14ac:dyDescent="0.3">
      <c r="A11" s="320"/>
      <c r="B11" s="320" t="s">
        <v>116</v>
      </c>
      <c r="C11" s="320">
        <f ca="1">IF(MONTH(TODAY())=1,12,MONTH(TODAY())-1)</f>
        <v>3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1.0090918394037858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1.0090918394037858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38" t="s">
        <v>325</v>
      </c>
      <c r="B1" s="538"/>
      <c r="C1" s="538"/>
      <c r="D1" s="538"/>
      <c r="E1" s="538"/>
      <c r="F1" s="538"/>
      <c r="G1" s="538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7" s="326" customFormat="1" ht="14.4" customHeight="1" thickBot="1" x14ac:dyDescent="0.3">
      <c r="A2" s="374" t="s">
        <v>323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39" t="s">
        <v>29</v>
      </c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256"/>
      <c r="Q3" s="258"/>
    </row>
    <row r="4" spans="1:17" ht="14.4" customHeight="1" x14ac:dyDescent="0.3">
      <c r="A4" s="102"/>
      <c r="B4" s="24">
        <v>2017</v>
      </c>
      <c r="C4" s="257" t="s">
        <v>30</v>
      </c>
      <c r="D4" s="448" t="s">
        <v>276</v>
      </c>
      <c r="E4" s="448" t="s">
        <v>277</v>
      </c>
      <c r="F4" s="448" t="s">
        <v>278</v>
      </c>
      <c r="G4" s="448" t="s">
        <v>279</v>
      </c>
      <c r="H4" s="448" t="s">
        <v>280</v>
      </c>
      <c r="I4" s="448" t="s">
        <v>281</v>
      </c>
      <c r="J4" s="448" t="s">
        <v>282</v>
      </c>
      <c r="K4" s="448" t="s">
        <v>283</v>
      </c>
      <c r="L4" s="448" t="s">
        <v>284</v>
      </c>
      <c r="M4" s="448" t="s">
        <v>285</v>
      </c>
      <c r="N4" s="448" t="s">
        <v>286</v>
      </c>
      <c r="O4" s="448" t="s">
        <v>287</v>
      </c>
      <c r="P4" s="541" t="s">
        <v>3</v>
      </c>
      <c r="Q4" s="542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324</v>
      </c>
    </row>
    <row r="7" spans="1:17" ht="14.4" customHeight="1" x14ac:dyDescent="0.3">
      <c r="A7" s="19" t="s">
        <v>35</v>
      </c>
      <c r="B7" s="55">
        <v>6982.8366593399196</v>
      </c>
      <c r="C7" s="56">
        <v>581.90305494499398</v>
      </c>
      <c r="D7" s="56">
        <v>634.23581999999999</v>
      </c>
      <c r="E7" s="56">
        <v>788.51589999999999</v>
      </c>
      <c r="F7" s="56">
        <v>515.23477000000105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1937.98649</v>
      </c>
      <c r="Q7" s="185">
        <v>1.1101428170500001</v>
      </c>
    </row>
    <row r="8" spans="1:17" ht="14.4" customHeight="1" x14ac:dyDescent="0.3">
      <c r="A8" s="19" t="s">
        <v>36</v>
      </c>
      <c r="B8" s="55">
        <v>1062.54336832134</v>
      </c>
      <c r="C8" s="56">
        <v>88.545280693444994</v>
      </c>
      <c r="D8" s="56">
        <v>63.64</v>
      </c>
      <c r="E8" s="56">
        <v>80.52</v>
      </c>
      <c r="F8" s="56">
        <v>82.16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226.32</v>
      </c>
      <c r="Q8" s="185">
        <v>0.85199345926900005</v>
      </c>
    </row>
    <row r="9" spans="1:17" ht="14.4" customHeight="1" x14ac:dyDescent="0.3">
      <c r="A9" s="19" t="s">
        <v>37</v>
      </c>
      <c r="B9" s="55">
        <v>60421.215180798099</v>
      </c>
      <c r="C9" s="56">
        <v>5035.1012650664998</v>
      </c>
      <c r="D9" s="56">
        <v>1673.9169400000001</v>
      </c>
      <c r="E9" s="56">
        <v>6403.6020200000003</v>
      </c>
      <c r="F9" s="56">
        <v>5410.4221300000099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13487.94109</v>
      </c>
      <c r="Q9" s="185">
        <v>0.89292749572399999</v>
      </c>
    </row>
    <row r="10" spans="1:17" ht="14.4" customHeight="1" x14ac:dyDescent="0.3">
      <c r="A10" s="19" t="s">
        <v>38</v>
      </c>
      <c r="B10" s="55">
        <v>691.01870674908901</v>
      </c>
      <c r="C10" s="56">
        <v>57.584892229090002</v>
      </c>
      <c r="D10" s="56">
        <v>54.143050000000002</v>
      </c>
      <c r="E10" s="56">
        <v>52.712400000000002</v>
      </c>
      <c r="F10" s="56">
        <v>50.387439999999998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157.24288999999999</v>
      </c>
      <c r="Q10" s="185">
        <v>0.91020916489899995</v>
      </c>
    </row>
    <row r="11" spans="1:17" ht="14.4" customHeight="1" x14ac:dyDescent="0.3">
      <c r="A11" s="19" t="s">
        <v>39</v>
      </c>
      <c r="B11" s="55">
        <v>1054.6992559473499</v>
      </c>
      <c r="C11" s="56">
        <v>87.891604662277999</v>
      </c>
      <c r="D11" s="56">
        <v>109.89272</v>
      </c>
      <c r="E11" s="56">
        <v>105.76224999999999</v>
      </c>
      <c r="F11" s="56">
        <v>86.150189999999995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301.80516</v>
      </c>
      <c r="Q11" s="185">
        <v>1.1446112559499999</v>
      </c>
    </row>
    <row r="12" spans="1:17" ht="14.4" customHeight="1" x14ac:dyDescent="0.3">
      <c r="A12" s="19" t="s">
        <v>40</v>
      </c>
      <c r="B12" s="55">
        <v>493.22157490012802</v>
      </c>
      <c r="C12" s="56">
        <v>41.101797908343997</v>
      </c>
      <c r="D12" s="56">
        <v>17.860890000000001</v>
      </c>
      <c r="E12" s="56">
        <v>8.2945700000000002</v>
      </c>
      <c r="F12" s="56">
        <v>26.93497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53.090429999999998</v>
      </c>
      <c r="Q12" s="185">
        <v>0.43056048398300001</v>
      </c>
    </row>
    <row r="13" spans="1:17" ht="14.4" customHeight="1" x14ac:dyDescent="0.3">
      <c r="A13" s="19" t="s">
        <v>41</v>
      </c>
      <c r="B13" s="55">
        <v>1874</v>
      </c>
      <c r="C13" s="56">
        <v>156.166666666667</v>
      </c>
      <c r="D13" s="56">
        <v>143.64782</v>
      </c>
      <c r="E13" s="56">
        <v>146.08297999999999</v>
      </c>
      <c r="F13" s="56">
        <v>149.31496999999999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439.04577</v>
      </c>
      <c r="Q13" s="185">
        <v>0.93713077908200004</v>
      </c>
    </row>
    <row r="14" spans="1:17" ht="14.4" customHeight="1" x14ac:dyDescent="0.3">
      <c r="A14" s="19" t="s">
        <v>42</v>
      </c>
      <c r="B14" s="55">
        <v>2352.5072310322198</v>
      </c>
      <c r="C14" s="56">
        <v>196.042269252685</v>
      </c>
      <c r="D14" s="56">
        <v>307.58300000000003</v>
      </c>
      <c r="E14" s="56">
        <v>243.83799999999999</v>
      </c>
      <c r="F14" s="56">
        <v>218.34399999999999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769.76499999999999</v>
      </c>
      <c r="Q14" s="185">
        <v>1.3088418855349999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324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324</v>
      </c>
    </row>
    <row r="17" spans="1:17" ht="14.4" customHeight="1" x14ac:dyDescent="0.3">
      <c r="A17" s="19" t="s">
        <v>45</v>
      </c>
      <c r="B17" s="55">
        <v>1577.8268364083799</v>
      </c>
      <c r="C17" s="56">
        <v>131.48556970069799</v>
      </c>
      <c r="D17" s="56">
        <v>56.180869999999999</v>
      </c>
      <c r="E17" s="56">
        <v>36.444299999999998</v>
      </c>
      <c r="F17" s="56">
        <v>33.491549999999997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126.11672</v>
      </c>
      <c r="Q17" s="185">
        <v>0.31972258828299999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0.27200000000000002</v>
      </c>
      <c r="E18" s="56">
        <v>8.8670000000000009</v>
      </c>
      <c r="F18" s="56">
        <v>21.364999999999998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30.504000000000001</v>
      </c>
      <c r="Q18" s="185" t="s">
        <v>324</v>
      </c>
    </row>
    <row r="19" spans="1:17" ht="14.4" customHeight="1" x14ac:dyDescent="0.3">
      <c r="A19" s="19" t="s">
        <v>47</v>
      </c>
      <c r="B19" s="55">
        <v>2791.7504232320798</v>
      </c>
      <c r="C19" s="56">
        <v>232.645868602673</v>
      </c>
      <c r="D19" s="56">
        <v>253.54428999999999</v>
      </c>
      <c r="E19" s="56">
        <v>198.52265</v>
      </c>
      <c r="F19" s="56">
        <v>326.02189000000101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778.08883000000105</v>
      </c>
      <c r="Q19" s="185">
        <v>1.114840099637</v>
      </c>
    </row>
    <row r="20" spans="1:17" ht="14.4" customHeight="1" x14ac:dyDescent="0.3">
      <c r="A20" s="19" t="s">
        <v>48</v>
      </c>
      <c r="B20" s="55">
        <v>61104</v>
      </c>
      <c r="C20" s="56">
        <v>5092</v>
      </c>
      <c r="D20" s="56">
        <v>5247.5220200000003</v>
      </c>
      <c r="E20" s="56">
        <v>5005.2740400000002</v>
      </c>
      <c r="F20" s="56">
        <v>4914.9151100000099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15167.71117</v>
      </c>
      <c r="Q20" s="185">
        <v>0.99291117897299996</v>
      </c>
    </row>
    <row r="21" spans="1:17" ht="14.4" customHeight="1" x14ac:dyDescent="0.3">
      <c r="A21" s="20" t="s">
        <v>49</v>
      </c>
      <c r="B21" s="55">
        <v>5867.00000000001</v>
      </c>
      <c r="C21" s="56">
        <v>488.91666666666703</v>
      </c>
      <c r="D21" s="56">
        <v>514.26599999999996</v>
      </c>
      <c r="E21" s="56">
        <v>521.23299999999995</v>
      </c>
      <c r="F21" s="56">
        <v>505.21300000000099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1540.712</v>
      </c>
      <c r="Q21" s="185">
        <v>1.0504257712630001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43.407539999999997</v>
      </c>
      <c r="E22" s="56">
        <v>0</v>
      </c>
      <c r="F22" s="56">
        <v>12.269399999999999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55.676940000000002</v>
      </c>
      <c r="Q22" s="185" t="s">
        <v>324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324</v>
      </c>
    </row>
    <row r="24" spans="1:17" ht="14.4" customHeight="1" x14ac:dyDescent="0.3">
      <c r="A24" s="20" t="s">
        <v>52</v>
      </c>
      <c r="B24" s="55">
        <v>0</v>
      </c>
      <c r="C24" s="56">
        <v>-1.8189894035458601E-12</v>
      </c>
      <c r="D24" s="56">
        <v>-1.361770000001</v>
      </c>
      <c r="E24" s="56">
        <v>18.930019999997999</v>
      </c>
      <c r="F24" s="56">
        <v>9.0926799999989996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26.660929999996</v>
      </c>
      <c r="Q24" s="185"/>
    </row>
    <row r="25" spans="1:17" ht="14.4" customHeight="1" x14ac:dyDescent="0.3">
      <c r="A25" s="21" t="s">
        <v>53</v>
      </c>
      <c r="B25" s="58">
        <v>146272.61923672899</v>
      </c>
      <c r="C25" s="59">
        <v>12189.384936394001</v>
      </c>
      <c r="D25" s="59">
        <v>9118.7511900000009</v>
      </c>
      <c r="E25" s="59">
        <v>13618.599130000001</v>
      </c>
      <c r="F25" s="59">
        <v>12361.3171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35098.667419999998</v>
      </c>
      <c r="Q25" s="186">
        <v>0.95981510697299999</v>
      </c>
    </row>
    <row r="26" spans="1:17" ht="14.4" customHeight="1" x14ac:dyDescent="0.3">
      <c r="A26" s="19" t="s">
        <v>54</v>
      </c>
      <c r="B26" s="55">
        <v>10051.5228848226</v>
      </c>
      <c r="C26" s="56">
        <v>837.62690706855301</v>
      </c>
      <c r="D26" s="56">
        <v>849.73837000000003</v>
      </c>
      <c r="E26" s="56">
        <v>784.15480000000002</v>
      </c>
      <c r="F26" s="56">
        <v>808.11722999999995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2442.0104000000001</v>
      </c>
      <c r="Q26" s="185">
        <v>0.971797180579</v>
      </c>
    </row>
    <row r="27" spans="1:17" ht="14.4" customHeight="1" x14ac:dyDescent="0.3">
      <c r="A27" s="22" t="s">
        <v>55</v>
      </c>
      <c r="B27" s="58">
        <v>156324.14212155101</v>
      </c>
      <c r="C27" s="59">
        <v>13027.0118434626</v>
      </c>
      <c r="D27" s="59">
        <v>9968.48956</v>
      </c>
      <c r="E27" s="59">
        <v>14402.753930000001</v>
      </c>
      <c r="F27" s="59">
        <v>13169.43433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37540.677819999997</v>
      </c>
      <c r="Q27" s="186">
        <v>0.96058554515000005</v>
      </c>
    </row>
    <row r="28" spans="1:17" ht="14.4" customHeight="1" x14ac:dyDescent="0.3">
      <c r="A28" s="20" t="s">
        <v>56</v>
      </c>
      <c r="B28" s="55">
        <v>12.611121869798</v>
      </c>
      <c r="C28" s="56">
        <v>1.050926822483</v>
      </c>
      <c r="D28" s="56">
        <v>160.44963999999999</v>
      </c>
      <c r="E28" s="56">
        <v>0.49256</v>
      </c>
      <c r="F28" s="56">
        <v>34.585729999999998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195.52793</v>
      </c>
      <c r="Q28" s="185">
        <v>62.017616519352003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324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324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202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288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38" t="s">
        <v>61</v>
      </c>
      <c r="B1" s="538"/>
      <c r="C1" s="538"/>
      <c r="D1" s="538"/>
      <c r="E1" s="538"/>
      <c r="F1" s="538"/>
      <c r="G1" s="538"/>
      <c r="H1" s="543"/>
      <c r="I1" s="543"/>
      <c r="J1" s="543"/>
      <c r="K1" s="543"/>
    </row>
    <row r="2" spans="1:11" s="64" customFormat="1" ht="14.4" customHeight="1" thickBot="1" x14ac:dyDescent="0.35">
      <c r="A2" s="374" t="s">
        <v>323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39" t="s">
        <v>62</v>
      </c>
      <c r="C3" s="540"/>
      <c r="D3" s="540"/>
      <c r="E3" s="540"/>
      <c r="F3" s="546" t="s">
        <v>63</v>
      </c>
      <c r="G3" s="540"/>
      <c r="H3" s="540"/>
      <c r="I3" s="540"/>
      <c r="J3" s="540"/>
      <c r="K3" s="547"/>
    </row>
    <row r="4" spans="1:11" ht="14.4" customHeight="1" x14ac:dyDescent="0.3">
      <c r="A4" s="102"/>
      <c r="B4" s="544"/>
      <c r="C4" s="545"/>
      <c r="D4" s="545"/>
      <c r="E4" s="545"/>
      <c r="F4" s="548" t="s">
        <v>289</v>
      </c>
      <c r="G4" s="550" t="s">
        <v>64</v>
      </c>
      <c r="H4" s="259" t="s">
        <v>183</v>
      </c>
      <c r="I4" s="548" t="s">
        <v>65</v>
      </c>
      <c r="J4" s="550" t="s">
        <v>299</v>
      </c>
      <c r="K4" s="551" t="s">
        <v>290</v>
      </c>
    </row>
    <row r="5" spans="1:11" ht="42" thickBot="1" x14ac:dyDescent="0.35">
      <c r="A5" s="103"/>
      <c r="B5" s="28" t="s">
        <v>292</v>
      </c>
      <c r="C5" s="29" t="s">
        <v>293</v>
      </c>
      <c r="D5" s="30" t="s">
        <v>294</v>
      </c>
      <c r="E5" s="30" t="s">
        <v>295</v>
      </c>
      <c r="F5" s="549"/>
      <c r="G5" s="549"/>
      <c r="H5" s="29" t="s">
        <v>291</v>
      </c>
      <c r="I5" s="549"/>
      <c r="J5" s="549"/>
      <c r="K5" s="552"/>
    </row>
    <row r="6" spans="1:11" ht="14.4" customHeight="1" thickBot="1" x14ac:dyDescent="0.35">
      <c r="A6" s="698" t="s">
        <v>326</v>
      </c>
      <c r="B6" s="680">
        <v>144668.51146517601</v>
      </c>
      <c r="C6" s="680">
        <v>142139.79307000001</v>
      </c>
      <c r="D6" s="681">
        <v>-2528.7183951759098</v>
      </c>
      <c r="E6" s="682">
        <v>0.98252060265499996</v>
      </c>
      <c r="F6" s="680">
        <v>146272.61923672899</v>
      </c>
      <c r="G6" s="681">
        <v>36568.154809182102</v>
      </c>
      <c r="H6" s="683">
        <v>12361.3171</v>
      </c>
      <c r="I6" s="680">
        <v>35098.667419999998</v>
      </c>
      <c r="J6" s="681">
        <v>-1469.4873891821301</v>
      </c>
      <c r="K6" s="684">
        <v>0.239953776743</v>
      </c>
    </row>
    <row r="7" spans="1:11" ht="14.4" customHeight="1" thickBot="1" x14ac:dyDescent="0.35">
      <c r="A7" s="699" t="s">
        <v>327</v>
      </c>
      <c r="B7" s="680">
        <v>77960.997751830597</v>
      </c>
      <c r="C7" s="680">
        <v>70491.885179999997</v>
      </c>
      <c r="D7" s="681">
        <v>-7469.1125718306102</v>
      </c>
      <c r="E7" s="682">
        <v>0.90419424087400002</v>
      </c>
      <c r="F7" s="680">
        <v>74932.041977088098</v>
      </c>
      <c r="G7" s="681">
        <v>18733.010494271999</v>
      </c>
      <c r="H7" s="683">
        <v>6538.9491500000104</v>
      </c>
      <c r="I7" s="680">
        <v>17373.19975</v>
      </c>
      <c r="J7" s="681">
        <v>-1359.81074427201</v>
      </c>
      <c r="K7" s="684">
        <v>0.23185274672299999</v>
      </c>
    </row>
    <row r="8" spans="1:11" ht="14.4" customHeight="1" thickBot="1" x14ac:dyDescent="0.35">
      <c r="A8" s="700" t="s">
        <v>328</v>
      </c>
      <c r="B8" s="680">
        <v>75576.859114537598</v>
      </c>
      <c r="C8" s="680">
        <v>68162.536179999996</v>
      </c>
      <c r="D8" s="681">
        <v>-7414.3229345376203</v>
      </c>
      <c r="E8" s="682">
        <v>0.90189691631199997</v>
      </c>
      <c r="F8" s="680">
        <v>72579.534746055899</v>
      </c>
      <c r="G8" s="681">
        <v>18144.883686514</v>
      </c>
      <c r="H8" s="683">
        <v>6320.6051500000103</v>
      </c>
      <c r="I8" s="680">
        <v>16603.43475</v>
      </c>
      <c r="J8" s="681">
        <v>-1541.44893651396</v>
      </c>
      <c r="K8" s="684">
        <v>0.22876193417400001</v>
      </c>
    </row>
    <row r="9" spans="1:11" ht="14.4" customHeight="1" thickBot="1" x14ac:dyDescent="0.35">
      <c r="A9" s="701" t="s">
        <v>329</v>
      </c>
      <c r="B9" s="685">
        <v>0</v>
      </c>
      <c r="C9" s="685">
        <v>1.56E-3</v>
      </c>
      <c r="D9" s="686">
        <v>1.56E-3</v>
      </c>
      <c r="E9" s="687" t="s">
        <v>324</v>
      </c>
      <c r="F9" s="685">
        <v>0</v>
      </c>
      <c r="G9" s="686">
        <v>0</v>
      </c>
      <c r="H9" s="688">
        <v>6.8000000000000005E-4</v>
      </c>
      <c r="I9" s="685">
        <v>2.9199999999999999E-3</v>
      </c>
      <c r="J9" s="686">
        <v>2.9199999999999999E-3</v>
      </c>
      <c r="K9" s="689" t="s">
        <v>324</v>
      </c>
    </row>
    <row r="10" spans="1:11" ht="14.4" customHeight="1" thickBot="1" x14ac:dyDescent="0.35">
      <c r="A10" s="702" t="s">
        <v>330</v>
      </c>
      <c r="B10" s="680">
        <v>0</v>
      </c>
      <c r="C10" s="680">
        <v>1.56E-3</v>
      </c>
      <c r="D10" s="681">
        <v>1.56E-3</v>
      </c>
      <c r="E10" s="690" t="s">
        <v>324</v>
      </c>
      <c r="F10" s="680">
        <v>0</v>
      </c>
      <c r="G10" s="681">
        <v>0</v>
      </c>
      <c r="H10" s="683">
        <v>6.8000000000000005E-4</v>
      </c>
      <c r="I10" s="680">
        <v>2.9199999999999999E-3</v>
      </c>
      <c r="J10" s="681">
        <v>2.9199999999999999E-3</v>
      </c>
      <c r="K10" s="691" t="s">
        <v>324</v>
      </c>
    </row>
    <row r="11" spans="1:11" ht="14.4" customHeight="1" thickBot="1" x14ac:dyDescent="0.35">
      <c r="A11" s="701" t="s">
        <v>331</v>
      </c>
      <c r="B11" s="685">
        <v>6055.0659023775997</v>
      </c>
      <c r="C11" s="685">
        <v>6136.4528399999999</v>
      </c>
      <c r="D11" s="686">
        <v>81.386937622402002</v>
      </c>
      <c r="E11" s="692">
        <v>1.013441131597</v>
      </c>
      <c r="F11" s="685">
        <v>6982.8366593399196</v>
      </c>
      <c r="G11" s="686">
        <v>1745.7091648349799</v>
      </c>
      <c r="H11" s="688">
        <v>515.23477000000105</v>
      </c>
      <c r="I11" s="685">
        <v>1937.98649</v>
      </c>
      <c r="J11" s="686">
        <v>192.27732516501999</v>
      </c>
      <c r="K11" s="693">
        <v>0.27753570426200003</v>
      </c>
    </row>
    <row r="12" spans="1:11" ht="14.4" customHeight="1" thickBot="1" x14ac:dyDescent="0.35">
      <c r="A12" s="702" t="s">
        <v>332</v>
      </c>
      <c r="B12" s="680">
        <v>4100.0662194257302</v>
      </c>
      <c r="C12" s="680">
        <v>4227.8145999999997</v>
      </c>
      <c r="D12" s="681">
        <v>127.748380574267</v>
      </c>
      <c r="E12" s="682">
        <v>1.0311576383729999</v>
      </c>
      <c r="F12" s="680">
        <v>5004.4693410193504</v>
      </c>
      <c r="G12" s="681">
        <v>1251.1173352548401</v>
      </c>
      <c r="H12" s="683">
        <v>354.53327000000098</v>
      </c>
      <c r="I12" s="680">
        <v>1333.7968800000001</v>
      </c>
      <c r="J12" s="681">
        <v>82.679544745160996</v>
      </c>
      <c r="K12" s="684">
        <v>0.26652114122600001</v>
      </c>
    </row>
    <row r="13" spans="1:11" ht="14.4" customHeight="1" thickBot="1" x14ac:dyDescent="0.35">
      <c r="A13" s="702" t="s">
        <v>333</v>
      </c>
      <c r="B13" s="680">
        <v>195.00001760449999</v>
      </c>
      <c r="C13" s="680">
        <v>191.5249</v>
      </c>
      <c r="D13" s="681">
        <v>-3.4751176044990002</v>
      </c>
      <c r="E13" s="682">
        <v>0.98217888568800005</v>
      </c>
      <c r="F13" s="680">
        <v>220.11608187221799</v>
      </c>
      <c r="G13" s="681">
        <v>55.029020468054</v>
      </c>
      <c r="H13" s="683">
        <v>27.3339</v>
      </c>
      <c r="I13" s="680">
        <v>107.15747</v>
      </c>
      <c r="J13" s="681">
        <v>52.128449531945002</v>
      </c>
      <c r="K13" s="684">
        <v>0.48682253967299999</v>
      </c>
    </row>
    <row r="14" spans="1:11" ht="14.4" customHeight="1" thickBot="1" x14ac:dyDescent="0.35">
      <c r="A14" s="702" t="s">
        <v>334</v>
      </c>
      <c r="B14" s="680">
        <v>190.00001715310199</v>
      </c>
      <c r="C14" s="680">
        <v>163.76140000000001</v>
      </c>
      <c r="D14" s="681">
        <v>-26.238617153101</v>
      </c>
      <c r="E14" s="682">
        <v>0.86190202745099997</v>
      </c>
      <c r="F14" s="680">
        <v>160</v>
      </c>
      <c r="G14" s="681">
        <v>40</v>
      </c>
      <c r="H14" s="683">
        <v>28.643239999999999</v>
      </c>
      <c r="I14" s="680">
        <v>62.92803</v>
      </c>
      <c r="J14" s="681">
        <v>22.92803</v>
      </c>
      <c r="K14" s="684">
        <v>0.39330018750000001</v>
      </c>
    </row>
    <row r="15" spans="1:11" ht="14.4" customHeight="1" thickBot="1" x14ac:dyDescent="0.35">
      <c r="A15" s="702" t="s">
        <v>335</v>
      </c>
      <c r="B15" s="680">
        <v>530.000047848127</v>
      </c>
      <c r="C15" s="680">
        <v>537.89498000000003</v>
      </c>
      <c r="D15" s="681">
        <v>7.8949321518730002</v>
      </c>
      <c r="E15" s="682">
        <v>1.014896097054</v>
      </c>
      <c r="F15" s="680">
        <v>560</v>
      </c>
      <c r="G15" s="681">
        <v>140</v>
      </c>
      <c r="H15" s="683">
        <v>44.147919999999999</v>
      </c>
      <c r="I15" s="680">
        <v>147.47752</v>
      </c>
      <c r="J15" s="681">
        <v>7.4775200000000002</v>
      </c>
      <c r="K15" s="684">
        <v>0.26335271428500001</v>
      </c>
    </row>
    <row r="16" spans="1:11" ht="14.4" customHeight="1" thickBot="1" x14ac:dyDescent="0.35">
      <c r="A16" s="702" t="s">
        <v>336</v>
      </c>
      <c r="B16" s="680">
        <v>18.000001625029999</v>
      </c>
      <c r="C16" s="680">
        <v>12.83197</v>
      </c>
      <c r="D16" s="681">
        <v>-5.1680316250300002</v>
      </c>
      <c r="E16" s="682">
        <v>0.71288715786300005</v>
      </c>
      <c r="F16" s="680">
        <v>18.463462741886001</v>
      </c>
      <c r="G16" s="681">
        <v>4.6158656854710003</v>
      </c>
      <c r="H16" s="683">
        <v>0</v>
      </c>
      <c r="I16" s="680">
        <v>0</v>
      </c>
      <c r="J16" s="681">
        <v>-4.6158656854710003</v>
      </c>
      <c r="K16" s="684">
        <v>0</v>
      </c>
    </row>
    <row r="17" spans="1:11" ht="14.4" customHeight="1" thickBot="1" x14ac:dyDescent="0.35">
      <c r="A17" s="702" t="s">
        <v>337</v>
      </c>
      <c r="B17" s="680">
        <v>0</v>
      </c>
      <c r="C17" s="680">
        <v>101.21415</v>
      </c>
      <c r="D17" s="681">
        <v>101.21415</v>
      </c>
      <c r="E17" s="690" t="s">
        <v>338</v>
      </c>
      <c r="F17" s="680">
        <v>130</v>
      </c>
      <c r="G17" s="681">
        <v>32.5</v>
      </c>
      <c r="H17" s="683">
        <v>0</v>
      </c>
      <c r="I17" s="680">
        <v>0</v>
      </c>
      <c r="J17" s="681">
        <v>-32.5</v>
      </c>
      <c r="K17" s="684">
        <v>0</v>
      </c>
    </row>
    <row r="18" spans="1:11" ht="14.4" customHeight="1" thickBot="1" x14ac:dyDescent="0.35">
      <c r="A18" s="702" t="s">
        <v>339</v>
      </c>
      <c r="B18" s="680">
        <v>500.00004513974199</v>
      </c>
      <c r="C18" s="680">
        <v>342.15726999999998</v>
      </c>
      <c r="D18" s="681">
        <v>-157.842775139742</v>
      </c>
      <c r="E18" s="682">
        <v>0.68431447822000002</v>
      </c>
      <c r="F18" s="680">
        <v>369.69785615866499</v>
      </c>
      <c r="G18" s="681">
        <v>92.424464039666006</v>
      </c>
      <c r="H18" s="683">
        <v>42.481499999999997</v>
      </c>
      <c r="I18" s="680">
        <v>210.44577000000001</v>
      </c>
      <c r="J18" s="681">
        <v>118.021305960334</v>
      </c>
      <c r="K18" s="684">
        <v>0.56923719327599998</v>
      </c>
    </row>
    <row r="19" spans="1:11" ht="14.4" customHeight="1" thickBot="1" x14ac:dyDescent="0.35">
      <c r="A19" s="702" t="s">
        <v>340</v>
      </c>
      <c r="B19" s="680">
        <v>14.999507809662999</v>
      </c>
      <c r="C19" s="680">
        <v>59.708280000000002</v>
      </c>
      <c r="D19" s="681">
        <v>44.708772190337001</v>
      </c>
      <c r="E19" s="682">
        <v>3.9806826169009999</v>
      </c>
      <c r="F19" s="680">
        <v>15.089917547799001</v>
      </c>
      <c r="G19" s="681">
        <v>3.7724793869490001</v>
      </c>
      <c r="H19" s="683">
        <v>1.3915</v>
      </c>
      <c r="I19" s="680">
        <v>2.8290000000000002</v>
      </c>
      <c r="J19" s="681">
        <v>-0.94347938694900002</v>
      </c>
      <c r="K19" s="684">
        <v>0.18747617348000001</v>
      </c>
    </row>
    <row r="20" spans="1:11" ht="14.4" customHeight="1" thickBot="1" x14ac:dyDescent="0.35">
      <c r="A20" s="702" t="s">
        <v>341</v>
      </c>
      <c r="B20" s="680">
        <v>227.000020493443</v>
      </c>
      <c r="C20" s="680">
        <v>229.39304000000001</v>
      </c>
      <c r="D20" s="681">
        <v>2.393019506556</v>
      </c>
      <c r="E20" s="682">
        <v>1.0105419352</v>
      </c>
      <c r="F20" s="680">
        <v>230</v>
      </c>
      <c r="G20" s="681">
        <v>57.5</v>
      </c>
      <c r="H20" s="683">
        <v>0</v>
      </c>
      <c r="I20" s="680">
        <v>0</v>
      </c>
      <c r="J20" s="681">
        <v>-57.5</v>
      </c>
      <c r="K20" s="684">
        <v>0</v>
      </c>
    </row>
    <row r="21" spans="1:11" ht="14.4" customHeight="1" thickBot="1" x14ac:dyDescent="0.35">
      <c r="A21" s="702" t="s">
        <v>342</v>
      </c>
      <c r="B21" s="680">
        <v>280.00002527825598</v>
      </c>
      <c r="C21" s="680">
        <v>270.15224999999998</v>
      </c>
      <c r="D21" s="681">
        <v>-9.847775278256</v>
      </c>
      <c r="E21" s="682">
        <v>0.96482937718100004</v>
      </c>
      <c r="F21" s="680">
        <v>275</v>
      </c>
      <c r="G21" s="681">
        <v>68.75</v>
      </c>
      <c r="H21" s="683">
        <v>16.703440000000001</v>
      </c>
      <c r="I21" s="680">
        <v>73.351820000000004</v>
      </c>
      <c r="J21" s="681">
        <v>4.60182</v>
      </c>
      <c r="K21" s="684">
        <v>0.26673389090900002</v>
      </c>
    </row>
    <row r="22" spans="1:11" ht="14.4" customHeight="1" thickBot="1" x14ac:dyDescent="0.35">
      <c r="A22" s="701" t="s">
        <v>343</v>
      </c>
      <c r="B22" s="685">
        <v>1206.9406546120099</v>
      </c>
      <c r="C22" s="685">
        <v>1078.2550000000001</v>
      </c>
      <c r="D22" s="686">
        <v>-128.68565461200899</v>
      </c>
      <c r="E22" s="692">
        <v>0.89337863952100005</v>
      </c>
      <c r="F22" s="685">
        <v>1062.54336832134</v>
      </c>
      <c r="G22" s="686">
        <v>265.63584208033598</v>
      </c>
      <c r="H22" s="688">
        <v>82.16</v>
      </c>
      <c r="I22" s="685">
        <v>226.32</v>
      </c>
      <c r="J22" s="686">
        <v>-39.315842080335003</v>
      </c>
      <c r="K22" s="693">
        <v>0.21299836481699999</v>
      </c>
    </row>
    <row r="23" spans="1:11" ht="14.4" customHeight="1" thickBot="1" x14ac:dyDescent="0.35">
      <c r="A23" s="702" t="s">
        <v>344</v>
      </c>
      <c r="B23" s="680">
        <v>957.89779568164602</v>
      </c>
      <c r="C23" s="680">
        <v>878.29300000000103</v>
      </c>
      <c r="D23" s="681">
        <v>-79.604795681645001</v>
      </c>
      <c r="E23" s="682">
        <v>0.91689635779400003</v>
      </c>
      <c r="F23" s="680">
        <v>849.46118815901605</v>
      </c>
      <c r="G23" s="681">
        <v>212.36529703975401</v>
      </c>
      <c r="H23" s="683">
        <v>67.55</v>
      </c>
      <c r="I23" s="680">
        <v>187.55</v>
      </c>
      <c r="J23" s="681">
        <v>-24.815297039752998</v>
      </c>
      <c r="K23" s="684">
        <v>0.220787014891</v>
      </c>
    </row>
    <row r="24" spans="1:11" ht="14.4" customHeight="1" thickBot="1" x14ac:dyDescent="0.35">
      <c r="A24" s="702" t="s">
        <v>345</v>
      </c>
      <c r="B24" s="680">
        <v>249.04285893036399</v>
      </c>
      <c r="C24" s="680">
        <v>199.96199999999999</v>
      </c>
      <c r="D24" s="681">
        <v>-49.080858930363</v>
      </c>
      <c r="E24" s="682">
        <v>0.802922038635</v>
      </c>
      <c r="F24" s="680">
        <v>213.082180162328</v>
      </c>
      <c r="G24" s="681">
        <v>53.270545040582</v>
      </c>
      <c r="H24" s="683">
        <v>14.61</v>
      </c>
      <c r="I24" s="680">
        <v>38.770000000000003</v>
      </c>
      <c r="J24" s="681">
        <v>-14.500545040581001</v>
      </c>
      <c r="K24" s="684">
        <v>0.181948579512</v>
      </c>
    </row>
    <row r="25" spans="1:11" ht="14.4" customHeight="1" thickBot="1" x14ac:dyDescent="0.35">
      <c r="A25" s="701" t="s">
        <v>346</v>
      </c>
      <c r="B25" s="685">
        <v>64424.595270385696</v>
      </c>
      <c r="C25" s="685">
        <v>56766.468209999999</v>
      </c>
      <c r="D25" s="686">
        <v>-7658.1270603856801</v>
      </c>
      <c r="E25" s="692">
        <v>0.88113038152199996</v>
      </c>
      <c r="F25" s="685">
        <v>60421.215180798099</v>
      </c>
      <c r="G25" s="686">
        <v>15105.303795199499</v>
      </c>
      <c r="H25" s="688">
        <v>5410.4221300000099</v>
      </c>
      <c r="I25" s="685">
        <v>13487.94109</v>
      </c>
      <c r="J25" s="686">
        <v>-1617.3627051994999</v>
      </c>
      <c r="K25" s="693">
        <v>0.223231873931</v>
      </c>
    </row>
    <row r="26" spans="1:11" ht="14.4" customHeight="1" thickBot="1" x14ac:dyDescent="0.35">
      <c r="A26" s="702" t="s">
        <v>347</v>
      </c>
      <c r="B26" s="680">
        <v>19949.230682131401</v>
      </c>
      <c r="C26" s="680">
        <v>16135.41282</v>
      </c>
      <c r="D26" s="681">
        <v>-3813.8178621314401</v>
      </c>
      <c r="E26" s="682">
        <v>0.80882381266199999</v>
      </c>
      <c r="F26" s="680">
        <v>17900</v>
      </c>
      <c r="G26" s="681">
        <v>4475</v>
      </c>
      <c r="H26" s="683">
        <v>1121.4815100000001</v>
      </c>
      <c r="I26" s="680">
        <v>3081.0217499999999</v>
      </c>
      <c r="J26" s="681">
        <v>-1393.9782499999999</v>
      </c>
      <c r="K26" s="684">
        <v>0.17212412011100001</v>
      </c>
    </row>
    <row r="27" spans="1:11" ht="14.4" customHeight="1" thickBot="1" x14ac:dyDescent="0.35">
      <c r="A27" s="702" t="s">
        <v>348</v>
      </c>
      <c r="B27" s="680">
        <v>9000.0008125153599</v>
      </c>
      <c r="C27" s="680">
        <v>7757.15272000001</v>
      </c>
      <c r="D27" s="681">
        <v>-1242.8480925153499</v>
      </c>
      <c r="E27" s="682">
        <v>0.86190577996499995</v>
      </c>
      <c r="F27" s="680">
        <v>7999.6666666666697</v>
      </c>
      <c r="G27" s="681">
        <v>1999.9166666666699</v>
      </c>
      <c r="H27" s="683">
        <v>1.0000000000000001E-5</v>
      </c>
      <c r="I27" s="680">
        <v>918.90311999999994</v>
      </c>
      <c r="J27" s="681">
        <v>-1081.01354666667</v>
      </c>
      <c r="K27" s="684">
        <v>0.114867676153</v>
      </c>
    </row>
    <row r="28" spans="1:11" ht="14.4" customHeight="1" thickBot="1" x14ac:dyDescent="0.35">
      <c r="A28" s="702" t="s">
        <v>349</v>
      </c>
      <c r="B28" s="680">
        <v>23499.6115522691</v>
      </c>
      <c r="C28" s="680">
        <v>22931.32116</v>
      </c>
      <c r="D28" s="681">
        <v>-568.29039226909697</v>
      </c>
      <c r="E28" s="682">
        <v>0.97581703037900003</v>
      </c>
      <c r="F28" s="680">
        <v>23500.333333333299</v>
      </c>
      <c r="G28" s="681">
        <v>5875.0833333333303</v>
      </c>
      <c r="H28" s="683">
        <v>3672.2707400000099</v>
      </c>
      <c r="I28" s="680">
        <v>7210.76775000001</v>
      </c>
      <c r="J28" s="681">
        <v>1335.6844166666699</v>
      </c>
      <c r="K28" s="684">
        <v>0.306836828555</v>
      </c>
    </row>
    <row r="29" spans="1:11" ht="14.4" customHeight="1" thickBot="1" x14ac:dyDescent="0.35">
      <c r="A29" s="702" t="s">
        <v>350</v>
      </c>
      <c r="B29" s="680">
        <v>2392.94446862932</v>
      </c>
      <c r="C29" s="680">
        <v>1565.1293499999999</v>
      </c>
      <c r="D29" s="681">
        <v>-827.81511862931495</v>
      </c>
      <c r="E29" s="682">
        <v>0.65406003796500001</v>
      </c>
      <c r="F29" s="680">
        <v>2100</v>
      </c>
      <c r="G29" s="681">
        <v>525</v>
      </c>
      <c r="H29" s="683">
        <v>116.71026000000001</v>
      </c>
      <c r="I29" s="680">
        <v>328.74392</v>
      </c>
      <c r="J29" s="681">
        <v>-196.25608</v>
      </c>
      <c r="K29" s="684">
        <v>0.156544723809</v>
      </c>
    </row>
    <row r="30" spans="1:11" ht="14.4" customHeight="1" thickBot="1" x14ac:dyDescent="0.35">
      <c r="A30" s="702" t="s">
        <v>351</v>
      </c>
      <c r="B30" s="680">
        <v>15.000001354191999</v>
      </c>
      <c r="C30" s="680">
        <v>15.23138</v>
      </c>
      <c r="D30" s="681">
        <v>0.23137864580699999</v>
      </c>
      <c r="E30" s="682">
        <v>1.0154252416609999</v>
      </c>
      <c r="F30" s="680">
        <v>20</v>
      </c>
      <c r="G30" s="681">
        <v>5</v>
      </c>
      <c r="H30" s="683">
        <v>2.0816400000000002</v>
      </c>
      <c r="I30" s="680">
        <v>3.55348</v>
      </c>
      <c r="J30" s="681">
        <v>-1.44652</v>
      </c>
      <c r="K30" s="684">
        <v>0.177674</v>
      </c>
    </row>
    <row r="31" spans="1:11" ht="14.4" customHeight="1" thickBot="1" x14ac:dyDescent="0.35">
      <c r="A31" s="702" t="s">
        <v>352</v>
      </c>
      <c r="B31" s="680">
        <v>2.0000001805580001</v>
      </c>
      <c r="C31" s="680">
        <v>0.31841999999999998</v>
      </c>
      <c r="D31" s="681">
        <v>-1.681580180558</v>
      </c>
      <c r="E31" s="682">
        <v>0.159209985626</v>
      </c>
      <c r="F31" s="680">
        <v>0.30759026297600001</v>
      </c>
      <c r="G31" s="681">
        <v>7.6897565744000002E-2</v>
      </c>
      <c r="H31" s="683">
        <v>0</v>
      </c>
      <c r="I31" s="680">
        <v>0</v>
      </c>
      <c r="J31" s="681">
        <v>-7.6897565744000002E-2</v>
      </c>
      <c r="K31" s="684">
        <v>0</v>
      </c>
    </row>
    <row r="32" spans="1:11" ht="14.4" customHeight="1" thickBot="1" x14ac:dyDescent="0.35">
      <c r="A32" s="702" t="s">
        <v>353</v>
      </c>
      <c r="B32" s="680">
        <v>1350.0001218773</v>
      </c>
      <c r="C32" s="680">
        <v>1442.3925099999999</v>
      </c>
      <c r="D32" s="681">
        <v>92.392388122696005</v>
      </c>
      <c r="E32" s="682">
        <v>1.0684387998380001</v>
      </c>
      <c r="F32" s="680">
        <v>1410</v>
      </c>
      <c r="G32" s="681">
        <v>352.5</v>
      </c>
      <c r="H32" s="683">
        <v>103.52458</v>
      </c>
      <c r="I32" s="680">
        <v>325.92579999999998</v>
      </c>
      <c r="J32" s="681">
        <v>-26.574199999998999</v>
      </c>
      <c r="K32" s="684">
        <v>0.231153049645</v>
      </c>
    </row>
    <row r="33" spans="1:11" ht="14.4" customHeight="1" thickBot="1" x14ac:dyDescent="0.35">
      <c r="A33" s="702" t="s">
        <v>354</v>
      </c>
      <c r="B33" s="680">
        <v>4200.00037917384</v>
      </c>
      <c r="C33" s="680">
        <v>3350.5506</v>
      </c>
      <c r="D33" s="681">
        <v>-849.44977917383301</v>
      </c>
      <c r="E33" s="682">
        <v>0.79775007083600002</v>
      </c>
      <c r="F33" s="680">
        <v>3540.9075905350901</v>
      </c>
      <c r="G33" s="681">
        <v>885.22689763377196</v>
      </c>
      <c r="H33" s="683">
        <v>184.95937000000001</v>
      </c>
      <c r="I33" s="680">
        <v>728.94584999999995</v>
      </c>
      <c r="J33" s="681">
        <v>-156.28104763377101</v>
      </c>
      <c r="K33" s="684">
        <v>0.205864127024</v>
      </c>
    </row>
    <row r="34" spans="1:11" ht="14.4" customHeight="1" thickBot="1" x14ac:dyDescent="0.35">
      <c r="A34" s="702" t="s">
        <v>355</v>
      </c>
      <c r="B34" s="680">
        <v>100.000009027948</v>
      </c>
      <c r="C34" s="680">
        <v>88.140020000000007</v>
      </c>
      <c r="D34" s="681">
        <v>-11.859989027948</v>
      </c>
      <c r="E34" s="682">
        <v>0.881400120427</v>
      </c>
      <c r="F34" s="680">
        <v>90</v>
      </c>
      <c r="G34" s="681">
        <v>22.5</v>
      </c>
      <c r="H34" s="683">
        <v>8.7119999999999997</v>
      </c>
      <c r="I34" s="680">
        <v>19.543659999999999</v>
      </c>
      <c r="J34" s="681">
        <v>-2.9563399999989999</v>
      </c>
      <c r="K34" s="684">
        <v>0.21715177777700001</v>
      </c>
    </row>
    <row r="35" spans="1:11" ht="14.4" customHeight="1" thickBot="1" x14ac:dyDescent="0.35">
      <c r="A35" s="702" t="s">
        <v>356</v>
      </c>
      <c r="B35" s="680">
        <v>740.00006680681895</v>
      </c>
      <c r="C35" s="680">
        <v>701.37275</v>
      </c>
      <c r="D35" s="681">
        <v>-38.627316806818001</v>
      </c>
      <c r="E35" s="682">
        <v>0.94780092794600002</v>
      </c>
      <c r="F35" s="680">
        <v>740</v>
      </c>
      <c r="G35" s="681">
        <v>185</v>
      </c>
      <c r="H35" s="683">
        <v>58.849139999999998</v>
      </c>
      <c r="I35" s="680">
        <v>177.59923000000001</v>
      </c>
      <c r="J35" s="681">
        <v>-7.4007699999990004</v>
      </c>
      <c r="K35" s="684">
        <v>0.23999895945899999</v>
      </c>
    </row>
    <row r="36" spans="1:11" ht="14.4" customHeight="1" thickBot="1" x14ac:dyDescent="0.35">
      <c r="A36" s="702" t="s">
        <v>357</v>
      </c>
      <c r="B36" s="680">
        <v>100.000009027948</v>
      </c>
      <c r="C36" s="680">
        <v>89.062280000000001</v>
      </c>
      <c r="D36" s="681">
        <v>-10.937729027948</v>
      </c>
      <c r="E36" s="682">
        <v>0.89062271959499995</v>
      </c>
      <c r="F36" s="680">
        <v>100</v>
      </c>
      <c r="G36" s="681">
        <v>25</v>
      </c>
      <c r="H36" s="683">
        <v>5.3092699999999997</v>
      </c>
      <c r="I36" s="680">
        <v>16.663450000000001</v>
      </c>
      <c r="J36" s="681">
        <v>-8.3365499999990007</v>
      </c>
      <c r="K36" s="684">
        <v>0.16663449999999999</v>
      </c>
    </row>
    <row r="37" spans="1:11" ht="14.4" customHeight="1" thickBot="1" x14ac:dyDescent="0.35">
      <c r="A37" s="702" t="s">
        <v>358</v>
      </c>
      <c r="B37" s="680">
        <v>360.000032500614</v>
      </c>
      <c r="C37" s="680">
        <v>304.63096999999999</v>
      </c>
      <c r="D37" s="681">
        <v>-55.369062500614</v>
      </c>
      <c r="E37" s="682">
        <v>0.84619706249399995</v>
      </c>
      <c r="F37" s="680">
        <v>300</v>
      </c>
      <c r="G37" s="681">
        <v>75</v>
      </c>
      <c r="H37" s="683">
        <v>24.744700000000002</v>
      </c>
      <c r="I37" s="680">
        <v>113.40173</v>
      </c>
      <c r="J37" s="681">
        <v>38.401730000000001</v>
      </c>
      <c r="K37" s="684">
        <v>0.378005766666</v>
      </c>
    </row>
    <row r="38" spans="1:11" ht="14.4" customHeight="1" thickBot="1" x14ac:dyDescent="0.35">
      <c r="A38" s="702" t="s">
        <v>359</v>
      </c>
      <c r="B38" s="680">
        <v>300.000027083845</v>
      </c>
      <c r="C38" s="680">
        <v>277.61730999999997</v>
      </c>
      <c r="D38" s="681">
        <v>-22.382717083845002</v>
      </c>
      <c r="E38" s="682">
        <v>0.92539094978900005</v>
      </c>
      <c r="F38" s="680">
        <v>300</v>
      </c>
      <c r="G38" s="681">
        <v>75</v>
      </c>
      <c r="H38" s="683">
        <v>0</v>
      </c>
      <c r="I38" s="680">
        <v>0</v>
      </c>
      <c r="J38" s="681">
        <v>-75</v>
      </c>
      <c r="K38" s="684">
        <v>0</v>
      </c>
    </row>
    <row r="39" spans="1:11" ht="14.4" customHeight="1" thickBot="1" x14ac:dyDescent="0.35">
      <c r="A39" s="702" t="s">
        <v>360</v>
      </c>
      <c r="B39" s="680">
        <v>2095.8070789180001</v>
      </c>
      <c r="C39" s="680">
        <v>1680.0546200000001</v>
      </c>
      <c r="D39" s="681">
        <v>-415.75245891799801</v>
      </c>
      <c r="E39" s="682">
        <v>0.801626560431</v>
      </c>
      <c r="F39" s="680">
        <v>2000</v>
      </c>
      <c r="G39" s="681">
        <v>500</v>
      </c>
      <c r="H39" s="683">
        <v>95.446600000000004</v>
      </c>
      <c r="I39" s="680">
        <v>495.42102999999997</v>
      </c>
      <c r="J39" s="681">
        <v>-4.5789699999989999</v>
      </c>
      <c r="K39" s="684">
        <v>0.24771051499999999</v>
      </c>
    </row>
    <row r="40" spans="1:11" ht="14.4" customHeight="1" thickBot="1" x14ac:dyDescent="0.35">
      <c r="A40" s="702" t="s">
        <v>361</v>
      </c>
      <c r="B40" s="680">
        <v>320.00002888943499</v>
      </c>
      <c r="C40" s="680">
        <v>413.57121999999998</v>
      </c>
      <c r="D40" s="681">
        <v>93.571191110564996</v>
      </c>
      <c r="E40" s="682">
        <v>1.2924099458210001</v>
      </c>
      <c r="F40" s="680">
        <v>400</v>
      </c>
      <c r="G40" s="681">
        <v>100</v>
      </c>
      <c r="H40" s="683">
        <v>16.33231</v>
      </c>
      <c r="I40" s="680">
        <v>67.450320000000005</v>
      </c>
      <c r="J40" s="681">
        <v>-32.549680000000002</v>
      </c>
      <c r="K40" s="684">
        <v>0.16862579999999999</v>
      </c>
    </row>
    <row r="41" spans="1:11" ht="14.4" customHeight="1" thickBot="1" x14ac:dyDescent="0.35">
      <c r="A41" s="702" t="s">
        <v>362</v>
      </c>
      <c r="B41" s="680">
        <v>0</v>
      </c>
      <c r="C41" s="680">
        <v>14.51008</v>
      </c>
      <c r="D41" s="681">
        <v>14.51008</v>
      </c>
      <c r="E41" s="690" t="s">
        <v>338</v>
      </c>
      <c r="F41" s="680">
        <v>20</v>
      </c>
      <c r="G41" s="681">
        <v>5</v>
      </c>
      <c r="H41" s="683">
        <v>0</v>
      </c>
      <c r="I41" s="680">
        <v>0</v>
      </c>
      <c r="J41" s="681">
        <v>-5</v>
      </c>
      <c r="K41" s="684">
        <v>0</v>
      </c>
    </row>
    <row r="42" spans="1:11" ht="14.4" customHeight="1" thickBot="1" x14ac:dyDescent="0.35">
      <c r="A42" s="701" t="s">
        <v>363</v>
      </c>
      <c r="B42" s="685">
        <v>627.67195472311505</v>
      </c>
      <c r="C42" s="685">
        <v>640.60758999999996</v>
      </c>
      <c r="D42" s="686">
        <v>12.935635276885</v>
      </c>
      <c r="E42" s="692">
        <v>1.02060891072</v>
      </c>
      <c r="F42" s="685">
        <v>691.01870674908901</v>
      </c>
      <c r="G42" s="686">
        <v>172.754676687272</v>
      </c>
      <c r="H42" s="688">
        <v>50.387439999999998</v>
      </c>
      <c r="I42" s="685">
        <v>157.24288999999999</v>
      </c>
      <c r="J42" s="686">
        <v>-15.511786687272</v>
      </c>
      <c r="K42" s="693">
        <v>0.227552291224</v>
      </c>
    </row>
    <row r="43" spans="1:11" ht="14.4" customHeight="1" thickBot="1" x14ac:dyDescent="0.35">
      <c r="A43" s="702" t="s">
        <v>364</v>
      </c>
      <c r="B43" s="680">
        <v>542.92508706807303</v>
      </c>
      <c r="C43" s="680">
        <v>523.23541</v>
      </c>
      <c r="D43" s="681">
        <v>-19.689677068072001</v>
      </c>
      <c r="E43" s="682">
        <v>0.96373408129899996</v>
      </c>
      <c r="F43" s="680">
        <v>657.50126440552594</v>
      </c>
      <c r="G43" s="681">
        <v>164.375316101381</v>
      </c>
      <c r="H43" s="683">
        <v>42.33117</v>
      </c>
      <c r="I43" s="680">
        <v>130.19716</v>
      </c>
      <c r="J43" s="681">
        <v>-34.178156101380999</v>
      </c>
      <c r="K43" s="684">
        <v>0.19801811349699999</v>
      </c>
    </row>
    <row r="44" spans="1:11" ht="14.4" customHeight="1" thickBot="1" x14ac:dyDescent="0.35">
      <c r="A44" s="702" t="s">
        <v>365</v>
      </c>
      <c r="B44" s="680">
        <v>84.746867655041001</v>
      </c>
      <c r="C44" s="680">
        <v>117.37218</v>
      </c>
      <c r="D44" s="681">
        <v>32.625312344957997</v>
      </c>
      <c r="E44" s="682">
        <v>1.384973666257</v>
      </c>
      <c r="F44" s="680">
        <v>33.517442343562003</v>
      </c>
      <c r="G44" s="681">
        <v>8.3793605858899998</v>
      </c>
      <c r="H44" s="683">
        <v>8.0562699999999996</v>
      </c>
      <c r="I44" s="680">
        <v>27.045729999999999</v>
      </c>
      <c r="J44" s="681">
        <v>18.666369414108999</v>
      </c>
      <c r="K44" s="684">
        <v>0.80691508984399996</v>
      </c>
    </row>
    <row r="45" spans="1:11" ht="14.4" customHeight="1" thickBot="1" x14ac:dyDescent="0.35">
      <c r="A45" s="701" t="s">
        <v>366</v>
      </c>
      <c r="B45" s="685">
        <v>1116.60267809732</v>
      </c>
      <c r="C45" s="685">
        <v>1052.5359100000001</v>
      </c>
      <c r="D45" s="686">
        <v>-64.066768097315006</v>
      </c>
      <c r="E45" s="692">
        <v>0.94262348697999998</v>
      </c>
      <c r="F45" s="685">
        <v>1054.6992559473499</v>
      </c>
      <c r="G45" s="686">
        <v>263.674813986836</v>
      </c>
      <c r="H45" s="688">
        <v>86.150189999999995</v>
      </c>
      <c r="I45" s="685">
        <v>301.80516</v>
      </c>
      <c r="J45" s="686">
        <v>38.130346013162999</v>
      </c>
      <c r="K45" s="693">
        <v>0.28615281398699999</v>
      </c>
    </row>
    <row r="46" spans="1:11" ht="14.4" customHeight="1" thickBot="1" x14ac:dyDescent="0.35">
      <c r="A46" s="702" t="s">
        <v>367</v>
      </c>
      <c r="B46" s="680">
        <v>63.269168907873997</v>
      </c>
      <c r="C46" s="680">
        <v>13.98021</v>
      </c>
      <c r="D46" s="681">
        <v>-49.288958907873997</v>
      </c>
      <c r="E46" s="682">
        <v>0.22096402151799999</v>
      </c>
      <c r="F46" s="680">
        <v>0</v>
      </c>
      <c r="G46" s="681">
        <v>0</v>
      </c>
      <c r="H46" s="683">
        <v>7.8407999999999998</v>
      </c>
      <c r="I46" s="680">
        <v>51.248339999999999</v>
      </c>
      <c r="J46" s="681">
        <v>51.248339999999999</v>
      </c>
      <c r="K46" s="691" t="s">
        <v>324</v>
      </c>
    </row>
    <row r="47" spans="1:11" ht="14.4" customHeight="1" thickBot="1" x14ac:dyDescent="0.35">
      <c r="A47" s="702" t="s">
        <v>368</v>
      </c>
      <c r="B47" s="680">
        <v>38.000003430619998</v>
      </c>
      <c r="C47" s="680">
        <v>48.281100000000002</v>
      </c>
      <c r="D47" s="681">
        <v>10.281096569379001</v>
      </c>
      <c r="E47" s="682">
        <v>1.2705551484519999</v>
      </c>
      <c r="F47" s="680">
        <v>128</v>
      </c>
      <c r="G47" s="681">
        <v>32</v>
      </c>
      <c r="H47" s="683">
        <v>4.1019899999999998</v>
      </c>
      <c r="I47" s="680">
        <v>27.002400000000002</v>
      </c>
      <c r="J47" s="681">
        <v>-4.9975999999990002</v>
      </c>
      <c r="K47" s="684">
        <v>0.21095625000000001</v>
      </c>
    </row>
    <row r="48" spans="1:11" ht="14.4" customHeight="1" thickBot="1" x14ac:dyDescent="0.35">
      <c r="A48" s="702" t="s">
        <v>369</v>
      </c>
      <c r="B48" s="680">
        <v>488.56316237742402</v>
      </c>
      <c r="C48" s="680">
        <v>462.10948000000002</v>
      </c>
      <c r="D48" s="681">
        <v>-26.453682377423</v>
      </c>
      <c r="E48" s="682">
        <v>0.94585411996900004</v>
      </c>
      <c r="F48" s="680">
        <v>435</v>
      </c>
      <c r="G48" s="681">
        <v>108.75</v>
      </c>
      <c r="H48" s="683">
        <v>32.123179999999998</v>
      </c>
      <c r="I48" s="680">
        <v>118.9327</v>
      </c>
      <c r="J48" s="681">
        <v>10.182700000000001</v>
      </c>
      <c r="K48" s="684">
        <v>0.27340850574699999</v>
      </c>
    </row>
    <row r="49" spans="1:11" ht="14.4" customHeight="1" thickBot="1" x14ac:dyDescent="0.35">
      <c r="A49" s="702" t="s">
        <v>370</v>
      </c>
      <c r="B49" s="680">
        <v>86.463349334129006</v>
      </c>
      <c r="C49" s="680">
        <v>97.271249999999995</v>
      </c>
      <c r="D49" s="681">
        <v>10.807900665869999</v>
      </c>
      <c r="E49" s="682">
        <v>1.1249997918079999</v>
      </c>
      <c r="F49" s="680">
        <v>100</v>
      </c>
      <c r="G49" s="681">
        <v>25</v>
      </c>
      <c r="H49" s="683">
        <v>9.8283199999999997</v>
      </c>
      <c r="I49" s="680">
        <v>22.931930000000001</v>
      </c>
      <c r="J49" s="681">
        <v>-2.068069999999</v>
      </c>
      <c r="K49" s="684">
        <v>0.2293193</v>
      </c>
    </row>
    <row r="50" spans="1:11" ht="14.4" customHeight="1" thickBot="1" x14ac:dyDescent="0.35">
      <c r="A50" s="702" t="s">
        <v>371</v>
      </c>
      <c r="B50" s="680">
        <v>55.463647047788001</v>
      </c>
      <c r="C50" s="680">
        <v>49.013779999999997</v>
      </c>
      <c r="D50" s="681">
        <v>-6.4498670477879996</v>
      </c>
      <c r="E50" s="682">
        <v>0.88371000842699998</v>
      </c>
      <c r="F50" s="680">
        <v>10.866107078952</v>
      </c>
      <c r="G50" s="681">
        <v>2.716526769738</v>
      </c>
      <c r="H50" s="683">
        <v>3.1240800000000002</v>
      </c>
      <c r="I50" s="680">
        <v>9.46584</v>
      </c>
      <c r="J50" s="681">
        <v>6.7493132302610004</v>
      </c>
      <c r="K50" s="684">
        <v>0.87113443031799997</v>
      </c>
    </row>
    <row r="51" spans="1:11" ht="14.4" customHeight="1" thickBot="1" x14ac:dyDescent="0.35">
      <c r="A51" s="702" t="s">
        <v>372</v>
      </c>
      <c r="B51" s="680">
        <v>0</v>
      </c>
      <c r="C51" s="680">
        <v>2.2356500000000001</v>
      </c>
      <c r="D51" s="681">
        <v>2.2356500000000001</v>
      </c>
      <c r="E51" s="690" t="s">
        <v>324</v>
      </c>
      <c r="F51" s="680">
        <v>0</v>
      </c>
      <c r="G51" s="681">
        <v>0</v>
      </c>
      <c r="H51" s="683">
        <v>0.37835000000000002</v>
      </c>
      <c r="I51" s="680">
        <v>1.1237600000000001</v>
      </c>
      <c r="J51" s="681">
        <v>1.1237600000000001</v>
      </c>
      <c r="K51" s="691" t="s">
        <v>324</v>
      </c>
    </row>
    <row r="52" spans="1:11" ht="14.4" customHeight="1" thickBot="1" x14ac:dyDescent="0.35">
      <c r="A52" s="702" t="s">
        <v>373</v>
      </c>
      <c r="B52" s="680">
        <v>0</v>
      </c>
      <c r="C52" s="680">
        <v>1.3189</v>
      </c>
      <c r="D52" s="681">
        <v>1.3189</v>
      </c>
      <c r="E52" s="690" t="s">
        <v>338</v>
      </c>
      <c r="F52" s="680">
        <v>0</v>
      </c>
      <c r="G52" s="681">
        <v>0</v>
      </c>
      <c r="H52" s="683">
        <v>2.7587999999999999</v>
      </c>
      <c r="I52" s="680">
        <v>-38.30706</v>
      </c>
      <c r="J52" s="681">
        <v>-38.30706</v>
      </c>
      <c r="K52" s="691" t="s">
        <v>338</v>
      </c>
    </row>
    <row r="53" spans="1:11" ht="14.4" customHeight="1" thickBot="1" x14ac:dyDescent="0.35">
      <c r="A53" s="702" t="s">
        <v>374</v>
      </c>
      <c r="B53" s="680">
        <v>20.826887343767002</v>
      </c>
      <c r="C53" s="680">
        <v>10.010149999999999</v>
      </c>
      <c r="D53" s="681">
        <v>-10.816737343767</v>
      </c>
      <c r="E53" s="682">
        <v>0.48063591235499997</v>
      </c>
      <c r="F53" s="680">
        <v>13</v>
      </c>
      <c r="G53" s="681">
        <v>3.25</v>
      </c>
      <c r="H53" s="683">
        <v>0.53393000000000002</v>
      </c>
      <c r="I53" s="680">
        <v>1.4986600000000001</v>
      </c>
      <c r="J53" s="681">
        <v>-1.7513399999999999</v>
      </c>
      <c r="K53" s="684">
        <v>0.115281538461</v>
      </c>
    </row>
    <row r="54" spans="1:11" ht="14.4" customHeight="1" thickBot="1" x14ac:dyDescent="0.35">
      <c r="A54" s="702" t="s">
        <v>375</v>
      </c>
      <c r="B54" s="680">
        <v>248.09605168877701</v>
      </c>
      <c r="C54" s="680">
        <v>218.88317000000001</v>
      </c>
      <c r="D54" s="681">
        <v>-29.212881688776999</v>
      </c>
      <c r="E54" s="682">
        <v>0.88225172673999996</v>
      </c>
      <c r="F54" s="680">
        <v>220</v>
      </c>
      <c r="G54" s="681">
        <v>55</v>
      </c>
      <c r="H54" s="683">
        <v>13.14324</v>
      </c>
      <c r="I54" s="680">
        <v>60.238129999999998</v>
      </c>
      <c r="J54" s="681">
        <v>5.23813</v>
      </c>
      <c r="K54" s="684">
        <v>0.27380968181799997</v>
      </c>
    </row>
    <row r="55" spans="1:11" ht="14.4" customHeight="1" thickBot="1" x14ac:dyDescent="0.35">
      <c r="A55" s="702" t="s">
        <v>376</v>
      </c>
      <c r="B55" s="680">
        <v>32.213422466674999</v>
      </c>
      <c r="C55" s="680">
        <v>34.875369999999997</v>
      </c>
      <c r="D55" s="681">
        <v>2.6619475333249998</v>
      </c>
      <c r="E55" s="682">
        <v>1.08263473203</v>
      </c>
      <c r="F55" s="680">
        <v>41.833148868392001</v>
      </c>
      <c r="G55" s="681">
        <v>10.458287217098</v>
      </c>
      <c r="H55" s="683">
        <v>4.1257599999999996</v>
      </c>
      <c r="I55" s="680">
        <v>9.8972800000000003</v>
      </c>
      <c r="J55" s="681">
        <v>-0.56100721709800005</v>
      </c>
      <c r="K55" s="684">
        <v>0.236589409779</v>
      </c>
    </row>
    <row r="56" spans="1:11" ht="14.4" customHeight="1" thickBot="1" x14ac:dyDescent="0.35">
      <c r="A56" s="702" t="s">
        <v>377</v>
      </c>
      <c r="B56" s="680">
        <v>0</v>
      </c>
      <c r="C56" s="680">
        <v>2.9039999999999999</v>
      </c>
      <c r="D56" s="681">
        <v>2.9039999999999999</v>
      </c>
      <c r="E56" s="690" t="s">
        <v>338</v>
      </c>
      <c r="F56" s="680">
        <v>0</v>
      </c>
      <c r="G56" s="681">
        <v>0</v>
      </c>
      <c r="H56" s="683">
        <v>0</v>
      </c>
      <c r="I56" s="680">
        <v>0</v>
      </c>
      <c r="J56" s="681">
        <v>0</v>
      </c>
      <c r="K56" s="691" t="s">
        <v>324</v>
      </c>
    </row>
    <row r="57" spans="1:11" ht="14.4" customHeight="1" thickBot="1" x14ac:dyDescent="0.35">
      <c r="A57" s="702" t="s">
        <v>378</v>
      </c>
      <c r="B57" s="680">
        <v>0</v>
      </c>
      <c r="C57" s="680">
        <v>1.1919999999999999</v>
      </c>
      <c r="D57" s="681">
        <v>1.1919999999999999</v>
      </c>
      <c r="E57" s="690" t="s">
        <v>338</v>
      </c>
      <c r="F57" s="680">
        <v>0</v>
      </c>
      <c r="G57" s="681">
        <v>0</v>
      </c>
      <c r="H57" s="683">
        <v>0</v>
      </c>
      <c r="I57" s="680">
        <v>0</v>
      </c>
      <c r="J57" s="681">
        <v>0</v>
      </c>
      <c r="K57" s="691" t="s">
        <v>324</v>
      </c>
    </row>
    <row r="58" spans="1:11" ht="14.4" customHeight="1" thickBot="1" x14ac:dyDescent="0.35">
      <c r="A58" s="702" t="s">
        <v>379</v>
      </c>
      <c r="B58" s="680">
        <v>0</v>
      </c>
      <c r="C58" s="680">
        <v>0</v>
      </c>
      <c r="D58" s="681">
        <v>0</v>
      </c>
      <c r="E58" s="682">
        <v>1</v>
      </c>
      <c r="F58" s="680">
        <v>0</v>
      </c>
      <c r="G58" s="681">
        <v>0</v>
      </c>
      <c r="H58" s="683">
        <v>0</v>
      </c>
      <c r="I58" s="680">
        <v>10.8385</v>
      </c>
      <c r="J58" s="681">
        <v>10.8385</v>
      </c>
      <c r="K58" s="691" t="s">
        <v>338</v>
      </c>
    </row>
    <row r="59" spans="1:11" ht="14.4" customHeight="1" thickBot="1" x14ac:dyDescent="0.35">
      <c r="A59" s="702" t="s">
        <v>380</v>
      </c>
      <c r="B59" s="680">
        <v>83.706985500258995</v>
      </c>
      <c r="C59" s="680">
        <v>109.45169</v>
      </c>
      <c r="D59" s="681">
        <v>25.744704499739999</v>
      </c>
      <c r="E59" s="682">
        <v>1.3075574200390001</v>
      </c>
      <c r="F59" s="680">
        <v>106</v>
      </c>
      <c r="G59" s="681">
        <v>26.5</v>
      </c>
      <c r="H59" s="683">
        <v>8.0846800000000005</v>
      </c>
      <c r="I59" s="680">
        <v>26.652640000000002</v>
      </c>
      <c r="J59" s="681">
        <v>0.15264</v>
      </c>
      <c r="K59" s="684">
        <v>0.25144</v>
      </c>
    </row>
    <row r="60" spans="1:11" ht="14.4" customHeight="1" thickBot="1" x14ac:dyDescent="0.35">
      <c r="A60" s="702" t="s">
        <v>381</v>
      </c>
      <c r="B60" s="680">
        <v>0</v>
      </c>
      <c r="C60" s="680">
        <v>1.0091600000000001</v>
      </c>
      <c r="D60" s="681">
        <v>1.0091600000000001</v>
      </c>
      <c r="E60" s="690" t="s">
        <v>324</v>
      </c>
      <c r="F60" s="680">
        <v>0</v>
      </c>
      <c r="G60" s="681">
        <v>0</v>
      </c>
      <c r="H60" s="683">
        <v>0.10706</v>
      </c>
      <c r="I60" s="680">
        <v>0.28204000000000001</v>
      </c>
      <c r="J60" s="681">
        <v>0.28204000000000001</v>
      </c>
      <c r="K60" s="691" t="s">
        <v>324</v>
      </c>
    </row>
    <row r="61" spans="1:11" ht="14.4" customHeight="1" thickBot="1" x14ac:dyDescent="0.35">
      <c r="A61" s="701" t="s">
        <v>382</v>
      </c>
      <c r="B61" s="685">
        <v>251.92887020798099</v>
      </c>
      <c r="C61" s="685">
        <v>544.45331000000101</v>
      </c>
      <c r="D61" s="686">
        <v>292.52443979202002</v>
      </c>
      <c r="E61" s="692">
        <v>2.1611390133669999</v>
      </c>
      <c r="F61" s="685">
        <v>493.22157490012802</v>
      </c>
      <c r="G61" s="686">
        <v>123.305393725032</v>
      </c>
      <c r="H61" s="688">
        <v>26.93497</v>
      </c>
      <c r="I61" s="685">
        <v>53.090429999999998</v>
      </c>
      <c r="J61" s="686">
        <v>-70.214963725032007</v>
      </c>
      <c r="K61" s="693">
        <v>0.107640120995</v>
      </c>
    </row>
    <row r="62" spans="1:11" ht="14.4" customHeight="1" thickBot="1" x14ac:dyDescent="0.35">
      <c r="A62" s="702" t="s">
        <v>383</v>
      </c>
      <c r="B62" s="680">
        <v>0</v>
      </c>
      <c r="C62" s="680">
        <v>22.458749999999998</v>
      </c>
      <c r="D62" s="681">
        <v>22.458749999999998</v>
      </c>
      <c r="E62" s="690" t="s">
        <v>324</v>
      </c>
      <c r="F62" s="680">
        <v>0</v>
      </c>
      <c r="G62" s="681">
        <v>0</v>
      </c>
      <c r="H62" s="683">
        <v>3.7303700000000002</v>
      </c>
      <c r="I62" s="680">
        <v>11.19111</v>
      </c>
      <c r="J62" s="681">
        <v>11.19111</v>
      </c>
      <c r="K62" s="691" t="s">
        <v>324</v>
      </c>
    </row>
    <row r="63" spans="1:11" ht="14.4" customHeight="1" thickBot="1" x14ac:dyDescent="0.35">
      <c r="A63" s="702" t="s">
        <v>384</v>
      </c>
      <c r="B63" s="680">
        <v>0</v>
      </c>
      <c r="C63" s="680">
        <v>48.172759999999997</v>
      </c>
      <c r="D63" s="681">
        <v>48.172759999999997</v>
      </c>
      <c r="E63" s="690" t="s">
        <v>338</v>
      </c>
      <c r="F63" s="680">
        <v>0</v>
      </c>
      <c r="G63" s="681">
        <v>0</v>
      </c>
      <c r="H63" s="683">
        <v>0</v>
      </c>
      <c r="I63" s="680">
        <v>0.84699999999999998</v>
      </c>
      <c r="J63" s="681">
        <v>0.84699999999999998</v>
      </c>
      <c r="K63" s="691" t="s">
        <v>324</v>
      </c>
    </row>
    <row r="64" spans="1:11" ht="14.4" customHeight="1" thickBot="1" x14ac:dyDescent="0.35">
      <c r="A64" s="702" t="s">
        <v>385</v>
      </c>
      <c r="B64" s="680">
        <v>9.7075447671939994</v>
      </c>
      <c r="C64" s="680">
        <v>40.86168</v>
      </c>
      <c r="D64" s="681">
        <v>31.154135232805</v>
      </c>
      <c r="E64" s="682">
        <v>4.2092703129310003</v>
      </c>
      <c r="F64" s="680">
        <v>53.281130809125003</v>
      </c>
      <c r="G64" s="681">
        <v>13.320282702281</v>
      </c>
      <c r="H64" s="683">
        <v>0.23499999999999999</v>
      </c>
      <c r="I64" s="680">
        <v>0.23499999999999999</v>
      </c>
      <c r="J64" s="681">
        <v>-13.085282702281001</v>
      </c>
      <c r="K64" s="684">
        <v>4.410567051E-3</v>
      </c>
    </row>
    <row r="65" spans="1:11" ht="14.4" customHeight="1" thickBot="1" x14ac:dyDescent="0.35">
      <c r="A65" s="702" t="s">
        <v>386</v>
      </c>
      <c r="B65" s="680">
        <v>234.274071809883</v>
      </c>
      <c r="C65" s="680">
        <v>425.97206000000102</v>
      </c>
      <c r="D65" s="681">
        <v>191.697988190118</v>
      </c>
      <c r="E65" s="682">
        <v>1.8182637827100001</v>
      </c>
      <c r="F65" s="680">
        <v>433.88506425927</v>
      </c>
      <c r="G65" s="681">
        <v>108.471266064818</v>
      </c>
      <c r="H65" s="683">
        <v>20.809760000000001</v>
      </c>
      <c r="I65" s="680">
        <v>37.393219999999999</v>
      </c>
      <c r="J65" s="681">
        <v>-71.078046064817002</v>
      </c>
      <c r="K65" s="684">
        <v>8.6182316654999994E-2</v>
      </c>
    </row>
    <row r="66" spans="1:11" ht="14.4" customHeight="1" thickBot="1" x14ac:dyDescent="0.35">
      <c r="A66" s="702" t="s">
        <v>387</v>
      </c>
      <c r="B66" s="680">
        <v>0</v>
      </c>
      <c r="C66" s="680">
        <v>3.6859000000000002</v>
      </c>
      <c r="D66" s="681">
        <v>3.6859000000000002</v>
      </c>
      <c r="E66" s="690" t="s">
        <v>324</v>
      </c>
      <c r="F66" s="680">
        <v>0</v>
      </c>
      <c r="G66" s="681">
        <v>0</v>
      </c>
      <c r="H66" s="683">
        <v>1.9965999999999999</v>
      </c>
      <c r="I66" s="680">
        <v>2.8546</v>
      </c>
      <c r="J66" s="681">
        <v>2.8546</v>
      </c>
      <c r="K66" s="691" t="s">
        <v>324</v>
      </c>
    </row>
    <row r="67" spans="1:11" ht="14.4" customHeight="1" thickBot="1" x14ac:dyDescent="0.35">
      <c r="A67" s="702" t="s">
        <v>388</v>
      </c>
      <c r="B67" s="680">
        <v>7.947253630903</v>
      </c>
      <c r="C67" s="680">
        <v>3.3021600000000002</v>
      </c>
      <c r="D67" s="681">
        <v>-4.6450936309030002</v>
      </c>
      <c r="E67" s="682">
        <v>0.41550957769300001</v>
      </c>
      <c r="F67" s="680">
        <v>6.055379831732</v>
      </c>
      <c r="G67" s="681">
        <v>1.513844957933</v>
      </c>
      <c r="H67" s="683">
        <v>0.16324</v>
      </c>
      <c r="I67" s="680">
        <v>0.56950000000000001</v>
      </c>
      <c r="J67" s="681">
        <v>-0.944344957933</v>
      </c>
      <c r="K67" s="684">
        <v>9.4048600718999995E-2</v>
      </c>
    </row>
    <row r="68" spans="1:11" ht="14.4" customHeight="1" thickBot="1" x14ac:dyDescent="0.35">
      <c r="A68" s="701" t="s">
        <v>389</v>
      </c>
      <c r="B68" s="685">
        <v>1894.0537841339001</v>
      </c>
      <c r="C68" s="685">
        <v>1943.7617600000001</v>
      </c>
      <c r="D68" s="686">
        <v>49.707975866098998</v>
      </c>
      <c r="E68" s="692">
        <v>1.026244226157</v>
      </c>
      <c r="F68" s="685">
        <v>1874</v>
      </c>
      <c r="G68" s="686">
        <v>468.5</v>
      </c>
      <c r="H68" s="688">
        <v>149.31496999999999</v>
      </c>
      <c r="I68" s="685">
        <v>439.04577</v>
      </c>
      <c r="J68" s="686">
        <v>-29.454229999999001</v>
      </c>
      <c r="K68" s="693">
        <v>0.23428269476999999</v>
      </c>
    </row>
    <row r="69" spans="1:11" ht="14.4" customHeight="1" thickBot="1" x14ac:dyDescent="0.35">
      <c r="A69" s="702" t="s">
        <v>390</v>
      </c>
      <c r="B69" s="680">
        <v>0</v>
      </c>
      <c r="C69" s="680">
        <v>0</v>
      </c>
      <c r="D69" s="681">
        <v>0</v>
      </c>
      <c r="E69" s="682">
        <v>1</v>
      </c>
      <c r="F69" s="680">
        <v>14</v>
      </c>
      <c r="G69" s="681">
        <v>3.5</v>
      </c>
      <c r="H69" s="683">
        <v>0</v>
      </c>
      <c r="I69" s="680">
        <v>0</v>
      </c>
      <c r="J69" s="681">
        <v>-3.5</v>
      </c>
      <c r="K69" s="684">
        <v>0</v>
      </c>
    </row>
    <row r="70" spans="1:11" ht="14.4" customHeight="1" thickBot="1" x14ac:dyDescent="0.35">
      <c r="A70" s="702" t="s">
        <v>391</v>
      </c>
      <c r="B70" s="680">
        <v>0</v>
      </c>
      <c r="C70" s="680">
        <v>49.206409999999998</v>
      </c>
      <c r="D70" s="681">
        <v>49.206409999999998</v>
      </c>
      <c r="E70" s="690" t="s">
        <v>324</v>
      </c>
      <c r="F70" s="680">
        <v>50</v>
      </c>
      <c r="G70" s="681">
        <v>12.5</v>
      </c>
      <c r="H70" s="683">
        <v>10.762090000000001</v>
      </c>
      <c r="I70" s="680">
        <v>15.119490000000001</v>
      </c>
      <c r="J70" s="681">
        <v>2.6194899999999999</v>
      </c>
      <c r="K70" s="684">
        <v>0.30238979999999999</v>
      </c>
    </row>
    <row r="71" spans="1:11" ht="14.4" customHeight="1" thickBot="1" x14ac:dyDescent="0.35">
      <c r="A71" s="702" t="s">
        <v>392</v>
      </c>
      <c r="B71" s="680">
        <v>6.0536136862300003</v>
      </c>
      <c r="C71" s="680">
        <v>1.089</v>
      </c>
      <c r="D71" s="681">
        <v>-4.9646136862299999</v>
      </c>
      <c r="E71" s="682">
        <v>0.17989254954799999</v>
      </c>
      <c r="F71" s="680">
        <v>0</v>
      </c>
      <c r="G71" s="681">
        <v>0</v>
      </c>
      <c r="H71" s="683">
        <v>0</v>
      </c>
      <c r="I71" s="680">
        <v>0</v>
      </c>
      <c r="J71" s="681">
        <v>0</v>
      </c>
      <c r="K71" s="691" t="s">
        <v>324</v>
      </c>
    </row>
    <row r="72" spans="1:11" ht="14.4" customHeight="1" thickBot="1" x14ac:dyDescent="0.35">
      <c r="A72" s="702" t="s">
        <v>393</v>
      </c>
      <c r="B72" s="680">
        <v>0</v>
      </c>
      <c r="C72" s="680">
        <v>8.9831000000000003</v>
      </c>
      <c r="D72" s="681">
        <v>8.9831000000000003</v>
      </c>
      <c r="E72" s="690" t="s">
        <v>324</v>
      </c>
      <c r="F72" s="680">
        <v>0</v>
      </c>
      <c r="G72" s="681">
        <v>0</v>
      </c>
      <c r="H72" s="683">
        <v>2.2877200000000002</v>
      </c>
      <c r="I72" s="680">
        <v>4.6979800000000003</v>
      </c>
      <c r="J72" s="681">
        <v>4.6979800000000003</v>
      </c>
      <c r="K72" s="691" t="s">
        <v>324</v>
      </c>
    </row>
    <row r="73" spans="1:11" ht="14.4" customHeight="1" thickBot="1" x14ac:dyDescent="0.35">
      <c r="A73" s="702" t="s">
        <v>394</v>
      </c>
      <c r="B73" s="680">
        <v>441.00003981325398</v>
      </c>
      <c r="C73" s="680">
        <v>443.66241000000002</v>
      </c>
      <c r="D73" s="681">
        <v>2.6623701867460001</v>
      </c>
      <c r="E73" s="682">
        <v>1.0060371200589999</v>
      </c>
      <c r="F73" s="680">
        <v>440</v>
      </c>
      <c r="G73" s="681">
        <v>110</v>
      </c>
      <c r="H73" s="683">
        <v>35.679749999999999</v>
      </c>
      <c r="I73" s="680">
        <v>100.15141</v>
      </c>
      <c r="J73" s="681">
        <v>-9.8485899999989996</v>
      </c>
      <c r="K73" s="684">
        <v>0.227616840909</v>
      </c>
    </row>
    <row r="74" spans="1:11" ht="14.4" customHeight="1" thickBot="1" x14ac:dyDescent="0.35">
      <c r="A74" s="702" t="s">
        <v>395</v>
      </c>
      <c r="B74" s="680">
        <v>1290.0001164605401</v>
      </c>
      <c r="C74" s="680">
        <v>1265.22648</v>
      </c>
      <c r="D74" s="681">
        <v>-24.773636460536</v>
      </c>
      <c r="E74" s="682">
        <v>0.98079563238400003</v>
      </c>
      <c r="F74" s="680">
        <v>1200</v>
      </c>
      <c r="G74" s="681">
        <v>300</v>
      </c>
      <c r="H74" s="683">
        <v>93.798299999999998</v>
      </c>
      <c r="I74" s="680">
        <v>297.30342000000002</v>
      </c>
      <c r="J74" s="681">
        <v>-2.6965799999989999</v>
      </c>
      <c r="K74" s="684">
        <v>0.24775285</v>
      </c>
    </row>
    <row r="75" spans="1:11" ht="14.4" customHeight="1" thickBot="1" x14ac:dyDescent="0.35">
      <c r="A75" s="702" t="s">
        <v>396</v>
      </c>
      <c r="B75" s="680">
        <v>157.00001417387901</v>
      </c>
      <c r="C75" s="680">
        <v>175.59435999999999</v>
      </c>
      <c r="D75" s="681">
        <v>18.594345826120001</v>
      </c>
      <c r="E75" s="682">
        <v>1.11843531304</v>
      </c>
      <c r="F75" s="680">
        <v>170</v>
      </c>
      <c r="G75" s="681">
        <v>42.5</v>
      </c>
      <c r="H75" s="683">
        <v>6.7871100000000002</v>
      </c>
      <c r="I75" s="680">
        <v>21.77347</v>
      </c>
      <c r="J75" s="681">
        <v>-20.72653</v>
      </c>
      <c r="K75" s="684">
        <v>0.128079235294</v>
      </c>
    </row>
    <row r="76" spans="1:11" ht="14.4" customHeight="1" thickBot="1" x14ac:dyDescent="0.35">
      <c r="A76" s="700" t="s">
        <v>42</v>
      </c>
      <c r="B76" s="680">
        <v>2384.1386372930101</v>
      </c>
      <c r="C76" s="680">
        <v>2329.3490000000002</v>
      </c>
      <c r="D76" s="681">
        <v>-54.789637293007999</v>
      </c>
      <c r="E76" s="682">
        <v>0.97701910600499997</v>
      </c>
      <c r="F76" s="680">
        <v>2352.5072310322198</v>
      </c>
      <c r="G76" s="681">
        <v>588.12680775805495</v>
      </c>
      <c r="H76" s="683">
        <v>218.34399999999999</v>
      </c>
      <c r="I76" s="680">
        <v>769.76499999999999</v>
      </c>
      <c r="J76" s="681">
        <v>181.638192241946</v>
      </c>
      <c r="K76" s="684">
        <v>0.32721047138300002</v>
      </c>
    </row>
    <row r="77" spans="1:11" ht="14.4" customHeight="1" thickBot="1" x14ac:dyDescent="0.35">
      <c r="A77" s="701" t="s">
        <v>397</v>
      </c>
      <c r="B77" s="685">
        <v>2384.1386372930101</v>
      </c>
      <c r="C77" s="685">
        <v>2329.3490000000002</v>
      </c>
      <c r="D77" s="686">
        <v>-54.789637293007999</v>
      </c>
      <c r="E77" s="692">
        <v>0.97701910600499997</v>
      </c>
      <c r="F77" s="685">
        <v>2352.5072310322198</v>
      </c>
      <c r="G77" s="686">
        <v>588.12680775805495</v>
      </c>
      <c r="H77" s="688">
        <v>218.34399999999999</v>
      </c>
      <c r="I77" s="685">
        <v>769.76499999999999</v>
      </c>
      <c r="J77" s="686">
        <v>181.638192241946</v>
      </c>
      <c r="K77" s="693">
        <v>0.32721047138300002</v>
      </c>
    </row>
    <row r="78" spans="1:11" ht="14.4" customHeight="1" thickBot="1" x14ac:dyDescent="0.35">
      <c r="A78" s="702" t="s">
        <v>398</v>
      </c>
      <c r="B78" s="680">
        <v>826.96075226174798</v>
      </c>
      <c r="C78" s="680">
        <v>734.899</v>
      </c>
      <c r="D78" s="681">
        <v>-92.061752261747003</v>
      </c>
      <c r="E78" s="682">
        <v>0.88867458097600005</v>
      </c>
      <c r="F78" s="680">
        <v>758.30899999999701</v>
      </c>
      <c r="G78" s="681">
        <v>189.577249999999</v>
      </c>
      <c r="H78" s="683">
        <v>61.265000000000001</v>
      </c>
      <c r="I78" s="680">
        <v>186.61500000000001</v>
      </c>
      <c r="J78" s="681">
        <v>-2.962249999999</v>
      </c>
      <c r="K78" s="684">
        <v>0.24609361091500001</v>
      </c>
    </row>
    <row r="79" spans="1:11" ht="14.4" customHeight="1" thickBot="1" x14ac:dyDescent="0.35">
      <c r="A79" s="702" t="s">
        <v>399</v>
      </c>
      <c r="B79" s="680">
        <v>195.55240596065599</v>
      </c>
      <c r="C79" s="680">
        <v>203.893</v>
      </c>
      <c r="D79" s="681">
        <v>8.3405940393439995</v>
      </c>
      <c r="E79" s="682">
        <v>1.0426514519129999</v>
      </c>
      <c r="F79" s="680">
        <v>220.19823103222799</v>
      </c>
      <c r="G79" s="681">
        <v>55.049557758056999</v>
      </c>
      <c r="H79" s="683">
        <v>19.175999999999998</v>
      </c>
      <c r="I79" s="680">
        <v>57.631</v>
      </c>
      <c r="J79" s="681">
        <v>2.5814422419419998</v>
      </c>
      <c r="K79" s="684">
        <v>0.261723265122</v>
      </c>
    </row>
    <row r="80" spans="1:11" ht="14.4" customHeight="1" thickBot="1" x14ac:dyDescent="0.35">
      <c r="A80" s="702" t="s">
        <v>400</v>
      </c>
      <c r="B80" s="680">
        <v>1361.62547907061</v>
      </c>
      <c r="C80" s="680">
        <v>1390.557</v>
      </c>
      <c r="D80" s="681">
        <v>28.931520929394999</v>
      </c>
      <c r="E80" s="682">
        <v>1.021247781694</v>
      </c>
      <c r="F80" s="680">
        <v>1373.99999999999</v>
      </c>
      <c r="G80" s="681">
        <v>343.49999999999898</v>
      </c>
      <c r="H80" s="683">
        <v>137.90299999999999</v>
      </c>
      <c r="I80" s="680">
        <v>525.51900000000001</v>
      </c>
      <c r="J80" s="681">
        <v>182.01900000000199</v>
      </c>
      <c r="K80" s="684">
        <v>0.38247379912599999</v>
      </c>
    </row>
    <row r="81" spans="1:11" ht="14.4" customHeight="1" thickBot="1" x14ac:dyDescent="0.35">
      <c r="A81" s="703" t="s">
        <v>401</v>
      </c>
      <c r="B81" s="685">
        <v>3775.4141801596202</v>
      </c>
      <c r="C81" s="685">
        <v>4250.94013</v>
      </c>
      <c r="D81" s="686">
        <v>475.52594984038501</v>
      </c>
      <c r="E81" s="692">
        <v>1.12595331986</v>
      </c>
      <c r="F81" s="685">
        <v>4369.5772596404604</v>
      </c>
      <c r="G81" s="686">
        <v>1092.3943149101201</v>
      </c>
      <c r="H81" s="688">
        <v>380.87844000000098</v>
      </c>
      <c r="I81" s="685">
        <v>934.70955000000004</v>
      </c>
      <c r="J81" s="686">
        <v>-157.68476491011501</v>
      </c>
      <c r="K81" s="693">
        <v>0.213913038827</v>
      </c>
    </row>
    <row r="82" spans="1:11" ht="14.4" customHeight="1" thickBot="1" x14ac:dyDescent="0.35">
      <c r="A82" s="700" t="s">
        <v>45</v>
      </c>
      <c r="B82" s="680">
        <v>885.32058960101494</v>
      </c>
      <c r="C82" s="680">
        <v>1582.0051900000001</v>
      </c>
      <c r="D82" s="681">
        <v>696.68460039898605</v>
      </c>
      <c r="E82" s="682">
        <v>1.7869291741110001</v>
      </c>
      <c r="F82" s="680">
        <v>1577.8268364083799</v>
      </c>
      <c r="G82" s="681">
        <v>394.45670910209498</v>
      </c>
      <c r="H82" s="683">
        <v>33.491549999999997</v>
      </c>
      <c r="I82" s="680">
        <v>126.11672</v>
      </c>
      <c r="J82" s="681">
        <v>-268.33998910209499</v>
      </c>
      <c r="K82" s="684">
        <v>7.9930647069999999E-2</v>
      </c>
    </row>
    <row r="83" spans="1:11" ht="14.4" customHeight="1" thickBot="1" x14ac:dyDescent="0.35">
      <c r="A83" s="704" t="s">
        <v>402</v>
      </c>
      <c r="B83" s="680">
        <v>885.32058960101494</v>
      </c>
      <c r="C83" s="680">
        <v>1582.0051900000001</v>
      </c>
      <c r="D83" s="681">
        <v>696.68460039898605</v>
      </c>
      <c r="E83" s="682">
        <v>1.7869291741110001</v>
      </c>
      <c r="F83" s="680">
        <v>1577.8268364083799</v>
      </c>
      <c r="G83" s="681">
        <v>394.45670910209498</v>
      </c>
      <c r="H83" s="683">
        <v>33.491549999999997</v>
      </c>
      <c r="I83" s="680">
        <v>126.11672</v>
      </c>
      <c r="J83" s="681">
        <v>-268.33998910209499</v>
      </c>
      <c r="K83" s="684">
        <v>7.9930647069999999E-2</v>
      </c>
    </row>
    <row r="84" spans="1:11" ht="14.4" customHeight="1" thickBot="1" x14ac:dyDescent="0.35">
      <c r="A84" s="702" t="s">
        <v>403</v>
      </c>
      <c r="B84" s="680">
        <v>469.576204640382</v>
      </c>
      <c r="C84" s="680">
        <v>1049.11356</v>
      </c>
      <c r="D84" s="681">
        <v>579.53735535961903</v>
      </c>
      <c r="E84" s="682">
        <v>2.2341710453650001</v>
      </c>
      <c r="F84" s="680">
        <v>902.40905854169102</v>
      </c>
      <c r="G84" s="681">
        <v>225.60226463542301</v>
      </c>
      <c r="H84" s="683">
        <v>13.31513</v>
      </c>
      <c r="I84" s="680">
        <v>65.757990000000007</v>
      </c>
      <c r="J84" s="681">
        <v>-159.84427463542301</v>
      </c>
      <c r="K84" s="684">
        <v>7.2869381548000003E-2</v>
      </c>
    </row>
    <row r="85" spans="1:11" ht="14.4" customHeight="1" thickBot="1" x14ac:dyDescent="0.35">
      <c r="A85" s="702" t="s">
        <v>404</v>
      </c>
      <c r="B85" s="680">
        <v>17.349231233613999</v>
      </c>
      <c r="C85" s="680">
        <v>104.49645</v>
      </c>
      <c r="D85" s="681">
        <v>87.147218766384995</v>
      </c>
      <c r="E85" s="682">
        <v>6.0231170242010004</v>
      </c>
      <c r="F85" s="680">
        <v>88.311250760050996</v>
      </c>
      <c r="G85" s="681">
        <v>22.077812690011999</v>
      </c>
      <c r="H85" s="683">
        <v>0.27511999999999998</v>
      </c>
      <c r="I85" s="680">
        <v>7.1483699999999999</v>
      </c>
      <c r="J85" s="681">
        <v>-14.929442690011999</v>
      </c>
      <c r="K85" s="684">
        <v>8.0945178994E-2</v>
      </c>
    </row>
    <row r="86" spans="1:11" ht="14.4" customHeight="1" thickBot="1" x14ac:dyDescent="0.35">
      <c r="A86" s="702" t="s">
        <v>405</v>
      </c>
      <c r="B86" s="680">
        <v>119.88677987765099</v>
      </c>
      <c r="C86" s="680">
        <v>152.30749</v>
      </c>
      <c r="D86" s="681">
        <v>32.420710122347998</v>
      </c>
      <c r="E86" s="682">
        <v>1.2704277331939999</v>
      </c>
      <c r="F86" s="680">
        <v>406.10652710663902</v>
      </c>
      <c r="G86" s="681">
        <v>101.52663177666</v>
      </c>
      <c r="H86" s="683">
        <v>2.6374300000000002</v>
      </c>
      <c r="I86" s="680">
        <v>4.4088700000000003</v>
      </c>
      <c r="J86" s="681">
        <v>-97.117761776658995</v>
      </c>
      <c r="K86" s="684">
        <v>1.0856437179999999E-2</v>
      </c>
    </row>
    <row r="87" spans="1:11" ht="14.4" customHeight="1" thickBot="1" x14ac:dyDescent="0.35">
      <c r="A87" s="702" t="s">
        <v>406</v>
      </c>
      <c r="B87" s="680">
        <v>278.50837384936699</v>
      </c>
      <c r="C87" s="680">
        <v>276.08769000000001</v>
      </c>
      <c r="D87" s="681">
        <v>-2.4206838493660001</v>
      </c>
      <c r="E87" s="682">
        <v>0.99130839832200002</v>
      </c>
      <c r="F87" s="680">
        <v>180.99999999999901</v>
      </c>
      <c r="G87" s="681">
        <v>45.249999999998998</v>
      </c>
      <c r="H87" s="683">
        <v>17.263870000000001</v>
      </c>
      <c r="I87" s="680">
        <v>48.801490000000001</v>
      </c>
      <c r="J87" s="681">
        <v>3.5514899999999998</v>
      </c>
      <c r="K87" s="684">
        <v>0.26962149171200001</v>
      </c>
    </row>
    <row r="88" spans="1:11" ht="14.4" customHeight="1" thickBot="1" x14ac:dyDescent="0.35">
      <c r="A88" s="705" t="s">
        <v>46</v>
      </c>
      <c r="B88" s="685">
        <v>0</v>
      </c>
      <c r="C88" s="685">
        <v>125.59699999999999</v>
      </c>
      <c r="D88" s="686">
        <v>125.59699999999999</v>
      </c>
      <c r="E88" s="687" t="s">
        <v>324</v>
      </c>
      <c r="F88" s="685">
        <v>0</v>
      </c>
      <c r="G88" s="686">
        <v>0</v>
      </c>
      <c r="H88" s="688">
        <v>21.364999999999998</v>
      </c>
      <c r="I88" s="685">
        <v>30.504000000000001</v>
      </c>
      <c r="J88" s="686">
        <v>30.504000000000001</v>
      </c>
      <c r="K88" s="689" t="s">
        <v>324</v>
      </c>
    </row>
    <row r="89" spans="1:11" ht="14.4" customHeight="1" thickBot="1" x14ac:dyDescent="0.35">
      <c r="A89" s="701" t="s">
        <v>407</v>
      </c>
      <c r="B89" s="685">
        <v>0</v>
      </c>
      <c r="C89" s="685">
        <v>46.023000000000003</v>
      </c>
      <c r="D89" s="686">
        <v>46.023000000000003</v>
      </c>
      <c r="E89" s="687" t="s">
        <v>324</v>
      </c>
      <c r="F89" s="685">
        <v>0</v>
      </c>
      <c r="G89" s="686">
        <v>0</v>
      </c>
      <c r="H89" s="688">
        <v>21.364999999999998</v>
      </c>
      <c r="I89" s="685">
        <v>30.504000000000001</v>
      </c>
      <c r="J89" s="686">
        <v>30.504000000000001</v>
      </c>
      <c r="K89" s="689" t="s">
        <v>324</v>
      </c>
    </row>
    <row r="90" spans="1:11" ht="14.4" customHeight="1" thickBot="1" x14ac:dyDescent="0.35">
      <c r="A90" s="702" t="s">
        <v>408</v>
      </c>
      <c r="B90" s="680">
        <v>0</v>
      </c>
      <c r="C90" s="680">
        <v>32.548999999999999</v>
      </c>
      <c r="D90" s="681">
        <v>32.548999999999999</v>
      </c>
      <c r="E90" s="690" t="s">
        <v>324</v>
      </c>
      <c r="F90" s="680">
        <v>0</v>
      </c>
      <c r="G90" s="681">
        <v>0</v>
      </c>
      <c r="H90" s="683">
        <v>19.29</v>
      </c>
      <c r="I90" s="680">
        <v>22.762</v>
      </c>
      <c r="J90" s="681">
        <v>22.762</v>
      </c>
      <c r="K90" s="691" t="s">
        <v>324</v>
      </c>
    </row>
    <row r="91" spans="1:11" ht="14.4" customHeight="1" thickBot="1" x14ac:dyDescent="0.35">
      <c r="A91" s="702" t="s">
        <v>409</v>
      </c>
      <c r="B91" s="680">
        <v>0</v>
      </c>
      <c r="C91" s="680">
        <v>13.474</v>
      </c>
      <c r="D91" s="681">
        <v>13.474</v>
      </c>
      <c r="E91" s="690" t="s">
        <v>324</v>
      </c>
      <c r="F91" s="680">
        <v>0</v>
      </c>
      <c r="G91" s="681">
        <v>0</v>
      </c>
      <c r="H91" s="683">
        <v>2.0750000000000002</v>
      </c>
      <c r="I91" s="680">
        <v>7.742</v>
      </c>
      <c r="J91" s="681">
        <v>7.742</v>
      </c>
      <c r="K91" s="691" t="s">
        <v>324</v>
      </c>
    </row>
    <row r="92" spans="1:11" ht="14.4" customHeight="1" thickBot="1" x14ac:dyDescent="0.35">
      <c r="A92" s="701" t="s">
        <v>410</v>
      </c>
      <c r="B92" s="685">
        <v>0</v>
      </c>
      <c r="C92" s="685">
        <v>79.573999999999998</v>
      </c>
      <c r="D92" s="686">
        <v>79.573999999999998</v>
      </c>
      <c r="E92" s="687" t="s">
        <v>338</v>
      </c>
      <c r="F92" s="685">
        <v>0</v>
      </c>
      <c r="G92" s="686">
        <v>0</v>
      </c>
      <c r="H92" s="688">
        <v>0</v>
      </c>
      <c r="I92" s="685">
        <v>0</v>
      </c>
      <c r="J92" s="686">
        <v>0</v>
      </c>
      <c r="K92" s="689" t="s">
        <v>324</v>
      </c>
    </row>
    <row r="93" spans="1:11" ht="14.4" customHeight="1" thickBot="1" x14ac:dyDescent="0.35">
      <c r="A93" s="702" t="s">
        <v>411</v>
      </c>
      <c r="B93" s="680">
        <v>0</v>
      </c>
      <c r="C93" s="680">
        <v>79.573999999999998</v>
      </c>
      <c r="D93" s="681">
        <v>79.573999999999998</v>
      </c>
      <c r="E93" s="690" t="s">
        <v>338</v>
      </c>
      <c r="F93" s="680">
        <v>0</v>
      </c>
      <c r="G93" s="681">
        <v>0</v>
      </c>
      <c r="H93" s="683">
        <v>0</v>
      </c>
      <c r="I93" s="680">
        <v>0</v>
      </c>
      <c r="J93" s="681">
        <v>0</v>
      </c>
      <c r="K93" s="691" t="s">
        <v>324</v>
      </c>
    </row>
    <row r="94" spans="1:11" ht="14.4" customHeight="1" thickBot="1" x14ac:dyDescent="0.35">
      <c r="A94" s="700" t="s">
        <v>47</v>
      </c>
      <c r="B94" s="680">
        <v>2890.0935905586002</v>
      </c>
      <c r="C94" s="680">
        <v>2543.3379399999999</v>
      </c>
      <c r="D94" s="681">
        <v>-346.75565055860199</v>
      </c>
      <c r="E94" s="682">
        <v>0.88001923131699999</v>
      </c>
      <c r="F94" s="680">
        <v>2791.7504232320798</v>
      </c>
      <c r="G94" s="681">
        <v>697.93760580801995</v>
      </c>
      <c r="H94" s="683">
        <v>326.02189000000101</v>
      </c>
      <c r="I94" s="680">
        <v>778.08883000000105</v>
      </c>
      <c r="J94" s="681">
        <v>80.151224191980006</v>
      </c>
      <c r="K94" s="684">
        <v>0.27871002490899999</v>
      </c>
    </row>
    <row r="95" spans="1:11" ht="14.4" customHeight="1" thickBot="1" x14ac:dyDescent="0.35">
      <c r="A95" s="701" t="s">
        <v>412</v>
      </c>
      <c r="B95" s="685">
        <v>1.4452602251140001</v>
      </c>
      <c r="C95" s="685">
        <v>0.60379000000000005</v>
      </c>
      <c r="D95" s="686">
        <v>-0.84147022511400005</v>
      </c>
      <c r="E95" s="692">
        <v>0.41777251563899997</v>
      </c>
      <c r="F95" s="685">
        <v>0.670030685279</v>
      </c>
      <c r="G95" s="686">
        <v>0.16750767131899999</v>
      </c>
      <c r="H95" s="688">
        <v>0</v>
      </c>
      <c r="I95" s="685">
        <v>0</v>
      </c>
      <c r="J95" s="686">
        <v>-0.16750767131899999</v>
      </c>
      <c r="K95" s="693">
        <v>0</v>
      </c>
    </row>
    <row r="96" spans="1:11" ht="14.4" customHeight="1" thickBot="1" x14ac:dyDescent="0.35">
      <c r="A96" s="702" t="s">
        <v>413</v>
      </c>
      <c r="B96" s="680">
        <v>1.4452602251140001</v>
      </c>
      <c r="C96" s="680">
        <v>0.60379000000000005</v>
      </c>
      <c r="D96" s="681">
        <v>-0.84147022511400005</v>
      </c>
      <c r="E96" s="682">
        <v>0.41777251563899997</v>
      </c>
      <c r="F96" s="680">
        <v>0.670030685279</v>
      </c>
      <c r="G96" s="681">
        <v>0.16750767131899999</v>
      </c>
      <c r="H96" s="683">
        <v>0</v>
      </c>
      <c r="I96" s="680">
        <v>0</v>
      </c>
      <c r="J96" s="681">
        <v>-0.16750767131899999</v>
      </c>
      <c r="K96" s="684">
        <v>0</v>
      </c>
    </row>
    <row r="97" spans="1:11" ht="14.4" customHeight="1" thickBot="1" x14ac:dyDescent="0.35">
      <c r="A97" s="701" t="s">
        <v>414</v>
      </c>
      <c r="B97" s="685">
        <v>68.174791020285994</v>
      </c>
      <c r="C97" s="685">
        <v>60.939700000000002</v>
      </c>
      <c r="D97" s="686">
        <v>-7.2350910202860002</v>
      </c>
      <c r="E97" s="692">
        <v>0.89387439386300005</v>
      </c>
      <c r="F97" s="685">
        <v>65.344375061603998</v>
      </c>
      <c r="G97" s="686">
        <v>16.336093765400999</v>
      </c>
      <c r="H97" s="688">
        <v>4.8390399999999998</v>
      </c>
      <c r="I97" s="685">
        <v>11.975519999999999</v>
      </c>
      <c r="J97" s="686">
        <v>-4.3605737654009999</v>
      </c>
      <c r="K97" s="693">
        <v>0.18326780214300001</v>
      </c>
    </row>
    <row r="98" spans="1:11" ht="14.4" customHeight="1" thickBot="1" x14ac:dyDescent="0.35">
      <c r="A98" s="702" t="s">
        <v>415</v>
      </c>
      <c r="B98" s="680">
        <v>11.260737622856</v>
      </c>
      <c r="C98" s="680">
        <v>18.7257</v>
      </c>
      <c r="D98" s="681">
        <v>7.4649623771430003</v>
      </c>
      <c r="E98" s="682">
        <v>1.662919484243</v>
      </c>
      <c r="F98" s="680">
        <v>17.274141345312</v>
      </c>
      <c r="G98" s="681">
        <v>4.3185353363279999</v>
      </c>
      <c r="H98" s="683">
        <v>2.1034999999999999</v>
      </c>
      <c r="I98" s="680">
        <v>4.7516999999999996</v>
      </c>
      <c r="J98" s="681">
        <v>0.43316466367099998</v>
      </c>
      <c r="K98" s="684">
        <v>0.275075901314</v>
      </c>
    </row>
    <row r="99" spans="1:11" ht="14.4" customHeight="1" thickBot="1" x14ac:dyDescent="0.35">
      <c r="A99" s="702" t="s">
        <v>416</v>
      </c>
      <c r="B99" s="680">
        <v>56.914053397429001</v>
      </c>
      <c r="C99" s="680">
        <v>42.213999999999999</v>
      </c>
      <c r="D99" s="681">
        <v>-14.700053397429</v>
      </c>
      <c r="E99" s="682">
        <v>0.74171487497499999</v>
      </c>
      <c r="F99" s="680">
        <v>48.070233716292002</v>
      </c>
      <c r="G99" s="681">
        <v>12.017558429073</v>
      </c>
      <c r="H99" s="683">
        <v>2.7355399999999999</v>
      </c>
      <c r="I99" s="680">
        <v>7.2238199999999999</v>
      </c>
      <c r="J99" s="681">
        <v>-4.7937384290729996</v>
      </c>
      <c r="K99" s="684">
        <v>0.15027636525800001</v>
      </c>
    </row>
    <row r="100" spans="1:11" ht="14.4" customHeight="1" thickBot="1" x14ac:dyDescent="0.35">
      <c r="A100" s="701" t="s">
        <v>417</v>
      </c>
      <c r="B100" s="685">
        <v>63.649313993520003</v>
      </c>
      <c r="C100" s="685">
        <v>59.162799999999997</v>
      </c>
      <c r="D100" s="686">
        <v>-4.48651399352</v>
      </c>
      <c r="E100" s="692">
        <v>0.92951198195100004</v>
      </c>
      <c r="F100" s="685">
        <v>64</v>
      </c>
      <c r="G100" s="686">
        <v>16</v>
      </c>
      <c r="H100" s="688">
        <v>0</v>
      </c>
      <c r="I100" s="685">
        <v>31.707329999999999</v>
      </c>
      <c r="J100" s="686">
        <v>15.707330000000001</v>
      </c>
      <c r="K100" s="693">
        <v>0.495427031249</v>
      </c>
    </row>
    <row r="101" spans="1:11" ht="14.4" customHeight="1" thickBot="1" x14ac:dyDescent="0.35">
      <c r="A101" s="702" t="s">
        <v>418</v>
      </c>
      <c r="B101" s="680">
        <v>28.999953845469999</v>
      </c>
      <c r="C101" s="680">
        <v>30.51</v>
      </c>
      <c r="D101" s="681">
        <v>1.510046154529</v>
      </c>
      <c r="E101" s="682">
        <v>1.0520706399249999</v>
      </c>
      <c r="F101" s="680">
        <v>30</v>
      </c>
      <c r="G101" s="681">
        <v>7.5</v>
      </c>
      <c r="H101" s="683">
        <v>0</v>
      </c>
      <c r="I101" s="680">
        <v>7.83</v>
      </c>
      <c r="J101" s="681">
        <v>0.32999999999899998</v>
      </c>
      <c r="K101" s="684">
        <v>0.26100000000000001</v>
      </c>
    </row>
    <row r="102" spans="1:11" ht="14.4" customHeight="1" thickBot="1" x14ac:dyDescent="0.35">
      <c r="A102" s="702" t="s">
        <v>419</v>
      </c>
      <c r="B102" s="680">
        <v>34.64936014805</v>
      </c>
      <c r="C102" s="680">
        <v>28.652799999999999</v>
      </c>
      <c r="D102" s="681">
        <v>-5.9965601480500004</v>
      </c>
      <c r="E102" s="682">
        <v>0.82693590523899996</v>
      </c>
      <c r="F102" s="680">
        <v>34</v>
      </c>
      <c r="G102" s="681">
        <v>8.5</v>
      </c>
      <c r="H102" s="683">
        <v>0</v>
      </c>
      <c r="I102" s="680">
        <v>23.877330000000001</v>
      </c>
      <c r="J102" s="681">
        <v>15.377330000000001</v>
      </c>
      <c r="K102" s="684">
        <v>0.70227441176399996</v>
      </c>
    </row>
    <row r="103" spans="1:11" ht="14.4" customHeight="1" thickBot="1" x14ac:dyDescent="0.35">
      <c r="A103" s="701" t="s">
        <v>420</v>
      </c>
      <c r="B103" s="685">
        <v>4.5328031760269996</v>
      </c>
      <c r="C103" s="685">
        <v>16.3</v>
      </c>
      <c r="D103" s="686">
        <v>11.767196823973</v>
      </c>
      <c r="E103" s="692">
        <v>3.5960087758069998</v>
      </c>
      <c r="F103" s="685">
        <v>0</v>
      </c>
      <c r="G103" s="686">
        <v>0</v>
      </c>
      <c r="H103" s="688">
        <v>0</v>
      </c>
      <c r="I103" s="685">
        <v>0</v>
      </c>
      <c r="J103" s="686">
        <v>0</v>
      </c>
      <c r="K103" s="689" t="s">
        <v>324</v>
      </c>
    </row>
    <row r="104" spans="1:11" ht="14.4" customHeight="1" thickBot="1" x14ac:dyDescent="0.35">
      <c r="A104" s="702" t="s">
        <v>421</v>
      </c>
      <c r="B104" s="680">
        <v>4.5328031760269996</v>
      </c>
      <c r="C104" s="680">
        <v>16.3</v>
      </c>
      <c r="D104" s="681">
        <v>11.767196823973</v>
      </c>
      <c r="E104" s="682">
        <v>3.5960087758069998</v>
      </c>
      <c r="F104" s="680">
        <v>0</v>
      </c>
      <c r="G104" s="681">
        <v>0</v>
      </c>
      <c r="H104" s="683">
        <v>0</v>
      </c>
      <c r="I104" s="680">
        <v>0</v>
      </c>
      <c r="J104" s="681">
        <v>0</v>
      </c>
      <c r="K104" s="691" t="s">
        <v>324</v>
      </c>
    </row>
    <row r="105" spans="1:11" ht="14.4" customHeight="1" thickBot="1" x14ac:dyDescent="0.35">
      <c r="A105" s="701" t="s">
        <v>422</v>
      </c>
      <c r="B105" s="685">
        <v>1431.0726359903799</v>
      </c>
      <c r="C105" s="685">
        <v>1454.6058599999999</v>
      </c>
      <c r="D105" s="686">
        <v>23.533224009623002</v>
      </c>
      <c r="E105" s="692">
        <v>1.0164444650940001</v>
      </c>
      <c r="F105" s="685">
        <v>1565.88718825408</v>
      </c>
      <c r="G105" s="686">
        <v>391.47179706352</v>
      </c>
      <c r="H105" s="688">
        <v>126.74885</v>
      </c>
      <c r="I105" s="685">
        <v>365.36076000000003</v>
      </c>
      <c r="J105" s="686">
        <v>-26.111037063518999</v>
      </c>
      <c r="K105" s="693">
        <v>0.233325084169</v>
      </c>
    </row>
    <row r="106" spans="1:11" ht="14.4" customHeight="1" thickBot="1" x14ac:dyDescent="0.35">
      <c r="A106" s="702" t="s">
        <v>423</v>
      </c>
      <c r="B106" s="680">
        <v>1131.2203775217099</v>
      </c>
      <c r="C106" s="680">
        <v>1152.1081799999999</v>
      </c>
      <c r="D106" s="681">
        <v>20.887802478287</v>
      </c>
      <c r="E106" s="682">
        <v>1.018464839295</v>
      </c>
      <c r="F106" s="680">
        <v>1194</v>
      </c>
      <c r="G106" s="681">
        <v>298.5</v>
      </c>
      <c r="H106" s="683">
        <v>95.749380000000002</v>
      </c>
      <c r="I106" s="680">
        <v>285.68450000000001</v>
      </c>
      <c r="J106" s="681">
        <v>-12.8155</v>
      </c>
      <c r="K106" s="684">
        <v>0.239266750418</v>
      </c>
    </row>
    <row r="107" spans="1:11" ht="14.4" customHeight="1" thickBot="1" x14ac:dyDescent="0.35">
      <c r="A107" s="702" t="s">
        <v>424</v>
      </c>
      <c r="B107" s="680">
        <v>0</v>
      </c>
      <c r="C107" s="680">
        <v>4.2350000000000003</v>
      </c>
      <c r="D107" s="681">
        <v>4.2350000000000003</v>
      </c>
      <c r="E107" s="690" t="s">
        <v>338</v>
      </c>
      <c r="F107" s="680">
        <v>0</v>
      </c>
      <c r="G107" s="681">
        <v>0</v>
      </c>
      <c r="H107" s="683">
        <v>3.8417500000000002</v>
      </c>
      <c r="I107" s="680">
        <v>3.8417500000000002</v>
      </c>
      <c r="J107" s="681">
        <v>3.8417500000000002</v>
      </c>
      <c r="K107" s="691" t="s">
        <v>324</v>
      </c>
    </row>
    <row r="108" spans="1:11" ht="14.4" customHeight="1" thickBot="1" x14ac:dyDescent="0.35">
      <c r="A108" s="702" t="s">
        <v>425</v>
      </c>
      <c r="B108" s="680">
        <v>0</v>
      </c>
      <c r="C108" s="680">
        <v>6.0999999999999999E-2</v>
      </c>
      <c r="D108" s="681">
        <v>6.0999999999999999E-2</v>
      </c>
      <c r="E108" s="690" t="s">
        <v>338</v>
      </c>
      <c r="F108" s="680">
        <v>6.8498295277999999E-2</v>
      </c>
      <c r="G108" s="681">
        <v>1.7124573819E-2</v>
      </c>
      <c r="H108" s="683">
        <v>0</v>
      </c>
      <c r="I108" s="680">
        <v>0</v>
      </c>
      <c r="J108" s="681">
        <v>-1.7124573819E-2</v>
      </c>
      <c r="K108" s="684">
        <v>0</v>
      </c>
    </row>
    <row r="109" spans="1:11" ht="14.4" customHeight="1" thickBot="1" x14ac:dyDescent="0.35">
      <c r="A109" s="702" t="s">
        <v>426</v>
      </c>
      <c r="B109" s="680">
        <v>299.85225846866399</v>
      </c>
      <c r="C109" s="680">
        <v>298.20168000000001</v>
      </c>
      <c r="D109" s="681">
        <v>-1.6505784686639999</v>
      </c>
      <c r="E109" s="682">
        <v>0.99449536089099999</v>
      </c>
      <c r="F109" s="680">
        <v>371.81868995880001</v>
      </c>
      <c r="G109" s="681">
        <v>92.954672489699007</v>
      </c>
      <c r="H109" s="683">
        <v>27.157720000000001</v>
      </c>
      <c r="I109" s="680">
        <v>75.834509999999995</v>
      </c>
      <c r="J109" s="681">
        <v>-17.120162489698998</v>
      </c>
      <c r="K109" s="684">
        <v>0.203955616132</v>
      </c>
    </row>
    <row r="110" spans="1:11" ht="14.4" customHeight="1" thickBot="1" x14ac:dyDescent="0.35">
      <c r="A110" s="701" t="s">
        <v>427</v>
      </c>
      <c r="B110" s="685">
        <v>1321.21878615328</v>
      </c>
      <c r="C110" s="685">
        <v>947.98779000000002</v>
      </c>
      <c r="D110" s="686">
        <v>-373.23099615327601</v>
      </c>
      <c r="E110" s="692">
        <v>0.71751007473899997</v>
      </c>
      <c r="F110" s="685">
        <v>1095.8488292311199</v>
      </c>
      <c r="G110" s="686">
        <v>273.96220730777901</v>
      </c>
      <c r="H110" s="688">
        <v>194.434</v>
      </c>
      <c r="I110" s="685">
        <v>369.04521999999997</v>
      </c>
      <c r="J110" s="686">
        <v>95.083012692219995</v>
      </c>
      <c r="K110" s="693">
        <v>0.33676654129200001</v>
      </c>
    </row>
    <row r="111" spans="1:11" ht="14.4" customHeight="1" thickBot="1" x14ac:dyDescent="0.35">
      <c r="A111" s="702" t="s">
        <v>428</v>
      </c>
      <c r="B111" s="680">
        <v>57.999907690939999</v>
      </c>
      <c r="C111" s="680">
        <v>55.835999999999999</v>
      </c>
      <c r="D111" s="681">
        <v>-2.1639076909399999</v>
      </c>
      <c r="E111" s="682">
        <v>0.96269118732900005</v>
      </c>
      <c r="F111" s="680">
        <v>0</v>
      </c>
      <c r="G111" s="681">
        <v>0</v>
      </c>
      <c r="H111" s="683">
        <v>0</v>
      </c>
      <c r="I111" s="680">
        <v>0</v>
      </c>
      <c r="J111" s="681">
        <v>0</v>
      </c>
      <c r="K111" s="691" t="s">
        <v>324</v>
      </c>
    </row>
    <row r="112" spans="1:11" ht="14.4" customHeight="1" thickBot="1" x14ac:dyDescent="0.35">
      <c r="A112" s="702" t="s">
        <v>429</v>
      </c>
      <c r="B112" s="680">
        <v>402.75185125876698</v>
      </c>
      <c r="C112" s="680">
        <v>479.09703999999999</v>
      </c>
      <c r="D112" s="681">
        <v>76.345188741233002</v>
      </c>
      <c r="E112" s="682">
        <v>1.1895588772650001</v>
      </c>
      <c r="F112" s="680">
        <v>481.64011669528799</v>
      </c>
      <c r="G112" s="681">
        <v>120.410029173822</v>
      </c>
      <c r="H112" s="683">
        <v>167.48666</v>
      </c>
      <c r="I112" s="680">
        <v>265.57220999999998</v>
      </c>
      <c r="J112" s="681">
        <v>145.162180826178</v>
      </c>
      <c r="K112" s="684">
        <v>0.55139138289</v>
      </c>
    </row>
    <row r="113" spans="1:11" ht="14.4" customHeight="1" thickBot="1" x14ac:dyDescent="0.35">
      <c r="A113" s="702" t="s">
        <v>430</v>
      </c>
      <c r="B113" s="680">
        <v>19.999968169289001</v>
      </c>
      <c r="C113" s="680">
        <v>19.1858</v>
      </c>
      <c r="D113" s="681">
        <v>-0.81416816928900004</v>
      </c>
      <c r="E113" s="682">
        <v>0.95929152674600005</v>
      </c>
      <c r="F113" s="680">
        <v>19</v>
      </c>
      <c r="G113" s="681">
        <v>4.75</v>
      </c>
      <c r="H113" s="683">
        <v>1.089</v>
      </c>
      <c r="I113" s="680">
        <v>6.05</v>
      </c>
      <c r="J113" s="681">
        <v>1.3</v>
      </c>
      <c r="K113" s="684">
        <v>0.31842105263100001</v>
      </c>
    </row>
    <row r="114" spans="1:11" ht="14.4" customHeight="1" thickBot="1" x14ac:dyDescent="0.35">
      <c r="A114" s="702" t="s">
        <v>431</v>
      </c>
      <c r="B114" s="680">
        <v>3.9848541474500001</v>
      </c>
      <c r="C114" s="680">
        <v>23.4499</v>
      </c>
      <c r="D114" s="681">
        <v>19.465045852549</v>
      </c>
      <c r="E114" s="682">
        <v>5.8847574170310004</v>
      </c>
      <c r="F114" s="680">
        <v>29.443372017969999</v>
      </c>
      <c r="G114" s="681">
        <v>7.3608430044919997</v>
      </c>
      <c r="H114" s="683">
        <v>1.5488</v>
      </c>
      <c r="I114" s="680">
        <v>1.5488</v>
      </c>
      <c r="J114" s="681">
        <v>-5.8120430044919997</v>
      </c>
      <c r="K114" s="684">
        <v>5.2602670613000002E-2</v>
      </c>
    </row>
    <row r="115" spans="1:11" ht="14.4" customHeight="1" thickBot="1" x14ac:dyDescent="0.35">
      <c r="A115" s="702" t="s">
        <v>432</v>
      </c>
      <c r="B115" s="680">
        <v>836.48220488682796</v>
      </c>
      <c r="C115" s="680">
        <v>370.41905000000003</v>
      </c>
      <c r="D115" s="681">
        <v>-466.06315488682799</v>
      </c>
      <c r="E115" s="682">
        <v>0.44282956389900002</v>
      </c>
      <c r="F115" s="680">
        <v>565.76534051785904</v>
      </c>
      <c r="G115" s="681">
        <v>141.44133512946499</v>
      </c>
      <c r="H115" s="683">
        <v>24.309539999999998</v>
      </c>
      <c r="I115" s="680">
        <v>95.874210000000005</v>
      </c>
      <c r="J115" s="681">
        <v>-45.567125129464003</v>
      </c>
      <c r="K115" s="684">
        <v>0.16945932020500001</v>
      </c>
    </row>
    <row r="116" spans="1:11" ht="14.4" customHeight="1" thickBot="1" x14ac:dyDescent="0.35">
      <c r="A116" s="701" t="s">
        <v>433</v>
      </c>
      <c r="B116" s="685">
        <v>0</v>
      </c>
      <c r="C116" s="685">
        <v>3.7379999999989999</v>
      </c>
      <c r="D116" s="686">
        <v>3.7379999999989999</v>
      </c>
      <c r="E116" s="687" t="s">
        <v>324</v>
      </c>
      <c r="F116" s="685">
        <v>0</v>
      </c>
      <c r="G116" s="686">
        <v>0</v>
      </c>
      <c r="H116" s="688">
        <v>0</v>
      </c>
      <c r="I116" s="685">
        <v>0</v>
      </c>
      <c r="J116" s="686">
        <v>0</v>
      </c>
      <c r="K116" s="689" t="s">
        <v>324</v>
      </c>
    </row>
    <row r="117" spans="1:11" ht="14.4" customHeight="1" thickBot="1" x14ac:dyDescent="0.35">
      <c r="A117" s="702" t="s">
        <v>434</v>
      </c>
      <c r="B117" s="680">
        <v>0</v>
      </c>
      <c r="C117" s="680">
        <v>3.738</v>
      </c>
      <c r="D117" s="681">
        <v>3.738</v>
      </c>
      <c r="E117" s="690" t="s">
        <v>338</v>
      </c>
      <c r="F117" s="680">
        <v>0</v>
      </c>
      <c r="G117" s="681">
        <v>0</v>
      </c>
      <c r="H117" s="683">
        <v>0</v>
      </c>
      <c r="I117" s="680">
        <v>0</v>
      </c>
      <c r="J117" s="681">
        <v>0</v>
      </c>
      <c r="K117" s="684">
        <v>3</v>
      </c>
    </row>
    <row r="118" spans="1:11" ht="14.4" customHeight="1" thickBot="1" x14ac:dyDescent="0.35">
      <c r="A118" s="699" t="s">
        <v>48</v>
      </c>
      <c r="B118" s="680">
        <v>57167.005161007801</v>
      </c>
      <c r="C118" s="680">
        <v>60855.692600000002</v>
      </c>
      <c r="D118" s="681">
        <v>3688.6874389922</v>
      </c>
      <c r="E118" s="682">
        <v>1.064524762642</v>
      </c>
      <c r="F118" s="680">
        <v>61104</v>
      </c>
      <c r="G118" s="681">
        <v>15276</v>
      </c>
      <c r="H118" s="683">
        <v>4914.9151100000099</v>
      </c>
      <c r="I118" s="680">
        <v>15167.71117</v>
      </c>
      <c r="J118" s="681">
        <v>-108.288829999996</v>
      </c>
      <c r="K118" s="684">
        <v>0.248227794743</v>
      </c>
    </row>
    <row r="119" spans="1:11" ht="14.4" customHeight="1" thickBot="1" x14ac:dyDescent="0.35">
      <c r="A119" s="705" t="s">
        <v>435</v>
      </c>
      <c r="B119" s="685">
        <v>42221.003811690498</v>
      </c>
      <c r="C119" s="685">
        <v>45276.025999999998</v>
      </c>
      <c r="D119" s="686">
        <v>3055.0221883095301</v>
      </c>
      <c r="E119" s="692">
        <v>1.072357876708</v>
      </c>
      <c r="F119" s="685">
        <v>44961</v>
      </c>
      <c r="G119" s="686">
        <v>11240.25</v>
      </c>
      <c r="H119" s="688">
        <v>3617.8160000000098</v>
      </c>
      <c r="I119" s="685">
        <v>11162.349</v>
      </c>
      <c r="J119" s="686">
        <v>-77.901000000001005</v>
      </c>
      <c r="K119" s="693">
        <v>0.24826736504899999</v>
      </c>
    </row>
    <row r="120" spans="1:11" ht="14.4" customHeight="1" thickBot="1" x14ac:dyDescent="0.35">
      <c r="A120" s="701" t="s">
        <v>436</v>
      </c>
      <c r="B120" s="685">
        <v>42100.003800766703</v>
      </c>
      <c r="C120" s="685">
        <v>45179.83</v>
      </c>
      <c r="D120" s="686">
        <v>3079.8261992333501</v>
      </c>
      <c r="E120" s="692">
        <v>1.0731550100039999</v>
      </c>
      <c r="F120" s="685">
        <v>44837</v>
      </c>
      <c r="G120" s="686">
        <v>11209.25</v>
      </c>
      <c r="H120" s="688">
        <v>3602.20100000001</v>
      </c>
      <c r="I120" s="685">
        <v>11123.865</v>
      </c>
      <c r="J120" s="686">
        <v>-85.385000000001995</v>
      </c>
      <c r="K120" s="693">
        <v>0.24809565760399999</v>
      </c>
    </row>
    <row r="121" spans="1:11" ht="14.4" customHeight="1" thickBot="1" x14ac:dyDescent="0.35">
      <c r="A121" s="702" t="s">
        <v>437</v>
      </c>
      <c r="B121" s="680">
        <v>42100.003800766703</v>
      </c>
      <c r="C121" s="680">
        <v>45179.83</v>
      </c>
      <c r="D121" s="681">
        <v>3079.8261992333501</v>
      </c>
      <c r="E121" s="682">
        <v>1.0731550100039999</v>
      </c>
      <c r="F121" s="680">
        <v>44837</v>
      </c>
      <c r="G121" s="681">
        <v>11209.25</v>
      </c>
      <c r="H121" s="683">
        <v>3602.20100000001</v>
      </c>
      <c r="I121" s="680">
        <v>11123.865</v>
      </c>
      <c r="J121" s="681">
        <v>-85.385000000001995</v>
      </c>
      <c r="K121" s="684">
        <v>0.24809565760399999</v>
      </c>
    </row>
    <row r="122" spans="1:11" ht="14.4" customHeight="1" thickBot="1" x14ac:dyDescent="0.35">
      <c r="A122" s="701" t="s">
        <v>438</v>
      </c>
      <c r="B122" s="685">
        <v>0</v>
      </c>
      <c r="C122" s="685">
        <v>-3.53</v>
      </c>
      <c r="D122" s="686">
        <v>-3.53</v>
      </c>
      <c r="E122" s="687" t="s">
        <v>338</v>
      </c>
      <c r="F122" s="685">
        <v>0</v>
      </c>
      <c r="G122" s="686">
        <v>0</v>
      </c>
      <c r="H122" s="688">
        <v>0</v>
      </c>
      <c r="I122" s="685">
        <v>0</v>
      </c>
      <c r="J122" s="686">
        <v>0</v>
      </c>
      <c r="K122" s="689" t="s">
        <v>324</v>
      </c>
    </row>
    <row r="123" spans="1:11" ht="14.4" customHeight="1" thickBot="1" x14ac:dyDescent="0.35">
      <c r="A123" s="702" t="s">
        <v>439</v>
      </c>
      <c r="B123" s="680">
        <v>0</v>
      </c>
      <c r="C123" s="680">
        <v>-3.53</v>
      </c>
      <c r="D123" s="681">
        <v>-3.53</v>
      </c>
      <c r="E123" s="690" t="s">
        <v>338</v>
      </c>
      <c r="F123" s="680">
        <v>0</v>
      </c>
      <c r="G123" s="681">
        <v>0</v>
      </c>
      <c r="H123" s="683">
        <v>0</v>
      </c>
      <c r="I123" s="680">
        <v>0</v>
      </c>
      <c r="J123" s="681">
        <v>0</v>
      </c>
      <c r="K123" s="691" t="s">
        <v>324</v>
      </c>
    </row>
    <row r="124" spans="1:11" ht="14.4" customHeight="1" thickBot="1" x14ac:dyDescent="0.35">
      <c r="A124" s="701" t="s">
        <v>440</v>
      </c>
      <c r="B124" s="685">
        <v>121.000010923819</v>
      </c>
      <c r="C124" s="685">
        <v>99.725999999999999</v>
      </c>
      <c r="D124" s="686">
        <v>-21.274010923818</v>
      </c>
      <c r="E124" s="692">
        <v>0.82418174377499998</v>
      </c>
      <c r="F124" s="685">
        <v>124</v>
      </c>
      <c r="G124" s="686">
        <v>31</v>
      </c>
      <c r="H124" s="688">
        <v>15.615</v>
      </c>
      <c r="I124" s="685">
        <v>38.484000000000002</v>
      </c>
      <c r="J124" s="686">
        <v>7.4839999999989999</v>
      </c>
      <c r="K124" s="693">
        <v>0.31035483870899999</v>
      </c>
    </row>
    <row r="125" spans="1:11" ht="14.4" customHeight="1" thickBot="1" x14ac:dyDescent="0.35">
      <c r="A125" s="702" t="s">
        <v>441</v>
      </c>
      <c r="B125" s="680">
        <v>121.000010923819</v>
      </c>
      <c r="C125" s="680">
        <v>99.725999999999999</v>
      </c>
      <c r="D125" s="681">
        <v>-21.274010923818</v>
      </c>
      <c r="E125" s="682">
        <v>0.82418174377499998</v>
      </c>
      <c r="F125" s="680">
        <v>124</v>
      </c>
      <c r="G125" s="681">
        <v>31</v>
      </c>
      <c r="H125" s="683">
        <v>15.615</v>
      </c>
      <c r="I125" s="680">
        <v>38.484000000000002</v>
      </c>
      <c r="J125" s="681">
        <v>7.4839999999989999</v>
      </c>
      <c r="K125" s="684">
        <v>0.31035483870899999</v>
      </c>
    </row>
    <row r="126" spans="1:11" ht="14.4" customHeight="1" thickBot="1" x14ac:dyDescent="0.35">
      <c r="A126" s="700" t="s">
        <v>442</v>
      </c>
      <c r="B126" s="680">
        <v>14314.0012922607</v>
      </c>
      <c r="C126" s="680">
        <v>14900.536</v>
      </c>
      <c r="D126" s="681">
        <v>586.53470773933395</v>
      </c>
      <c r="E126" s="682">
        <v>1.0409762927749999</v>
      </c>
      <c r="F126" s="680">
        <v>15246</v>
      </c>
      <c r="G126" s="681">
        <v>3811.5</v>
      </c>
      <c r="H126" s="683">
        <v>1224.7505799999999</v>
      </c>
      <c r="I126" s="680">
        <v>3782.1188699999998</v>
      </c>
      <c r="J126" s="681">
        <v>-29.381129999993</v>
      </c>
      <c r="K126" s="684">
        <v>0.24807286304599999</v>
      </c>
    </row>
    <row r="127" spans="1:11" ht="14.4" customHeight="1" thickBot="1" x14ac:dyDescent="0.35">
      <c r="A127" s="701" t="s">
        <v>443</v>
      </c>
      <c r="B127" s="685">
        <v>3789.000342069</v>
      </c>
      <c r="C127" s="685">
        <v>4066.1774999999998</v>
      </c>
      <c r="D127" s="686">
        <v>277.17715793100098</v>
      </c>
      <c r="E127" s="692">
        <v>1.073153109767</v>
      </c>
      <c r="F127" s="685">
        <v>4035.99999999998</v>
      </c>
      <c r="G127" s="686">
        <v>1009</v>
      </c>
      <c r="H127" s="688">
        <v>324.20033000000097</v>
      </c>
      <c r="I127" s="685">
        <v>1001.15262</v>
      </c>
      <c r="J127" s="686">
        <v>-7.8473799999949998</v>
      </c>
      <c r="K127" s="693">
        <v>0.24805565411200001</v>
      </c>
    </row>
    <row r="128" spans="1:11" ht="14.4" customHeight="1" thickBot="1" x14ac:dyDescent="0.35">
      <c r="A128" s="702" t="s">
        <v>444</v>
      </c>
      <c r="B128" s="680">
        <v>3789.000342069</v>
      </c>
      <c r="C128" s="680">
        <v>4066.1774999999998</v>
      </c>
      <c r="D128" s="681">
        <v>277.17715793100098</v>
      </c>
      <c r="E128" s="682">
        <v>1.073153109767</v>
      </c>
      <c r="F128" s="680">
        <v>4035.99999999998</v>
      </c>
      <c r="G128" s="681">
        <v>1009</v>
      </c>
      <c r="H128" s="683">
        <v>324.20033000000097</v>
      </c>
      <c r="I128" s="680">
        <v>1001.15262</v>
      </c>
      <c r="J128" s="681">
        <v>-7.8473799999949998</v>
      </c>
      <c r="K128" s="684">
        <v>0.24805565411200001</v>
      </c>
    </row>
    <row r="129" spans="1:11" ht="14.4" customHeight="1" thickBot="1" x14ac:dyDescent="0.35">
      <c r="A129" s="701" t="s">
        <v>445</v>
      </c>
      <c r="B129" s="685">
        <v>10525.000950191699</v>
      </c>
      <c r="C129" s="685">
        <v>10835.559499999999</v>
      </c>
      <c r="D129" s="686">
        <v>310.55854980833601</v>
      </c>
      <c r="E129" s="692">
        <v>1.0295067479110001</v>
      </c>
      <c r="F129" s="685">
        <v>11210</v>
      </c>
      <c r="G129" s="686">
        <v>2802.5</v>
      </c>
      <c r="H129" s="688">
        <v>900.55025000000103</v>
      </c>
      <c r="I129" s="685">
        <v>2780.9662499999999</v>
      </c>
      <c r="J129" s="686">
        <v>-21.533749999996999</v>
      </c>
      <c r="K129" s="693">
        <v>0.24807905887600001</v>
      </c>
    </row>
    <row r="130" spans="1:11" ht="14.4" customHeight="1" thickBot="1" x14ac:dyDescent="0.35">
      <c r="A130" s="702" t="s">
        <v>446</v>
      </c>
      <c r="B130" s="680">
        <v>10525.000950191699</v>
      </c>
      <c r="C130" s="680">
        <v>10835.559499999999</v>
      </c>
      <c r="D130" s="681">
        <v>310.55854980833601</v>
      </c>
      <c r="E130" s="682">
        <v>1.0295067479110001</v>
      </c>
      <c r="F130" s="680">
        <v>11210</v>
      </c>
      <c r="G130" s="681">
        <v>2802.5</v>
      </c>
      <c r="H130" s="683">
        <v>900.55025000000103</v>
      </c>
      <c r="I130" s="680">
        <v>2780.9662499999999</v>
      </c>
      <c r="J130" s="681">
        <v>-21.533749999996999</v>
      </c>
      <c r="K130" s="684">
        <v>0.24807905887600001</v>
      </c>
    </row>
    <row r="131" spans="1:11" ht="14.4" customHeight="1" thickBot="1" x14ac:dyDescent="0.35">
      <c r="A131" s="701" t="s">
        <v>447</v>
      </c>
      <c r="B131" s="685">
        <v>0</v>
      </c>
      <c r="C131" s="685">
        <v>-0.318</v>
      </c>
      <c r="D131" s="686">
        <v>-0.318</v>
      </c>
      <c r="E131" s="687" t="s">
        <v>338</v>
      </c>
      <c r="F131" s="685">
        <v>0</v>
      </c>
      <c r="G131" s="686">
        <v>0</v>
      </c>
      <c r="H131" s="688">
        <v>0</v>
      </c>
      <c r="I131" s="685">
        <v>0</v>
      </c>
      <c r="J131" s="686">
        <v>0</v>
      </c>
      <c r="K131" s="689" t="s">
        <v>324</v>
      </c>
    </row>
    <row r="132" spans="1:11" ht="14.4" customHeight="1" thickBot="1" x14ac:dyDescent="0.35">
      <c r="A132" s="702" t="s">
        <v>448</v>
      </c>
      <c r="B132" s="680">
        <v>0</v>
      </c>
      <c r="C132" s="680">
        <v>-0.318</v>
      </c>
      <c r="D132" s="681">
        <v>-0.318</v>
      </c>
      <c r="E132" s="690" t="s">
        <v>338</v>
      </c>
      <c r="F132" s="680">
        <v>0</v>
      </c>
      <c r="G132" s="681">
        <v>0</v>
      </c>
      <c r="H132" s="683">
        <v>0</v>
      </c>
      <c r="I132" s="680">
        <v>0</v>
      </c>
      <c r="J132" s="681">
        <v>0</v>
      </c>
      <c r="K132" s="691" t="s">
        <v>324</v>
      </c>
    </row>
    <row r="133" spans="1:11" ht="14.4" customHeight="1" thickBot="1" x14ac:dyDescent="0.35">
      <c r="A133" s="701" t="s">
        <v>449</v>
      </c>
      <c r="B133" s="685">
        <v>0</v>
      </c>
      <c r="C133" s="685">
        <v>-0.88300000000000001</v>
      </c>
      <c r="D133" s="686">
        <v>-0.88300000000000001</v>
      </c>
      <c r="E133" s="687" t="s">
        <v>338</v>
      </c>
      <c r="F133" s="685">
        <v>0</v>
      </c>
      <c r="G133" s="686">
        <v>0</v>
      </c>
      <c r="H133" s="688">
        <v>0</v>
      </c>
      <c r="I133" s="685">
        <v>0</v>
      </c>
      <c r="J133" s="686">
        <v>0</v>
      </c>
      <c r="K133" s="689" t="s">
        <v>324</v>
      </c>
    </row>
    <row r="134" spans="1:11" ht="14.4" customHeight="1" thickBot="1" x14ac:dyDescent="0.35">
      <c r="A134" s="702" t="s">
        <v>450</v>
      </c>
      <c r="B134" s="680">
        <v>0</v>
      </c>
      <c r="C134" s="680">
        <v>-0.88300000000000001</v>
      </c>
      <c r="D134" s="681">
        <v>-0.88300000000000001</v>
      </c>
      <c r="E134" s="690" t="s">
        <v>338</v>
      </c>
      <c r="F134" s="680">
        <v>0</v>
      </c>
      <c r="G134" s="681">
        <v>0</v>
      </c>
      <c r="H134" s="683">
        <v>0</v>
      </c>
      <c r="I134" s="680">
        <v>0</v>
      </c>
      <c r="J134" s="681">
        <v>0</v>
      </c>
      <c r="K134" s="691" t="s">
        <v>324</v>
      </c>
    </row>
    <row r="135" spans="1:11" ht="14.4" customHeight="1" thickBot="1" x14ac:dyDescent="0.35">
      <c r="A135" s="700" t="s">
        <v>451</v>
      </c>
      <c r="B135" s="680">
        <v>632.00005705664</v>
      </c>
      <c r="C135" s="680">
        <v>679.13059999999996</v>
      </c>
      <c r="D135" s="681">
        <v>47.130542943359998</v>
      </c>
      <c r="E135" s="682">
        <v>1.0745736371650001</v>
      </c>
      <c r="F135" s="680">
        <v>897.00000000000102</v>
      </c>
      <c r="G135" s="681">
        <v>224.25</v>
      </c>
      <c r="H135" s="683">
        <v>72.348529999999997</v>
      </c>
      <c r="I135" s="680">
        <v>223.2433</v>
      </c>
      <c r="J135" s="681">
        <v>-1.0066999999999999</v>
      </c>
      <c r="K135" s="684">
        <v>0.24887770345499999</v>
      </c>
    </row>
    <row r="136" spans="1:11" ht="14.4" customHeight="1" thickBot="1" x14ac:dyDescent="0.35">
      <c r="A136" s="701" t="s">
        <v>452</v>
      </c>
      <c r="B136" s="685">
        <v>632.00005705664</v>
      </c>
      <c r="C136" s="685">
        <v>679.13059999999996</v>
      </c>
      <c r="D136" s="686">
        <v>47.130542943359998</v>
      </c>
      <c r="E136" s="692">
        <v>1.0745736371650001</v>
      </c>
      <c r="F136" s="685">
        <v>897.00000000000102</v>
      </c>
      <c r="G136" s="686">
        <v>224.25</v>
      </c>
      <c r="H136" s="688">
        <v>72.348529999999997</v>
      </c>
      <c r="I136" s="685">
        <v>223.2433</v>
      </c>
      <c r="J136" s="686">
        <v>-1.0066999999999999</v>
      </c>
      <c r="K136" s="693">
        <v>0.24887770345499999</v>
      </c>
    </row>
    <row r="137" spans="1:11" ht="14.4" customHeight="1" thickBot="1" x14ac:dyDescent="0.35">
      <c r="A137" s="702" t="s">
        <v>453</v>
      </c>
      <c r="B137" s="680">
        <v>632.00005705664</v>
      </c>
      <c r="C137" s="680">
        <v>679.13059999999996</v>
      </c>
      <c r="D137" s="681">
        <v>47.130542943359998</v>
      </c>
      <c r="E137" s="682">
        <v>1.0745736371650001</v>
      </c>
      <c r="F137" s="680">
        <v>897.00000000000102</v>
      </c>
      <c r="G137" s="681">
        <v>224.25</v>
      </c>
      <c r="H137" s="683">
        <v>72.348529999999997</v>
      </c>
      <c r="I137" s="680">
        <v>223.2433</v>
      </c>
      <c r="J137" s="681">
        <v>-1.0066999999999999</v>
      </c>
      <c r="K137" s="684">
        <v>0.24887770345499999</v>
      </c>
    </row>
    <row r="138" spans="1:11" ht="14.4" customHeight="1" thickBot="1" x14ac:dyDescent="0.35">
      <c r="A138" s="699" t="s">
        <v>454</v>
      </c>
      <c r="B138" s="680">
        <v>0</v>
      </c>
      <c r="C138" s="680">
        <v>174.95698999999999</v>
      </c>
      <c r="D138" s="681">
        <v>174.95698999999999</v>
      </c>
      <c r="E138" s="690" t="s">
        <v>324</v>
      </c>
      <c r="F138" s="680">
        <v>0</v>
      </c>
      <c r="G138" s="681">
        <v>0</v>
      </c>
      <c r="H138" s="683">
        <v>9.0920000000000005</v>
      </c>
      <c r="I138" s="680">
        <v>26.658010000000001</v>
      </c>
      <c r="J138" s="681">
        <v>26.658010000000001</v>
      </c>
      <c r="K138" s="691" t="s">
        <v>324</v>
      </c>
    </row>
    <row r="139" spans="1:11" ht="14.4" customHeight="1" thickBot="1" x14ac:dyDescent="0.35">
      <c r="A139" s="700" t="s">
        <v>455</v>
      </c>
      <c r="B139" s="680">
        <v>0</v>
      </c>
      <c r="C139" s="680">
        <v>174.95698999999999</v>
      </c>
      <c r="D139" s="681">
        <v>174.95698999999999</v>
      </c>
      <c r="E139" s="690" t="s">
        <v>324</v>
      </c>
      <c r="F139" s="680">
        <v>0</v>
      </c>
      <c r="G139" s="681">
        <v>0</v>
      </c>
      <c r="H139" s="683">
        <v>9.0920000000000005</v>
      </c>
      <c r="I139" s="680">
        <v>26.658010000000001</v>
      </c>
      <c r="J139" s="681">
        <v>26.658010000000001</v>
      </c>
      <c r="K139" s="691" t="s">
        <v>324</v>
      </c>
    </row>
    <row r="140" spans="1:11" ht="14.4" customHeight="1" thickBot="1" x14ac:dyDescent="0.35">
      <c r="A140" s="701" t="s">
        <v>456</v>
      </c>
      <c r="B140" s="685">
        <v>0</v>
      </c>
      <c r="C140" s="685">
        <v>102.16649</v>
      </c>
      <c r="D140" s="686">
        <v>102.16649</v>
      </c>
      <c r="E140" s="687" t="s">
        <v>324</v>
      </c>
      <c r="F140" s="685">
        <v>0</v>
      </c>
      <c r="G140" s="686">
        <v>0</v>
      </c>
      <c r="H140" s="688">
        <v>9.0920000000000005</v>
      </c>
      <c r="I140" s="685">
        <v>26.658010000000001</v>
      </c>
      <c r="J140" s="686">
        <v>26.658010000000001</v>
      </c>
      <c r="K140" s="689" t="s">
        <v>324</v>
      </c>
    </row>
    <row r="141" spans="1:11" ht="14.4" customHeight="1" thickBot="1" x14ac:dyDescent="0.35">
      <c r="A141" s="702" t="s">
        <v>457</v>
      </c>
      <c r="B141" s="680">
        <v>0</v>
      </c>
      <c r="C141" s="680">
        <v>2.77149</v>
      </c>
      <c r="D141" s="681">
        <v>2.77149</v>
      </c>
      <c r="E141" s="690" t="s">
        <v>324</v>
      </c>
      <c r="F141" s="680">
        <v>0</v>
      </c>
      <c r="G141" s="681">
        <v>0</v>
      </c>
      <c r="H141" s="683">
        <v>0</v>
      </c>
      <c r="I141" s="680">
        <v>0.16001000000000001</v>
      </c>
      <c r="J141" s="681">
        <v>0.16001000000000001</v>
      </c>
      <c r="K141" s="691" t="s">
        <v>324</v>
      </c>
    </row>
    <row r="142" spans="1:11" ht="14.4" customHeight="1" thickBot="1" x14ac:dyDescent="0.35">
      <c r="A142" s="702" t="s">
        <v>458</v>
      </c>
      <c r="B142" s="680">
        <v>0</v>
      </c>
      <c r="C142" s="680">
        <v>0</v>
      </c>
      <c r="D142" s="681">
        <v>0</v>
      </c>
      <c r="E142" s="690" t="s">
        <v>324</v>
      </c>
      <c r="F142" s="680">
        <v>0</v>
      </c>
      <c r="G142" s="681">
        <v>0</v>
      </c>
      <c r="H142" s="683">
        <v>0</v>
      </c>
      <c r="I142" s="680">
        <v>-4.9969999999999999</v>
      </c>
      <c r="J142" s="681">
        <v>-4.9969999999999999</v>
      </c>
      <c r="K142" s="691" t="s">
        <v>338</v>
      </c>
    </row>
    <row r="143" spans="1:11" ht="14.4" customHeight="1" thickBot="1" x14ac:dyDescent="0.35">
      <c r="A143" s="702" t="s">
        <v>459</v>
      </c>
      <c r="B143" s="680">
        <v>0</v>
      </c>
      <c r="C143" s="680">
        <v>45.4</v>
      </c>
      <c r="D143" s="681">
        <v>45.4</v>
      </c>
      <c r="E143" s="690" t="s">
        <v>338</v>
      </c>
      <c r="F143" s="680">
        <v>0</v>
      </c>
      <c r="G143" s="681">
        <v>0</v>
      </c>
      <c r="H143" s="683">
        <v>0</v>
      </c>
      <c r="I143" s="680">
        <v>0</v>
      </c>
      <c r="J143" s="681">
        <v>0</v>
      </c>
      <c r="K143" s="691" t="s">
        <v>324</v>
      </c>
    </row>
    <row r="144" spans="1:11" ht="14.4" customHeight="1" thickBot="1" x14ac:dyDescent="0.35">
      <c r="A144" s="702" t="s">
        <v>460</v>
      </c>
      <c r="B144" s="680">
        <v>0</v>
      </c>
      <c r="C144" s="680">
        <v>53.994999999999997</v>
      </c>
      <c r="D144" s="681">
        <v>53.994999999999997</v>
      </c>
      <c r="E144" s="690" t="s">
        <v>324</v>
      </c>
      <c r="F144" s="680">
        <v>0</v>
      </c>
      <c r="G144" s="681">
        <v>0</v>
      </c>
      <c r="H144" s="683">
        <v>9.0920000000000005</v>
      </c>
      <c r="I144" s="680">
        <v>31.495000000000001</v>
      </c>
      <c r="J144" s="681">
        <v>31.495000000000001</v>
      </c>
      <c r="K144" s="691" t="s">
        <v>324</v>
      </c>
    </row>
    <row r="145" spans="1:11" ht="14.4" customHeight="1" thickBot="1" x14ac:dyDescent="0.35">
      <c r="A145" s="701" t="s">
        <v>461</v>
      </c>
      <c r="B145" s="685">
        <v>0</v>
      </c>
      <c r="C145" s="685">
        <v>34.182499999999997</v>
      </c>
      <c r="D145" s="686">
        <v>34.182499999999997</v>
      </c>
      <c r="E145" s="687" t="s">
        <v>338</v>
      </c>
      <c r="F145" s="685">
        <v>0</v>
      </c>
      <c r="G145" s="686">
        <v>0</v>
      </c>
      <c r="H145" s="688">
        <v>0</v>
      </c>
      <c r="I145" s="685">
        <v>0</v>
      </c>
      <c r="J145" s="686">
        <v>0</v>
      </c>
      <c r="K145" s="693">
        <v>0</v>
      </c>
    </row>
    <row r="146" spans="1:11" ht="14.4" customHeight="1" thickBot="1" x14ac:dyDescent="0.35">
      <c r="A146" s="702" t="s">
        <v>462</v>
      </c>
      <c r="B146" s="680">
        <v>0</v>
      </c>
      <c r="C146" s="680">
        <v>34.182499999999997</v>
      </c>
      <c r="D146" s="681">
        <v>34.182499999999997</v>
      </c>
      <c r="E146" s="690" t="s">
        <v>338</v>
      </c>
      <c r="F146" s="680">
        <v>0</v>
      </c>
      <c r="G146" s="681">
        <v>0</v>
      </c>
      <c r="H146" s="683">
        <v>0</v>
      </c>
      <c r="I146" s="680">
        <v>0</v>
      </c>
      <c r="J146" s="681">
        <v>0</v>
      </c>
      <c r="K146" s="684">
        <v>0</v>
      </c>
    </row>
    <row r="147" spans="1:11" ht="14.4" customHeight="1" thickBot="1" x14ac:dyDescent="0.35">
      <c r="A147" s="704" t="s">
        <v>463</v>
      </c>
      <c r="B147" s="680">
        <v>0</v>
      </c>
      <c r="C147" s="680">
        <v>35.607999999999997</v>
      </c>
      <c r="D147" s="681">
        <v>35.607999999999997</v>
      </c>
      <c r="E147" s="690" t="s">
        <v>338</v>
      </c>
      <c r="F147" s="680">
        <v>0</v>
      </c>
      <c r="G147" s="681">
        <v>0</v>
      </c>
      <c r="H147" s="683">
        <v>0</v>
      </c>
      <c r="I147" s="680">
        <v>0</v>
      </c>
      <c r="J147" s="681">
        <v>0</v>
      </c>
      <c r="K147" s="691" t="s">
        <v>324</v>
      </c>
    </row>
    <row r="148" spans="1:11" ht="14.4" customHeight="1" thickBot="1" x14ac:dyDescent="0.35">
      <c r="A148" s="702" t="s">
        <v>464</v>
      </c>
      <c r="B148" s="680">
        <v>0</v>
      </c>
      <c r="C148" s="680">
        <v>35.607999999999997</v>
      </c>
      <c r="D148" s="681">
        <v>35.607999999999997</v>
      </c>
      <c r="E148" s="690" t="s">
        <v>338</v>
      </c>
      <c r="F148" s="680">
        <v>0</v>
      </c>
      <c r="G148" s="681">
        <v>0</v>
      </c>
      <c r="H148" s="683">
        <v>0</v>
      </c>
      <c r="I148" s="680">
        <v>0</v>
      </c>
      <c r="J148" s="681">
        <v>0</v>
      </c>
      <c r="K148" s="691" t="s">
        <v>324</v>
      </c>
    </row>
    <row r="149" spans="1:11" ht="14.4" customHeight="1" thickBot="1" x14ac:dyDescent="0.35">
      <c r="A149" s="704" t="s">
        <v>465</v>
      </c>
      <c r="B149" s="680">
        <v>0</v>
      </c>
      <c r="C149" s="680">
        <v>3</v>
      </c>
      <c r="D149" s="681">
        <v>3</v>
      </c>
      <c r="E149" s="690" t="s">
        <v>338</v>
      </c>
      <c r="F149" s="680">
        <v>0</v>
      </c>
      <c r="G149" s="681">
        <v>0</v>
      </c>
      <c r="H149" s="683">
        <v>0</v>
      </c>
      <c r="I149" s="680">
        <v>0</v>
      </c>
      <c r="J149" s="681">
        <v>0</v>
      </c>
      <c r="K149" s="691" t="s">
        <v>324</v>
      </c>
    </row>
    <row r="150" spans="1:11" ht="14.4" customHeight="1" thickBot="1" x14ac:dyDescent="0.35">
      <c r="A150" s="702" t="s">
        <v>466</v>
      </c>
      <c r="B150" s="680">
        <v>0</v>
      </c>
      <c r="C150" s="680">
        <v>3</v>
      </c>
      <c r="D150" s="681">
        <v>3</v>
      </c>
      <c r="E150" s="690" t="s">
        <v>338</v>
      </c>
      <c r="F150" s="680">
        <v>0</v>
      </c>
      <c r="G150" s="681">
        <v>0</v>
      </c>
      <c r="H150" s="683">
        <v>0</v>
      </c>
      <c r="I150" s="680">
        <v>0</v>
      </c>
      <c r="J150" s="681">
        <v>0</v>
      </c>
      <c r="K150" s="691" t="s">
        <v>324</v>
      </c>
    </row>
    <row r="151" spans="1:11" ht="14.4" customHeight="1" thickBot="1" x14ac:dyDescent="0.35">
      <c r="A151" s="699" t="s">
        <v>467</v>
      </c>
      <c r="B151" s="680">
        <v>5765.0943721778704</v>
      </c>
      <c r="C151" s="680">
        <v>6366.3181699999996</v>
      </c>
      <c r="D151" s="681">
        <v>601.22379782213295</v>
      </c>
      <c r="E151" s="682">
        <v>1.104286896104</v>
      </c>
      <c r="F151" s="680">
        <v>5867.00000000001</v>
      </c>
      <c r="G151" s="681">
        <v>1466.75</v>
      </c>
      <c r="H151" s="683">
        <v>517.48240000000101</v>
      </c>
      <c r="I151" s="680">
        <v>1596.38894</v>
      </c>
      <c r="J151" s="681">
        <v>129.638939999998</v>
      </c>
      <c r="K151" s="684">
        <v>0.27209629111900002</v>
      </c>
    </row>
    <row r="152" spans="1:11" ht="14.4" customHeight="1" thickBot="1" x14ac:dyDescent="0.35">
      <c r="A152" s="700" t="s">
        <v>468</v>
      </c>
      <c r="B152" s="680">
        <v>5720.0132089652197</v>
      </c>
      <c r="C152" s="680">
        <v>5769.0919999999996</v>
      </c>
      <c r="D152" s="681">
        <v>49.078791034779996</v>
      </c>
      <c r="E152" s="682">
        <v>1.0085801884079999</v>
      </c>
      <c r="F152" s="680">
        <v>5867.00000000001</v>
      </c>
      <c r="G152" s="681">
        <v>1466.75</v>
      </c>
      <c r="H152" s="683">
        <v>505.21300000000099</v>
      </c>
      <c r="I152" s="680">
        <v>1540.712</v>
      </c>
      <c r="J152" s="681">
        <v>73.961999999998</v>
      </c>
      <c r="K152" s="684">
        <v>0.26260644281500001</v>
      </c>
    </row>
    <row r="153" spans="1:11" ht="14.4" customHeight="1" thickBot="1" x14ac:dyDescent="0.35">
      <c r="A153" s="701" t="s">
        <v>469</v>
      </c>
      <c r="B153" s="685">
        <v>5720.0132089652197</v>
      </c>
      <c r="C153" s="685">
        <v>5767.3059999999996</v>
      </c>
      <c r="D153" s="686">
        <v>47.292791034780002</v>
      </c>
      <c r="E153" s="692">
        <v>1.0082679513670001</v>
      </c>
      <c r="F153" s="685">
        <v>5867.00000000001</v>
      </c>
      <c r="G153" s="686">
        <v>1466.75</v>
      </c>
      <c r="H153" s="688">
        <v>505.21300000000099</v>
      </c>
      <c r="I153" s="685">
        <v>1540.712</v>
      </c>
      <c r="J153" s="686">
        <v>73.961999999998</v>
      </c>
      <c r="K153" s="693">
        <v>0.26260644281500001</v>
      </c>
    </row>
    <row r="154" spans="1:11" ht="14.4" customHeight="1" thickBot="1" x14ac:dyDescent="0.35">
      <c r="A154" s="702" t="s">
        <v>470</v>
      </c>
      <c r="B154" s="680">
        <v>485.00111999093201</v>
      </c>
      <c r="C154" s="680">
        <v>486.33100000000002</v>
      </c>
      <c r="D154" s="681">
        <v>1.3298800090680001</v>
      </c>
      <c r="E154" s="682">
        <v>1.0027420143050001</v>
      </c>
      <c r="F154" s="680">
        <v>494.00000000000102</v>
      </c>
      <c r="G154" s="681">
        <v>123.5</v>
      </c>
      <c r="H154" s="683">
        <v>41.180999999999997</v>
      </c>
      <c r="I154" s="680">
        <v>123.54300000000001</v>
      </c>
      <c r="J154" s="681">
        <v>4.2999999998999998E-2</v>
      </c>
      <c r="K154" s="684">
        <v>0.25008704453399999</v>
      </c>
    </row>
    <row r="155" spans="1:11" ht="14.4" customHeight="1" thickBot="1" x14ac:dyDescent="0.35">
      <c r="A155" s="702" t="s">
        <v>471</v>
      </c>
      <c r="B155" s="680">
        <v>1321.0030505320001</v>
      </c>
      <c r="C155" s="680">
        <v>1348.91</v>
      </c>
      <c r="D155" s="681">
        <v>27.906949467996998</v>
      </c>
      <c r="E155" s="682">
        <v>1.0211255753390001</v>
      </c>
      <c r="F155" s="680">
        <v>1713</v>
      </c>
      <c r="G155" s="681">
        <v>428.25000000000102</v>
      </c>
      <c r="H155" s="683">
        <v>143.43199999999999</v>
      </c>
      <c r="I155" s="680">
        <v>422.11799999999999</v>
      </c>
      <c r="J155" s="681">
        <v>-6.1319999999999997</v>
      </c>
      <c r="K155" s="684">
        <v>0.246420315236</v>
      </c>
    </row>
    <row r="156" spans="1:11" ht="14.4" customHeight="1" thickBot="1" x14ac:dyDescent="0.35">
      <c r="A156" s="702" t="s">
        <v>472</v>
      </c>
      <c r="B156" s="680">
        <v>68.000157029655995</v>
      </c>
      <c r="C156" s="680">
        <v>68.585999999999999</v>
      </c>
      <c r="D156" s="681">
        <v>0.58584297034300004</v>
      </c>
      <c r="E156" s="682">
        <v>1.0086153179040001</v>
      </c>
      <c r="F156" s="680">
        <v>64</v>
      </c>
      <c r="G156" s="681">
        <v>16</v>
      </c>
      <c r="H156" s="683">
        <v>5.3730000000000002</v>
      </c>
      <c r="I156" s="680">
        <v>16.119</v>
      </c>
      <c r="J156" s="681">
        <v>0.118999999999</v>
      </c>
      <c r="K156" s="684">
        <v>0.251859375</v>
      </c>
    </row>
    <row r="157" spans="1:11" ht="14.4" customHeight="1" thickBot="1" x14ac:dyDescent="0.35">
      <c r="A157" s="702" t="s">
        <v>473</v>
      </c>
      <c r="B157" s="680">
        <v>11.000025401856</v>
      </c>
      <c r="C157" s="680">
        <v>9.3390000000000004</v>
      </c>
      <c r="D157" s="681">
        <v>-1.661025401856</v>
      </c>
      <c r="E157" s="682">
        <v>0.84899803944300001</v>
      </c>
      <c r="F157" s="680">
        <v>11</v>
      </c>
      <c r="G157" s="681">
        <v>2.75</v>
      </c>
      <c r="H157" s="683">
        <v>0.78400000000000003</v>
      </c>
      <c r="I157" s="680">
        <v>2.3519999999999999</v>
      </c>
      <c r="J157" s="681">
        <v>-0.39800000000000002</v>
      </c>
      <c r="K157" s="684">
        <v>0.213818181818</v>
      </c>
    </row>
    <row r="158" spans="1:11" ht="14.4" customHeight="1" thickBot="1" x14ac:dyDescent="0.35">
      <c r="A158" s="702" t="s">
        <v>474</v>
      </c>
      <c r="B158" s="680">
        <v>3829.00884215521</v>
      </c>
      <c r="C158" s="680">
        <v>3848.5239999999999</v>
      </c>
      <c r="D158" s="681">
        <v>19.515157844787002</v>
      </c>
      <c r="E158" s="682">
        <v>1.0050966604280001</v>
      </c>
      <c r="F158" s="680">
        <v>3583.00000000001</v>
      </c>
      <c r="G158" s="681">
        <v>895.75000000000205</v>
      </c>
      <c r="H158" s="683">
        <v>313.97500000000002</v>
      </c>
      <c r="I158" s="680">
        <v>975.17600000000095</v>
      </c>
      <c r="J158" s="681">
        <v>79.425999999997998</v>
      </c>
      <c r="K158" s="684">
        <v>0.27216745743699999</v>
      </c>
    </row>
    <row r="159" spans="1:11" ht="14.4" customHeight="1" thickBot="1" x14ac:dyDescent="0.35">
      <c r="A159" s="702" t="s">
        <v>475</v>
      </c>
      <c r="B159" s="680">
        <v>6.0000138555570004</v>
      </c>
      <c r="C159" s="680">
        <v>5.6159999999999997</v>
      </c>
      <c r="D159" s="681">
        <v>-0.38401385555700002</v>
      </c>
      <c r="E159" s="682">
        <v>0.93599783853700003</v>
      </c>
      <c r="F159" s="680">
        <v>2</v>
      </c>
      <c r="G159" s="681">
        <v>0.5</v>
      </c>
      <c r="H159" s="683">
        <v>0.46800000000000003</v>
      </c>
      <c r="I159" s="680">
        <v>1.4039999999999999</v>
      </c>
      <c r="J159" s="681">
        <v>0.90400000000000003</v>
      </c>
      <c r="K159" s="684">
        <v>0.70199999999899998</v>
      </c>
    </row>
    <row r="160" spans="1:11" ht="14.4" customHeight="1" thickBot="1" x14ac:dyDescent="0.35">
      <c r="A160" s="701" t="s">
        <v>476</v>
      </c>
      <c r="B160" s="685">
        <v>0</v>
      </c>
      <c r="C160" s="685">
        <v>1.786</v>
      </c>
      <c r="D160" s="686">
        <v>1.786</v>
      </c>
      <c r="E160" s="687" t="s">
        <v>324</v>
      </c>
      <c r="F160" s="685">
        <v>0</v>
      </c>
      <c r="G160" s="686">
        <v>0</v>
      </c>
      <c r="H160" s="688">
        <v>0</v>
      </c>
      <c r="I160" s="685">
        <v>0</v>
      </c>
      <c r="J160" s="686">
        <v>0</v>
      </c>
      <c r="K160" s="689" t="s">
        <v>324</v>
      </c>
    </row>
    <row r="161" spans="1:11" ht="14.4" customHeight="1" thickBot="1" x14ac:dyDescent="0.35">
      <c r="A161" s="702" t="s">
        <v>477</v>
      </c>
      <c r="B161" s="680">
        <v>0</v>
      </c>
      <c r="C161" s="680">
        <v>1.786</v>
      </c>
      <c r="D161" s="681">
        <v>1.786</v>
      </c>
      <c r="E161" s="690" t="s">
        <v>324</v>
      </c>
      <c r="F161" s="680">
        <v>0</v>
      </c>
      <c r="G161" s="681">
        <v>0</v>
      </c>
      <c r="H161" s="683">
        <v>0</v>
      </c>
      <c r="I161" s="680">
        <v>0</v>
      </c>
      <c r="J161" s="681">
        <v>0</v>
      </c>
      <c r="K161" s="691" t="s">
        <v>324</v>
      </c>
    </row>
    <row r="162" spans="1:11" ht="14.4" customHeight="1" thickBot="1" x14ac:dyDescent="0.35">
      <c r="A162" s="700" t="s">
        <v>478</v>
      </c>
      <c r="B162" s="680">
        <v>45.081163212649003</v>
      </c>
      <c r="C162" s="680">
        <v>597.22617000000002</v>
      </c>
      <c r="D162" s="681">
        <v>552.14500678734998</v>
      </c>
      <c r="E162" s="682">
        <v>13.247798580148</v>
      </c>
      <c r="F162" s="680">
        <v>0</v>
      </c>
      <c r="G162" s="681">
        <v>0</v>
      </c>
      <c r="H162" s="683">
        <v>12.269399999999999</v>
      </c>
      <c r="I162" s="680">
        <v>55.676940000000002</v>
      </c>
      <c r="J162" s="681">
        <v>55.676940000000002</v>
      </c>
      <c r="K162" s="691" t="s">
        <v>324</v>
      </c>
    </row>
    <row r="163" spans="1:11" ht="14.4" customHeight="1" thickBot="1" x14ac:dyDescent="0.35">
      <c r="A163" s="701" t="s">
        <v>479</v>
      </c>
      <c r="B163" s="685">
        <v>3.9999992584949999</v>
      </c>
      <c r="C163" s="685">
        <v>493.05344000000002</v>
      </c>
      <c r="D163" s="686">
        <v>489.05344074150503</v>
      </c>
      <c r="E163" s="692">
        <v>123.26338285009</v>
      </c>
      <c r="F163" s="685">
        <v>0</v>
      </c>
      <c r="G163" s="686">
        <v>0</v>
      </c>
      <c r="H163" s="688">
        <v>0</v>
      </c>
      <c r="I163" s="685">
        <v>0</v>
      </c>
      <c r="J163" s="686">
        <v>0</v>
      </c>
      <c r="K163" s="689" t="s">
        <v>324</v>
      </c>
    </row>
    <row r="164" spans="1:11" ht="14.4" customHeight="1" thickBot="1" x14ac:dyDescent="0.35">
      <c r="A164" s="702" t="s">
        <v>480</v>
      </c>
      <c r="B164" s="680">
        <v>3.9999992584949999</v>
      </c>
      <c r="C164" s="680">
        <v>262.54628000000002</v>
      </c>
      <c r="D164" s="681">
        <v>258.54628074150497</v>
      </c>
      <c r="E164" s="682">
        <v>65.636582167455998</v>
      </c>
      <c r="F164" s="680">
        <v>0</v>
      </c>
      <c r="G164" s="681">
        <v>0</v>
      </c>
      <c r="H164" s="683">
        <v>0</v>
      </c>
      <c r="I164" s="680">
        <v>0</v>
      </c>
      <c r="J164" s="681">
        <v>0</v>
      </c>
      <c r="K164" s="691" t="s">
        <v>324</v>
      </c>
    </row>
    <row r="165" spans="1:11" ht="14.4" customHeight="1" thickBot="1" x14ac:dyDescent="0.35">
      <c r="A165" s="702" t="s">
        <v>481</v>
      </c>
      <c r="B165" s="680">
        <v>0</v>
      </c>
      <c r="C165" s="680">
        <v>230.50716</v>
      </c>
      <c r="D165" s="681">
        <v>230.50716</v>
      </c>
      <c r="E165" s="690" t="s">
        <v>324</v>
      </c>
      <c r="F165" s="680">
        <v>0</v>
      </c>
      <c r="G165" s="681">
        <v>0</v>
      </c>
      <c r="H165" s="683">
        <v>0</v>
      </c>
      <c r="I165" s="680">
        <v>0</v>
      </c>
      <c r="J165" s="681">
        <v>0</v>
      </c>
      <c r="K165" s="691" t="s">
        <v>324</v>
      </c>
    </row>
    <row r="166" spans="1:11" ht="14.4" customHeight="1" thickBot="1" x14ac:dyDescent="0.35">
      <c r="A166" s="701" t="s">
        <v>482</v>
      </c>
      <c r="B166" s="685">
        <v>0</v>
      </c>
      <c r="C166" s="685">
        <v>0</v>
      </c>
      <c r="D166" s="686">
        <v>0</v>
      </c>
      <c r="E166" s="687" t="s">
        <v>324</v>
      </c>
      <c r="F166" s="685">
        <v>0</v>
      </c>
      <c r="G166" s="686">
        <v>0</v>
      </c>
      <c r="H166" s="688">
        <v>0</v>
      </c>
      <c r="I166" s="685">
        <v>43.407539999999997</v>
      </c>
      <c r="J166" s="686">
        <v>43.407539999999997</v>
      </c>
      <c r="K166" s="689" t="s">
        <v>338</v>
      </c>
    </row>
    <row r="167" spans="1:11" ht="14.4" customHeight="1" thickBot="1" x14ac:dyDescent="0.35">
      <c r="A167" s="702" t="s">
        <v>483</v>
      </c>
      <c r="B167" s="680">
        <v>0</v>
      </c>
      <c r="C167" s="680">
        <v>0</v>
      </c>
      <c r="D167" s="681">
        <v>0</v>
      </c>
      <c r="E167" s="682">
        <v>1</v>
      </c>
      <c r="F167" s="680">
        <v>0</v>
      </c>
      <c r="G167" s="681">
        <v>0</v>
      </c>
      <c r="H167" s="683">
        <v>0</v>
      </c>
      <c r="I167" s="680">
        <v>43.407539999999997</v>
      </c>
      <c r="J167" s="681">
        <v>43.407539999999997</v>
      </c>
      <c r="K167" s="691" t="s">
        <v>338</v>
      </c>
    </row>
    <row r="168" spans="1:11" ht="14.4" customHeight="1" thickBot="1" x14ac:dyDescent="0.35">
      <c r="A168" s="701" t="s">
        <v>484</v>
      </c>
      <c r="B168" s="685">
        <v>41.081163954154</v>
      </c>
      <c r="C168" s="685">
        <v>32.588929999999998</v>
      </c>
      <c r="D168" s="686">
        <v>-8.4922339541540008</v>
      </c>
      <c r="E168" s="692">
        <v>0.79328156418200002</v>
      </c>
      <c r="F168" s="685">
        <v>0</v>
      </c>
      <c r="G168" s="686">
        <v>0</v>
      </c>
      <c r="H168" s="688">
        <v>12.269399999999999</v>
      </c>
      <c r="I168" s="685">
        <v>12.269399999999999</v>
      </c>
      <c r="J168" s="686">
        <v>12.269399999999999</v>
      </c>
      <c r="K168" s="689" t="s">
        <v>324</v>
      </c>
    </row>
    <row r="169" spans="1:11" ht="14.4" customHeight="1" thickBot="1" x14ac:dyDescent="0.35">
      <c r="A169" s="702" t="s">
        <v>485</v>
      </c>
      <c r="B169" s="680">
        <v>30.068606871728999</v>
      </c>
      <c r="C169" s="680">
        <v>0</v>
      </c>
      <c r="D169" s="681">
        <v>-30.068606871728999</v>
      </c>
      <c r="E169" s="682">
        <v>0</v>
      </c>
      <c r="F169" s="680">
        <v>0</v>
      </c>
      <c r="G169" s="681">
        <v>0</v>
      </c>
      <c r="H169" s="683">
        <v>0</v>
      </c>
      <c r="I169" s="680">
        <v>0</v>
      </c>
      <c r="J169" s="681">
        <v>0</v>
      </c>
      <c r="K169" s="684">
        <v>0</v>
      </c>
    </row>
    <row r="170" spans="1:11" ht="14.4" customHeight="1" thickBot="1" x14ac:dyDescent="0.35">
      <c r="A170" s="702" t="s">
        <v>486</v>
      </c>
      <c r="B170" s="680">
        <v>11.012557082424999</v>
      </c>
      <c r="C170" s="680">
        <v>13.3584</v>
      </c>
      <c r="D170" s="681">
        <v>2.3458429175740001</v>
      </c>
      <c r="E170" s="682">
        <v>1.2130152788320001</v>
      </c>
      <c r="F170" s="680">
        <v>0</v>
      </c>
      <c r="G170" s="681">
        <v>0</v>
      </c>
      <c r="H170" s="683">
        <v>12.269399999999999</v>
      </c>
      <c r="I170" s="680">
        <v>12.269399999999999</v>
      </c>
      <c r="J170" s="681">
        <v>12.269399999999999</v>
      </c>
      <c r="K170" s="691" t="s">
        <v>324</v>
      </c>
    </row>
    <row r="171" spans="1:11" ht="14.4" customHeight="1" thickBot="1" x14ac:dyDescent="0.35">
      <c r="A171" s="702" t="s">
        <v>487</v>
      </c>
      <c r="B171" s="680">
        <v>0</v>
      </c>
      <c r="C171" s="680">
        <v>19.230530000000002</v>
      </c>
      <c r="D171" s="681">
        <v>19.230530000000002</v>
      </c>
      <c r="E171" s="690" t="s">
        <v>324</v>
      </c>
      <c r="F171" s="680">
        <v>0</v>
      </c>
      <c r="G171" s="681">
        <v>0</v>
      </c>
      <c r="H171" s="683">
        <v>0</v>
      </c>
      <c r="I171" s="680">
        <v>0</v>
      </c>
      <c r="J171" s="681">
        <v>0</v>
      </c>
      <c r="K171" s="691" t="s">
        <v>324</v>
      </c>
    </row>
    <row r="172" spans="1:11" ht="14.4" customHeight="1" thickBot="1" x14ac:dyDescent="0.35">
      <c r="A172" s="701" t="s">
        <v>488</v>
      </c>
      <c r="B172" s="685">
        <v>0</v>
      </c>
      <c r="C172" s="685">
        <v>66.888999999999996</v>
      </c>
      <c r="D172" s="686">
        <v>66.888999999999996</v>
      </c>
      <c r="E172" s="687" t="s">
        <v>324</v>
      </c>
      <c r="F172" s="685">
        <v>0</v>
      </c>
      <c r="G172" s="686">
        <v>0</v>
      </c>
      <c r="H172" s="688">
        <v>0</v>
      </c>
      <c r="I172" s="685">
        <v>0</v>
      </c>
      <c r="J172" s="686">
        <v>0</v>
      </c>
      <c r="K172" s="689" t="s">
        <v>324</v>
      </c>
    </row>
    <row r="173" spans="1:11" ht="14.4" customHeight="1" thickBot="1" x14ac:dyDescent="0.35">
      <c r="A173" s="702" t="s">
        <v>489</v>
      </c>
      <c r="B173" s="680">
        <v>0</v>
      </c>
      <c r="C173" s="680">
        <v>53.453000000000003</v>
      </c>
      <c r="D173" s="681">
        <v>53.453000000000003</v>
      </c>
      <c r="E173" s="690" t="s">
        <v>324</v>
      </c>
      <c r="F173" s="680">
        <v>0</v>
      </c>
      <c r="G173" s="681">
        <v>0</v>
      </c>
      <c r="H173" s="683">
        <v>0</v>
      </c>
      <c r="I173" s="680">
        <v>0</v>
      </c>
      <c r="J173" s="681">
        <v>0</v>
      </c>
      <c r="K173" s="691" t="s">
        <v>324</v>
      </c>
    </row>
    <row r="174" spans="1:11" ht="14.4" customHeight="1" thickBot="1" x14ac:dyDescent="0.35">
      <c r="A174" s="702" t="s">
        <v>490</v>
      </c>
      <c r="B174" s="680">
        <v>0</v>
      </c>
      <c r="C174" s="680">
        <v>13.436</v>
      </c>
      <c r="D174" s="681">
        <v>13.436</v>
      </c>
      <c r="E174" s="690" t="s">
        <v>338</v>
      </c>
      <c r="F174" s="680">
        <v>0</v>
      </c>
      <c r="G174" s="681">
        <v>0</v>
      </c>
      <c r="H174" s="683">
        <v>0</v>
      </c>
      <c r="I174" s="680">
        <v>0</v>
      </c>
      <c r="J174" s="681">
        <v>0</v>
      </c>
      <c r="K174" s="691" t="s">
        <v>324</v>
      </c>
    </row>
    <row r="175" spans="1:11" ht="14.4" customHeight="1" thickBot="1" x14ac:dyDescent="0.35">
      <c r="A175" s="701" t="s">
        <v>491</v>
      </c>
      <c r="B175" s="685">
        <v>0</v>
      </c>
      <c r="C175" s="685">
        <v>4.6947999999999999</v>
      </c>
      <c r="D175" s="686">
        <v>4.6947999999999999</v>
      </c>
      <c r="E175" s="687" t="s">
        <v>324</v>
      </c>
      <c r="F175" s="685">
        <v>0</v>
      </c>
      <c r="G175" s="686">
        <v>0</v>
      </c>
      <c r="H175" s="688">
        <v>0</v>
      </c>
      <c r="I175" s="685">
        <v>0</v>
      </c>
      <c r="J175" s="686">
        <v>0</v>
      </c>
      <c r="K175" s="689" t="s">
        <v>324</v>
      </c>
    </row>
    <row r="176" spans="1:11" ht="14.4" customHeight="1" thickBot="1" x14ac:dyDescent="0.35">
      <c r="A176" s="702" t="s">
        <v>492</v>
      </c>
      <c r="B176" s="680">
        <v>0</v>
      </c>
      <c r="C176" s="680">
        <v>4.6947999999999999</v>
      </c>
      <c r="D176" s="681">
        <v>4.6947999999999999</v>
      </c>
      <c r="E176" s="690" t="s">
        <v>324</v>
      </c>
      <c r="F176" s="680">
        <v>0</v>
      </c>
      <c r="G176" s="681">
        <v>0</v>
      </c>
      <c r="H176" s="683">
        <v>0</v>
      </c>
      <c r="I176" s="680">
        <v>0</v>
      </c>
      <c r="J176" s="681">
        <v>0</v>
      </c>
      <c r="K176" s="691" t="s">
        <v>324</v>
      </c>
    </row>
    <row r="177" spans="1:11" ht="14.4" customHeight="1" thickBot="1" x14ac:dyDescent="0.35">
      <c r="A177" s="698" t="s">
        <v>493</v>
      </c>
      <c r="B177" s="680">
        <v>127995.801926966</v>
      </c>
      <c r="C177" s="680">
        <v>128602.04197000001</v>
      </c>
      <c r="D177" s="681">
        <v>606.24004303383094</v>
      </c>
      <c r="E177" s="682">
        <v>1.0047364056779999</v>
      </c>
      <c r="F177" s="680">
        <v>132998.169346946</v>
      </c>
      <c r="G177" s="681">
        <v>33249.5423367365</v>
      </c>
      <c r="H177" s="683">
        <v>16588.839209999998</v>
      </c>
      <c r="I177" s="680">
        <v>31274.534790000002</v>
      </c>
      <c r="J177" s="681">
        <v>-1975.00754673645</v>
      </c>
      <c r="K177" s="684">
        <v>0.235150114799</v>
      </c>
    </row>
    <row r="178" spans="1:11" ht="14.4" customHeight="1" thickBot="1" x14ac:dyDescent="0.35">
      <c r="A178" s="699" t="s">
        <v>494</v>
      </c>
      <c r="B178" s="680">
        <v>127857.162730767</v>
      </c>
      <c r="C178" s="680">
        <v>128453.28057</v>
      </c>
      <c r="D178" s="681">
        <v>596.11783923279995</v>
      </c>
      <c r="E178" s="682">
        <v>1.0046623734360001</v>
      </c>
      <c r="F178" s="680">
        <v>132950.592069317</v>
      </c>
      <c r="G178" s="681">
        <v>33237.6480173292</v>
      </c>
      <c r="H178" s="683">
        <v>16587.392489999998</v>
      </c>
      <c r="I178" s="680">
        <v>31272.749640000002</v>
      </c>
      <c r="J178" s="681">
        <v>-1964.89837732917</v>
      </c>
      <c r="K178" s="684">
        <v>0.23522083770499999</v>
      </c>
    </row>
    <row r="179" spans="1:11" ht="14.4" customHeight="1" thickBot="1" x14ac:dyDescent="0.35">
      <c r="A179" s="700" t="s">
        <v>495</v>
      </c>
      <c r="B179" s="680">
        <v>127857.162730767</v>
      </c>
      <c r="C179" s="680">
        <v>128453.28057</v>
      </c>
      <c r="D179" s="681">
        <v>596.11783923279995</v>
      </c>
      <c r="E179" s="682">
        <v>1.0046623734360001</v>
      </c>
      <c r="F179" s="680">
        <v>132950.592069317</v>
      </c>
      <c r="G179" s="681">
        <v>33237.6480173292</v>
      </c>
      <c r="H179" s="683">
        <v>16587.392489999998</v>
      </c>
      <c r="I179" s="680">
        <v>31272.749640000002</v>
      </c>
      <c r="J179" s="681">
        <v>-1964.89837732917</v>
      </c>
      <c r="K179" s="684">
        <v>0.23522083770499999</v>
      </c>
    </row>
    <row r="180" spans="1:11" ht="14.4" customHeight="1" thickBot="1" x14ac:dyDescent="0.35">
      <c r="A180" s="701" t="s">
        <v>496</v>
      </c>
      <c r="B180" s="685">
        <v>308.62721208905901</v>
      </c>
      <c r="C180" s="685">
        <v>5.3073100000000002</v>
      </c>
      <c r="D180" s="686">
        <v>-303.31990208905898</v>
      </c>
      <c r="E180" s="692">
        <v>1.7196506957E-2</v>
      </c>
      <c r="F180" s="685">
        <v>12.611121869798</v>
      </c>
      <c r="G180" s="686">
        <v>3.1527804674489999</v>
      </c>
      <c r="H180" s="688">
        <v>34.585729999999998</v>
      </c>
      <c r="I180" s="685">
        <v>195.52793</v>
      </c>
      <c r="J180" s="686">
        <v>192.37514953255001</v>
      </c>
      <c r="K180" s="693">
        <v>15.504404129838001</v>
      </c>
    </row>
    <row r="181" spans="1:11" ht="14.4" customHeight="1" thickBot="1" x14ac:dyDescent="0.35">
      <c r="A181" s="702" t="s">
        <v>497</v>
      </c>
      <c r="B181" s="680">
        <v>0.98188484749299998</v>
      </c>
      <c r="C181" s="680">
        <v>0.40660000000000002</v>
      </c>
      <c r="D181" s="681">
        <v>-0.57528484749300002</v>
      </c>
      <c r="E181" s="682">
        <v>0.414101512043</v>
      </c>
      <c r="F181" s="680">
        <v>0.37489033412400002</v>
      </c>
      <c r="G181" s="681">
        <v>9.3722583531000006E-2</v>
      </c>
      <c r="H181" s="683">
        <v>5.62E-2</v>
      </c>
      <c r="I181" s="680">
        <v>0.20827000000000001</v>
      </c>
      <c r="J181" s="681">
        <v>0.114547416468</v>
      </c>
      <c r="K181" s="684">
        <v>0.55554913275100004</v>
      </c>
    </row>
    <row r="182" spans="1:11" ht="14.4" customHeight="1" thickBot="1" x14ac:dyDescent="0.35">
      <c r="A182" s="702" t="s">
        <v>498</v>
      </c>
      <c r="B182" s="680">
        <v>0.38653706383000003</v>
      </c>
      <c r="C182" s="680">
        <v>2.1729799999999999</v>
      </c>
      <c r="D182" s="681">
        <v>1.786442936169</v>
      </c>
      <c r="E182" s="682">
        <v>5.6216601287029997</v>
      </c>
      <c r="F182" s="680">
        <v>2</v>
      </c>
      <c r="G182" s="681">
        <v>0.5</v>
      </c>
      <c r="H182" s="683">
        <v>0</v>
      </c>
      <c r="I182" s="680">
        <v>0.254</v>
      </c>
      <c r="J182" s="681">
        <v>-0.246</v>
      </c>
      <c r="K182" s="684">
        <v>0.127</v>
      </c>
    </row>
    <row r="183" spans="1:11" ht="14.4" customHeight="1" thickBot="1" x14ac:dyDescent="0.35">
      <c r="A183" s="702" t="s">
        <v>499</v>
      </c>
      <c r="B183" s="680">
        <v>0.87022318798099996</v>
      </c>
      <c r="C183" s="680">
        <v>0.23319999999999999</v>
      </c>
      <c r="D183" s="681">
        <v>-0.63702318798099999</v>
      </c>
      <c r="E183" s="682">
        <v>0.26797723069200002</v>
      </c>
      <c r="F183" s="680">
        <v>0.23623153567399999</v>
      </c>
      <c r="G183" s="681">
        <v>5.9057883918000001E-2</v>
      </c>
      <c r="H183" s="683">
        <v>34.116309999999999</v>
      </c>
      <c r="I183" s="680">
        <v>193.70354</v>
      </c>
      <c r="J183" s="681">
        <v>193.64448211608101</v>
      </c>
      <c r="K183" s="684">
        <v>0</v>
      </c>
    </row>
    <row r="184" spans="1:11" ht="14.4" customHeight="1" thickBot="1" x14ac:dyDescent="0.35">
      <c r="A184" s="702" t="s">
        <v>500</v>
      </c>
      <c r="B184" s="680">
        <v>306.388566989754</v>
      </c>
      <c r="C184" s="680">
        <v>2.4945300000000001</v>
      </c>
      <c r="D184" s="681">
        <v>-303.894036989754</v>
      </c>
      <c r="E184" s="682">
        <v>8.1417202489999993E-3</v>
      </c>
      <c r="F184" s="680">
        <v>10</v>
      </c>
      <c r="G184" s="681">
        <v>2.5</v>
      </c>
      <c r="H184" s="683">
        <v>0.41321999999999998</v>
      </c>
      <c r="I184" s="680">
        <v>1.36212</v>
      </c>
      <c r="J184" s="681">
        <v>-1.13788</v>
      </c>
      <c r="K184" s="684">
        <v>0.136212</v>
      </c>
    </row>
    <row r="185" spans="1:11" ht="14.4" customHeight="1" thickBot="1" x14ac:dyDescent="0.35">
      <c r="A185" s="701" t="s">
        <v>501</v>
      </c>
      <c r="B185" s="685">
        <v>384.00003850316398</v>
      </c>
      <c r="C185" s="685">
        <v>713.40904999999998</v>
      </c>
      <c r="D185" s="686">
        <v>329.409011496836</v>
      </c>
      <c r="E185" s="692">
        <v>1.857835881425</v>
      </c>
      <c r="F185" s="685">
        <v>583.06567230893199</v>
      </c>
      <c r="G185" s="686">
        <v>145.766418077233</v>
      </c>
      <c r="H185" s="688">
        <v>277.19132000000002</v>
      </c>
      <c r="I185" s="685">
        <v>312.75112999999999</v>
      </c>
      <c r="J185" s="686">
        <v>166.98471192276699</v>
      </c>
      <c r="K185" s="693">
        <v>0.53639091589999999</v>
      </c>
    </row>
    <row r="186" spans="1:11" ht="14.4" customHeight="1" thickBot="1" x14ac:dyDescent="0.35">
      <c r="A186" s="702" t="s">
        <v>502</v>
      </c>
      <c r="B186" s="680">
        <v>384.00003850316398</v>
      </c>
      <c r="C186" s="680">
        <v>713.43904999999995</v>
      </c>
      <c r="D186" s="681">
        <v>329.43901149683597</v>
      </c>
      <c r="E186" s="682">
        <v>1.8579140064170001</v>
      </c>
      <c r="F186" s="680">
        <v>583.06567230893199</v>
      </c>
      <c r="G186" s="681">
        <v>145.766418077233</v>
      </c>
      <c r="H186" s="683">
        <v>277.19132000000002</v>
      </c>
      <c r="I186" s="680">
        <v>312.75112999999999</v>
      </c>
      <c r="J186" s="681">
        <v>166.98471192276699</v>
      </c>
      <c r="K186" s="684">
        <v>0.53639091589999999</v>
      </c>
    </row>
    <row r="187" spans="1:11" ht="14.4" customHeight="1" thickBot="1" x14ac:dyDescent="0.35">
      <c r="A187" s="702" t="s">
        <v>503</v>
      </c>
      <c r="B187" s="680">
        <v>0</v>
      </c>
      <c r="C187" s="680">
        <v>-0.03</v>
      </c>
      <c r="D187" s="681">
        <v>-0.03</v>
      </c>
      <c r="E187" s="690" t="s">
        <v>324</v>
      </c>
      <c r="F187" s="680">
        <v>0</v>
      </c>
      <c r="G187" s="681">
        <v>0</v>
      </c>
      <c r="H187" s="683">
        <v>0</v>
      </c>
      <c r="I187" s="680">
        <v>0</v>
      </c>
      <c r="J187" s="681">
        <v>0</v>
      </c>
      <c r="K187" s="691" t="s">
        <v>324</v>
      </c>
    </row>
    <row r="188" spans="1:11" ht="14.4" customHeight="1" thickBot="1" x14ac:dyDescent="0.35">
      <c r="A188" s="701" t="s">
        <v>504</v>
      </c>
      <c r="B188" s="685">
        <v>99.522739538026002</v>
      </c>
      <c r="C188" s="685">
        <v>0.69552999999999998</v>
      </c>
      <c r="D188" s="686">
        <v>-98.827209538025997</v>
      </c>
      <c r="E188" s="692">
        <v>6.9886540820000001E-3</v>
      </c>
      <c r="F188" s="685">
        <v>135.69601507183299</v>
      </c>
      <c r="G188" s="686">
        <v>33.924003767957998</v>
      </c>
      <c r="H188" s="688">
        <v>0.63656999999999997</v>
      </c>
      <c r="I188" s="685">
        <v>0.91757</v>
      </c>
      <c r="J188" s="686">
        <v>-33.006433767958001</v>
      </c>
      <c r="K188" s="693">
        <v>6.7619524379999999E-3</v>
      </c>
    </row>
    <row r="189" spans="1:11" ht="14.4" customHeight="1" thickBot="1" x14ac:dyDescent="0.35">
      <c r="A189" s="702" t="s">
        <v>505</v>
      </c>
      <c r="B189" s="680">
        <v>99.522739538026002</v>
      </c>
      <c r="C189" s="680">
        <v>0.28853000000000001</v>
      </c>
      <c r="D189" s="681">
        <v>-99.234209538025993</v>
      </c>
      <c r="E189" s="682">
        <v>2.8991364310000001E-3</v>
      </c>
      <c r="F189" s="680">
        <v>135.28873122464299</v>
      </c>
      <c r="G189" s="681">
        <v>33.822182806160001</v>
      </c>
      <c r="H189" s="683">
        <v>0.30108000000000001</v>
      </c>
      <c r="I189" s="680">
        <v>0.30108000000000001</v>
      </c>
      <c r="J189" s="681">
        <v>-33.521102806160002</v>
      </c>
      <c r="K189" s="684">
        <v>2.2254625140000002E-3</v>
      </c>
    </row>
    <row r="190" spans="1:11" ht="14.4" customHeight="1" thickBot="1" x14ac:dyDescent="0.35">
      <c r="A190" s="702" t="s">
        <v>506</v>
      </c>
      <c r="B190" s="680">
        <v>0</v>
      </c>
      <c r="C190" s="680">
        <v>0.40699999999999997</v>
      </c>
      <c r="D190" s="681">
        <v>0.40699999999999997</v>
      </c>
      <c r="E190" s="690" t="s">
        <v>324</v>
      </c>
      <c r="F190" s="680">
        <v>0.40728384718900001</v>
      </c>
      <c r="G190" s="681">
        <v>0.101820961797</v>
      </c>
      <c r="H190" s="683">
        <v>0.33549000000000001</v>
      </c>
      <c r="I190" s="680">
        <v>0.61648999999999998</v>
      </c>
      <c r="J190" s="681">
        <v>0.51466903820200005</v>
      </c>
      <c r="K190" s="684">
        <v>1.513661796934</v>
      </c>
    </row>
    <row r="191" spans="1:11" ht="14.4" customHeight="1" thickBot="1" x14ac:dyDescent="0.35">
      <c r="A191" s="701" t="s">
        <v>507</v>
      </c>
      <c r="B191" s="685">
        <v>0</v>
      </c>
      <c r="C191" s="685">
        <v>-38.028759999999998</v>
      </c>
      <c r="D191" s="686">
        <v>-38.028759999999998</v>
      </c>
      <c r="E191" s="687" t="s">
        <v>324</v>
      </c>
      <c r="F191" s="685">
        <v>0</v>
      </c>
      <c r="G191" s="686">
        <v>0</v>
      </c>
      <c r="H191" s="688">
        <v>0</v>
      </c>
      <c r="I191" s="685">
        <v>0</v>
      </c>
      <c r="J191" s="686">
        <v>0</v>
      </c>
      <c r="K191" s="689" t="s">
        <v>324</v>
      </c>
    </row>
    <row r="192" spans="1:11" ht="14.4" customHeight="1" thickBot="1" x14ac:dyDescent="0.35">
      <c r="A192" s="702" t="s">
        <v>508</v>
      </c>
      <c r="B192" s="680">
        <v>0</v>
      </c>
      <c r="C192" s="680">
        <v>-38.028759999999998</v>
      </c>
      <c r="D192" s="681">
        <v>-38.028759999999998</v>
      </c>
      <c r="E192" s="690" t="s">
        <v>324</v>
      </c>
      <c r="F192" s="680">
        <v>0</v>
      </c>
      <c r="G192" s="681">
        <v>0</v>
      </c>
      <c r="H192" s="683">
        <v>0</v>
      </c>
      <c r="I192" s="680">
        <v>0</v>
      </c>
      <c r="J192" s="681">
        <v>0</v>
      </c>
      <c r="K192" s="691" t="s">
        <v>324</v>
      </c>
    </row>
    <row r="193" spans="1:11" ht="14.4" customHeight="1" thickBot="1" x14ac:dyDescent="0.35">
      <c r="A193" s="701" t="s">
        <v>509</v>
      </c>
      <c r="B193" s="685">
        <v>0</v>
      </c>
      <c r="C193" s="685">
        <v>0.22770000000000001</v>
      </c>
      <c r="D193" s="686">
        <v>0.22770000000000001</v>
      </c>
      <c r="E193" s="687" t="s">
        <v>338</v>
      </c>
      <c r="F193" s="685">
        <v>0.21926006612599999</v>
      </c>
      <c r="G193" s="686">
        <v>5.4815016531000002E-2</v>
      </c>
      <c r="H193" s="688">
        <v>0</v>
      </c>
      <c r="I193" s="685">
        <v>0</v>
      </c>
      <c r="J193" s="686">
        <v>-5.4815016531000002E-2</v>
      </c>
      <c r="K193" s="693">
        <v>0</v>
      </c>
    </row>
    <row r="194" spans="1:11" ht="14.4" customHeight="1" thickBot="1" x14ac:dyDescent="0.35">
      <c r="A194" s="702" t="s">
        <v>510</v>
      </c>
      <c r="B194" s="680">
        <v>0</v>
      </c>
      <c r="C194" s="680">
        <v>0.22770000000000001</v>
      </c>
      <c r="D194" s="681">
        <v>0.22770000000000001</v>
      </c>
      <c r="E194" s="690" t="s">
        <v>338</v>
      </c>
      <c r="F194" s="680">
        <v>0.21926006612599999</v>
      </c>
      <c r="G194" s="681">
        <v>5.4815016531000002E-2</v>
      </c>
      <c r="H194" s="683">
        <v>0</v>
      </c>
      <c r="I194" s="680">
        <v>0</v>
      </c>
      <c r="J194" s="681">
        <v>-5.4815016531000002E-2</v>
      </c>
      <c r="K194" s="684">
        <v>0</v>
      </c>
    </row>
    <row r="195" spans="1:11" ht="14.4" customHeight="1" thickBot="1" x14ac:dyDescent="0.35">
      <c r="A195" s="701" t="s">
        <v>511</v>
      </c>
      <c r="B195" s="685">
        <v>127065.012740637</v>
      </c>
      <c r="C195" s="685">
        <v>123793.00275</v>
      </c>
      <c r="D195" s="686">
        <v>-3272.0099906369301</v>
      </c>
      <c r="E195" s="692">
        <v>0.97424932386899998</v>
      </c>
      <c r="F195" s="685">
        <v>132219</v>
      </c>
      <c r="G195" s="686">
        <v>33054.75</v>
      </c>
      <c r="H195" s="688">
        <v>16274.978870000001</v>
      </c>
      <c r="I195" s="685">
        <v>30761.875909999999</v>
      </c>
      <c r="J195" s="686">
        <v>-2292.8740899999898</v>
      </c>
      <c r="K195" s="693">
        <v>0.232658512846</v>
      </c>
    </row>
    <row r="196" spans="1:11" ht="14.4" customHeight="1" thickBot="1" x14ac:dyDescent="0.35">
      <c r="A196" s="702" t="s">
        <v>512</v>
      </c>
      <c r="B196" s="680">
        <v>60158.006031961901</v>
      </c>
      <c r="C196" s="680">
        <v>60394.698490000002</v>
      </c>
      <c r="D196" s="681">
        <v>236.69245803812399</v>
      </c>
      <c r="E196" s="682">
        <v>1.0039345130199999</v>
      </c>
      <c r="F196" s="680">
        <v>62217</v>
      </c>
      <c r="G196" s="681">
        <v>15554.25</v>
      </c>
      <c r="H196" s="683">
        <v>6786.4096099999997</v>
      </c>
      <c r="I196" s="680">
        <v>13088.838299999999</v>
      </c>
      <c r="J196" s="681">
        <v>-2465.4116999999901</v>
      </c>
      <c r="K196" s="684">
        <v>0.210373986209</v>
      </c>
    </row>
    <row r="197" spans="1:11" ht="14.4" customHeight="1" thickBot="1" x14ac:dyDescent="0.35">
      <c r="A197" s="702" t="s">
        <v>513</v>
      </c>
      <c r="B197" s="680">
        <v>66907.006708675093</v>
      </c>
      <c r="C197" s="680">
        <v>63398.304259999997</v>
      </c>
      <c r="D197" s="681">
        <v>-3508.7024486750602</v>
      </c>
      <c r="E197" s="682">
        <v>0.94755852008200003</v>
      </c>
      <c r="F197" s="680">
        <v>70002</v>
      </c>
      <c r="G197" s="681">
        <v>17500.5</v>
      </c>
      <c r="H197" s="683">
        <v>9488.5692600000002</v>
      </c>
      <c r="I197" s="680">
        <v>17673.037609999999</v>
      </c>
      <c r="J197" s="681">
        <v>172.53760999999901</v>
      </c>
      <c r="K197" s="684">
        <v>0.252464752578</v>
      </c>
    </row>
    <row r="198" spans="1:11" ht="14.4" customHeight="1" thickBot="1" x14ac:dyDescent="0.35">
      <c r="A198" s="701" t="s">
        <v>514</v>
      </c>
      <c r="B198" s="685">
        <v>0</v>
      </c>
      <c r="C198" s="685">
        <v>3978.6669900000002</v>
      </c>
      <c r="D198" s="686">
        <v>3978.6669900000002</v>
      </c>
      <c r="E198" s="687" t="s">
        <v>324</v>
      </c>
      <c r="F198" s="685">
        <v>0</v>
      </c>
      <c r="G198" s="686">
        <v>0</v>
      </c>
      <c r="H198" s="688">
        <v>0</v>
      </c>
      <c r="I198" s="685">
        <v>1.6771</v>
      </c>
      <c r="J198" s="686">
        <v>1.6771</v>
      </c>
      <c r="K198" s="689" t="s">
        <v>324</v>
      </c>
    </row>
    <row r="199" spans="1:11" ht="14.4" customHeight="1" thickBot="1" x14ac:dyDescent="0.35">
      <c r="A199" s="702" t="s">
        <v>515</v>
      </c>
      <c r="B199" s="680">
        <v>0</v>
      </c>
      <c r="C199" s="680">
        <v>586.47941000000003</v>
      </c>
      <c r="D199" s="681">
        <v>586.47941000000003</v>
      </c>
      <c r="E199" s="690" t="s">
        <v>324</v>
      </c>
      <c r="F199" s="680">
        <v>0</v>
      </c>
      <c r="G199" s="681">
        <v>0</v>
      </c>
      <c r="H199" s="683">
        <v>0</v>
      </c>
      <c r="I199" s="680">
        <v>0</v>
      </c>
      <c r="J199" s="681">
        <v>0</v>
      </c>
      <c r="K199" s="691" t="s">
        <v>324</v>
      </c>
    </row>
    <row r="200" spans="1:11" ht="14.4" customHeight="1" thickBot="1" x14ac:dyDescent="0.35">
      <c r="A200" s="702" t="s">
        <v>516</v>
      </c>
      <c r="B200" s="680">
        <v>0</v>
      </c>
      <c r="C200" s="680">
        <v>3392.1875799999998</v>
      </c>
      <c r="D200" s="681">
        <v>3392.1875799999998</v>
      </c>
      <c r="E200" s="690" t="s">
        <v>324</v>
      </c>
      <c r="F200" s="680">
        <v>0</v>
      </c>
      <c r="G200" s="681">
        <v>0</v>
      </c>
      <c r="H200" s="683">
        <v>0</v>
      </c>
      <c r="I200" s="680">
        <v>1.6771</v>
      </c>
      <c r="J200" s="681">
        <v>1.6771</v>
      </c>
      <c r="K200" s="691" t="s">
        <v>324</v>
      </c>
    </row>
    <row r="201" spans="1:11" ht="14.4" customHeight="1" thickBot="1" x14ac:dyDescent="0.35">
      <c r="A201" s="699" t="s">
        <v>517</v>
      </c>
      <c r="B201" s="680">
        <v>25.134005836018002</v>
      </c>
      <c r="C201" s="680">
        <v>74.877399999999994</v>
      </c>
      <c r="D201" s="681">
        <v>49.743394163981002</v>
      </c>
      <c r="E201" s="682">
        <v>2.9791271828500001</v>
      </c>
      <c r="F201" s="680">
        <v>36.413702093795997</v>
      </c>
      <c r="G201" s="681">
        <v>9.1034255234489994</v>
      </c>
      <c r="H201" s="683">
        <v>1.44672</v>
      </c>
      <c r="I201" s="680">
        <v>1.78515</v>
      </c>
      <c r="J201" s="681">
        <v>-7.3182755234489996</v>
      </c>
      <c r="K201" s="684">
        <v>4.9024128207999999E-2</v>
      </c>
    </row>
    <row r="202" spans="1:11" ht="14.4" customHeight="1" thickBot="1" x14ac:dyDescent="0.35">
      <c r="A202" s="705" t="s">
        <v>518</v>
      </c>
      <c r="B202" s="685">
        <v>25.134005836018002</v>
      </c>
      <c r="C202" s="685">
        <v>74.877399999999994</v>
      </c>
      <c r="D202" s="686">
        <v>49.743394163981002</v>
      </c>
      <c r="E202" s="692">
        <v>2.9791271828500001</v>
      </c>
      <c r="F202" s="685">
        <v>36.413702093795997</v>
      </c>
      <c r="G202" s="686">
        <v>9.1034255234489994</v>
      </c>
      <c r="H202" s="688">
        <v>1.44672</v>
      </c>
      <c r="I202" s="685">
        <v>1.78515</v>
      </c>
      <c r="J202" s="686">
        <v>-7.3182755234489996</v>
      </c>
      <c r="K202" s="693">
        <v>4.9024128207999999E-2</v>
      </c>
    </row>
    <row r="203" spans="1:11" ht="14.4" customHeight="1" thickBot="1" x14ac:dyDescent="0.35">
      <c r="A203" s="701" t="s">
        <v>519</v>
      </c>
      <c r="B203" s="685">
        <v>0</v>
      </c>
      <c r="C203" s="685">
        <v>6.4000000000000005E-4</v>
      </c>
      <c r="D203" s="686">
        <v>6.4000000000000005E-4</v>
      </c>
      <c r="E203" s="687" t="s">
        <v>324</v>
      </c>
      <c r="F203" s="685">
        <v>0</v>
      </c>
      <c r="G203" s="686">
        <v>0</v>
      </c>
      <c r="H203" s="688">
        <v>4.2000000000000002E-4</v>
      </c>
      <c r="I203" s="685">
        <v>5.1000000000000004E-4</v>
      </c>
      <c r="J203" s="686">
        <v>5.1000000000000004E-4</v>
      </c>
      <c r="K203" s="689" t="s">
        <v>324</v>
      </c>
    </row>
    <row r="204" spans="1:11" ht="14.4" customHeight="1" thickBot="1" x14ac:dyDescent="0.35">
      <c r="A204" s="702" t="s">
        <v>520</v>
      </c>
      <c r="B204" s="680">
        <v>0</v>
      </c>
      <c r="C204" s="680">
        <v>6.4000000000000005E-4</v>
      </c>
      <c r="D204" s="681">
        <v>6.4000000000000005E-4</v>
      </c>
      <c r="E204" s="690" t="s">
        <v>324</v>
      </c>
      <c r="F204" s="680">
        <v>0</v>
      </c>
      <c r="G204" s="681">
        <v>0</v>
      </c>
      <c r="H204" s="683">
        <v>4.2000000000000002E-4</v>
      </c>
      <c r="I204" s="680">
        <v>5.1000000000000004E-4</v>
      </c>
      <c r="J204" s="681">
        <v>5.1000000000000004E-4</v>
      </c>
      <c r="K204" s="691" t="s">
        <v>324</v>
      </c>
    </row>
    <row r="205" spans="1:11" ht="14.4" customHeight="1" thickBot="1" x14ac:dyDescent="0.35">
      <c r="A205" s="701" t="s">
        <v>521</v>
      </c>
      <c r="B205" s="685">
        <v>25.134005836018002</v>
      </c>
      <c r="C205" s="685">
        <v>42.210230000000003</v>
      </c>
      <c r="D205" s="686">
        <v>17.076224163980999</v>
      </c>
      <c r="E205" s="692">
        <v>1.6794071854429999</v>
      </c>
      <c r="F205" s="685">
        <v>36.413702093795997</v>
      </c>
      <c r="G205" s="686">
        <v>9.1034255234489994</v>
      </c>
      <c r="H205" s="688">
        <v>1.4462999999999999</v>
      </c>
      <c r="I205" s="685">
        <v>1.78464</v>
      </c>
      <c r="J205" s="686">
        <v>-7.3187855234489998</v>
      </c>
      <c r="K205" s="693">
        <v>4.9010122491000001E-2</v>
      </c>
    </row>
    <row r="206" spans="1:11" ht="14.4" customHeight="1" thickBot="1" x14ac:dyDescent="0.35">
      <c r="A206" s="702" t="s">
        <v>522</v>
      </c>
      <c r="B206" s="680">
        <v>0.96261491628499996</v>
      </c>
      <c r="C206" s="680">
        <v>3.17</v>
      </c>
      <c r="D206" s="681">
        <v>2.2073850837140001</v>
      </c>
      <c r="E206" s="682">
        <v>3.29311331704</v>
      </c>
      <c r="F206" s="680">
        <v>0</v>
      </c>
      <c r="G206" s="681">
        <v>0</v>
      </c>
      <c r="H206" s="683">
        <v>0</v>
      </c>
      <c r="I206" s="680">
        <v>0.28899999999999998</v>
      </c>
      <c r="J206" s="681">
        <v>0.28899999999999998</v>
      </c>
      <c r="K206" s="691" t="s">
        <v>324</v>
      </c>
    </row>
    <row r="207" spans="1:11" ht="14.4" customHeight="1" thickBot="1" x14ac:dyDescent="0.35">
      <c r="A207" s="702" t="s">
        <v>523</v>
      </c>
      <c r="B207" s="680">
        <v>0.98978083933799998</v>
      </c>
      <c r="C207" s="680">
        <v>5.6</v>
      </c>
      <c r="D207" s="681">
        <v>4.6102191606609999</v>
      </c>
      <c r="E207" s="682">
        <v>5.6578181526979998</v>
      </c>
      <c r="F207" s="680">
        <v>5.5440468458090004</v>
      </c>
      <c r="G207" s="681">
        <v>1.3860117114520001</v>
      </c>
      <c r="H207" s="683">
        <v>0</v>
      </c>
      <c r="I207" s="680">
        <v>0</v>
      </c>
      <c r="J207" s="681">
        <v>-1.3860117114520001</v>
      </c>
      <c r="K207" s="684">
        <v>0</v>
      </c>
    </row>
    <row r="208" spans="1:11" ht="14.4" customHeight="1" thickBot="1" x14ac:dyDescent="0.35">
      <c r="A208" s="702" t="s">
        <v>524</v>
      </c>
      <c r="B208" s="680">
        <v>0</v>
      </c>
      <c r="C208" s="680">
        <v>8.2390000000000005E-2</v>
      </c>
      <c r="D208" s="681">
        <v>8.2390000000000005E-2</v>
      </c>
      <c r="E208" s="690" t="s">
        <v>338</v>
      </c>
      <c r="F208" s="680">
        <v>0.11135609503</v>
      </c>
      <c r="G208" s="681">
        <v>2.7839023756999998E-2</v>
      </c>
      <c r="H208" s="683">
        <v>0</v>
      </c>
      <c r="I208" s="680">
        <v>4.9340000000000002E-2</v>
      </c>
      <c r="J208" s="681">
        <v>2.1500976242000001E-2</v>
      </c>
      <c r="K208" s="684">
        <v>0.44308306596500002</v>
      </c>
    </row>
    <row r="209" spans="1:11" ht="14.4" customHeight="1" thickBot="1" x14ac:dyDescent="0.35">
      <c r="A209" s="702" t="s">
        <v>525</v>
      </c>
      <c r="B209" s="680">
        <v>23.181610080395</v>
      </c>
      <c r="C209" s="680">
        <v>33.357840000000003</v>
      </c>
      <c r="D209" s="681">
        <v>10.176229919603999</v>
      </c>
      <c r="E209" s="682">
        <v>1.43897856466</v>
      </c>
      <c r="F209" s="680">
        <v>30.758299152955999</v>
      </c>
      <c r="G209" s="681">
        <v>7.6895747882389998</v>
      </c>
      <c r="H209" s="683">
        <v>1.4462999999999999</v>
      </c>
      <c r="I209" s="680">
        <v>1.4462999999999999</v>
      </c>
      <c r="J209" s="681">
        <v>-6.2432747882389998</v>
      </c>
      <c r="K209" s="684">
        <v>4.7021455666000002E-2</v>
      </c>
    </row>
    <row r="210" spans="1:11" ht="14.4" customHeight="1" thickBot="1" x14ac:dyDescent="0.35">
      <c r="A210" s="701" t="s">
        <v>526</v>
      </c>
      <c r="B210" s="685">
        <v>0</v>
      </c>
      <c r="C210" s="685">
        <v>32.666530000000002</v>
      </c>
      <c r="D210" s="686">
        <v>32.666530000000002</v>
      </c>
      <c r="E210" s="687" t="s">
        <v>324</v>
      </c>
      <c r="F210" s="685">
        <v>0</v>
      </c>
      <c r="G210" s="686">
        <v>0</v>
      </c>
      <c r="H210" s="688">
        <v>0</v>
      </c>
      <c r="I210" s="685">
        <v>0</v>
      </c>
      <c r="J210" s="686">
        <v>0</v>
      </c>
      <c r="K210" s="689" t="s">
        <v>324</v>
      </c>
    </row>
    <row r="211" spans="1:11" ht="14.4" customHeight="1" thickBot="1" x14ac:dyDescent="0.35">
      <c r="A211" s="702" t="s">
        <v>527</v>
      </c>
      <c r="B211" s="680">
        <v>0</v>
      </c>
      <c r="C211" s="680">
        <v>32.666530000000002</v>
      </c>
      <c r="D211" s="681">
        <v>32.666530000000002</v>
      </c>
      <c r="E211" s="690" t="s">
        <v>324</v>
      </c>
      <c r="F211" s="680">
        <v>0</v>
      </c>
      <c r="G211" s="681">
        <v>0</v>
      </c>
      <c r="H211" s="683">
        <v>0</v>
      </c>
      <c r="I211" s="680">
        <v>0</v>
      </c>
      <c r="J211" s="681">
        <v>0</v>
      </c>
      <c r="K211" s="691" t="s">
        <v>324</v>
      </c>
    </row>
    <row r="212" spans="1:11" ht="14.4" customHeight="1" thickBot="1" x14ac:dyDescent="0.35">
      <c r="A212" s="699" t="s">
        <v>528</v>
      </c>
      <c r="B212" s="680">
        <v>113.505190362985</v>
      </c>
      <c r="C212" s="680">
        <v>73.884</v>
      </c>
      <c r="D212" s="681">
        <v>-39.621190362984002</v>
      </c>
      <c r="E212" s="682">
        <v>0.65093058532100001</v>
      </c>
      <c r="F212" s="680">
        <v>11.163575535318</v>
      </c>
      <c r="G212" s="681">
        <v>2.7908938838289998</v>
      </c>
      <c r="H212" s="683">
        <v>0</v>
      </c>
      <c r="I212" s="680">
        <v>0</v>
      </c>
      <c r="J212" s="681">
        <v>-2.7908938838289998</v>
      </c>
      <c r="K212" s="684">
        <v>0</v>
      </c>
    </row>
    <row r="213" spans="1:11" ht="14.4" customHeight="1" thickBot="1" x14ac:dyDescent="0.35">
      <c r="A213" s="705" t="s">
        <v>529</v>
      </c>
      <c r="B213" s="685">
        <v>113.505190362985</v>
      </c>
      <c r="C213" s="685">
        <v>73.884</v>
      </c>
      <c r="D213" s="686">
        <v>-39.621190362984002</v>
      </c>
      <c r="E213" s="692">
        <v>0.65093058532100001</v>
      </c>
      <c r="F213" s="685">
        <v>11.163575535318</v>
      </c>
      <c r="G213" s="686">
        <v>2.7908938838289998</v>
      </c>
      <c r="H213" s="688">
        <v>0</v>
      </c>
      <c r="I213" s="685">
        <v>0</v>
      </c>
      <c r="J213" s="686">
        <v>-2.7908938838289998</v>
      </c>
      <c r="K213" s="693">
        <v>0</v>
      </c>
    </row>
    <row r="214" spans="1:11" ht="14.4" customHeight="1" thickBot="1" x14ac:dyDescent="0.35">
      <c r="A214" s="701" t="s">
        <v>530</v>
      </c>
      <c r="B214" s="685">
        <v>113.505190362985</v>
      </c>
      <c r="C214" s="685">
        <v>73.884</v>
      </c>
      <c r="D214" s="686">
        <v>-39.621190362984002</v>
      </c>
      <c r="E214" s="692">
        <v>0.65093058532100001</v>
      </c>
      <c r="F214" s="685">
        <v>11.163575535318</v>
      </c>
      <c r="G214" s="686">
        <v>2.7908938838289998</v>
      </c>
      <c r="H214" s="688">
        <v>0</v>
      </c>
      <c r="I214" s="685">
        <v>0</v>
      </c>
      <c r="J214" s="686">
        <v>-2.7908938838289998</v>
      </c>
      <c r="K214" s="693">
        <v>0</v>
      </c>
    </row>
    <row r="215" spans="1:11" ht="14.4" customHeight="1" thickBot="1" x14ac:dyDescent="0.35">
      <c r="A215" s="702" t="s">
        <v>531</v>
      </c>
      <c r="B215" s="680">
        <v>113.505190362985</v>
      </c>
      <c r="C215" s="680">
        <v>73.884</v>
      </c>
      <c r="D215" s="681">
        <v>-39.621190362984002</v>
      </c>
      <c r="E215" s="682">
        <v>0.65093058532100001</v>
      </c>
      <c r="F215" s="680">
        <v>11.163575535318</v>
      </c>
      <c r="G215" s="681">
        <v>2.7908938838289998</v>
      </c>
      <c r="H215" s="683">
        <v>0</v>
      </c>
      <c r="I215" s="680">
        <v>0</v>
      </c>
      <c r="J215" s="681">
        <v>-2.7908938838289998</v>
      </c>
      <c r="K215" s="684">
        <v>0</v>
      </c>
    </row>
    <row r="216" spans="1:11" ht="14.4" customHeight="1" thickBot="1" x14ac:dyDescent="0.35">
      <c r="A216" s="698" t="s">
        <v>532</v>
      </c>
      <c r="B216" s="680">
        <v>10264.182133824799</v>
      </c>
      <c r="C216" s="680">
        <v>10778.50488</v>
      </c>
      <c r="D216" s="681">
        <v>514.322746175161</v>
      </c>
      <c r="E216" s="682">
        <v>1.050108497634</v>
      </c>
      <c r="F216" s="680">
        <v>10051.5228848226</v>
      </c>
      <c r="G216" s="681">
        <v>2512.8807212056599</v>
      </c>
      <c r="H216" s="683">
        <v>808.11722999999995</v>
      </c>
      <c r="I216" s="680">
        <v>2442.0104000000001</v>
      </c>
      <c r="J216" s="681">
        <v>-70.870321205658001</v>
      </c>
      <c r="K216" s="684">
        <v>0.24294929514399999</v>
      </c>
    </row>
    <row r="217" spans="1:11" ht="14.4" customHeight="1" thickBot="1" x14ac:dyDescent="0.35">
      <c r="A217" s="703" t="s">
        <v>533</v>
      </c>
      <c r="B217" s="685">
        <v>10264.182133824799</v>
      </c>
      <c r="C217" s="685">
        <v>10778.50488</v>
      </c>
      <c r="D217" s="686">
        <v>514.322746175161</v>
      </c>
      <c r="E217" s="692">
        <v>1.050108497634</v>
      </c>
      <c r="F217" s="685">
        <v>10051.5228848226</v>
      </c>
      <c r="G217" s="686">
        <v>2512.8807212056599</v>
      </c>
      <c r="H217" s="688">
        <v>808.11722999999995</v>
      </c>
      <c r="I217" s="685">
        <v>2442.0104000000001</v>
      </c>
      <c r="J217" s="686">
        <v>-70.870321205658001</v>
      </c>
      <c r="K217" s="693">
        <v>0.24294929514399999</v>
      </c>
    </row>
    <row r="218" spans="1:11" ht="14.4" customHeight="1" thickBot="1" x14ac:dyDescent="0.35">
      <c r="A218" s="705" t="s">
        <v>54</v>
      </c>
      <c r="B218" s="685">
        <v>10264.182133824799</v>
      </c>
      <c r="C218" s="685">
        <v>10778.50488</v>
      </c>
      <c r="D218" s="686">
        <v>514.322746175161</v>
      </c>
      <c r="E218" s="692">
        <v>1.050108497634</v>
      </c>
      <c r="F218" s="685">
        <v>10051.5228848226</v>
      </c>
      <c r="G218" s="686">
        <v>2512.8807212056599</v>
      </c>
      <c r="H218" s="688">
        <v>808.11722999999995</v>
      </c>
      <c r="I218" s="685">
        <v>2442.0104000000001</v>
      </c>
      <c r="J218" s="686">
        <v>-70.870321205658001</v>
      </c>
      <c r="K218" s="693">
        <v>0.24294929514399999</v>
      </c>
    </row>
    <row r="219" spans="1:11" ht="14.4" customHeight="1" thickBot="1" x14ac:dyDescent="0.35">
      <c r="A219" s="704" t="s">
        <v>534</v>
      </c>
      <c r="B219" s="680">
        <v>0</v>
      </c>
      <c r="C219" s="680">
        <v>0</v>
      </c>
      <c r="D219" s="681">
        <v>0</v>
      </c>
      <c r="E219" s="682">
        <v>1</v>
      </c>
      <c r="F219" s="680">
        <v>226.495159206951</v>
      </c>
      <c r="G219" s="681">
        <v>56.623789801736997</v>
      </c>
      <c r="H219" s="683">
        <v>-29.054839999999999</v>
      </c>
      <c r="I219" s="680">
        <v>3.8690000000000002</v>
      </c>
      <c r="J219" s="681">
        <v>-52.754789801736997</v>
      </c>
      <c r="K219" s="684">
        <v>1.7082042783999999E-2</v>
      </c>
    </row>
    <row r="220" spans="1:11" ht="14.4" customHeight="1" thickBot="1" x14ac:dyDescent="0.35">
      <c r="A220" s="702" t="s">
        <v>535</v>
      </c>
      <c r="B220" s="680">
        <v>0</v>
      </c>
      <c r="C220" s="680">
        <v>0</v>
      </c>
      <c r="D220" s="681">
        <v>0</v>
      </c>
      <c r="E220" s="682">
        <v>1</v>
      </c>
      <c r="F220" s="680">
        <v>226.495159206951</v>
      </c>
      <c r="G220" s="681">
        <v>56.623789801736997</v>
      </c>
      <c r="H220" s="683">
        <v>-29.054839999999999</v>
      </c>
      <c r="I220" s="680">
        <v>3.8690000000000002</v>
      </c>
      <c r="J220" s="681">
        <v>-52.754789801736997</v>
      </c>
      <c r="K220" s="684">
        <v>1.7082042783999999E-2</v>
      </c>
    </row>
    <row r="221" spans="1:11" ht="14.4" customHeight="1" thickBot="1" x14ac:dyDescent="0.35">
      <c r="A221" s="701" t="s">
        <v>536</v>
      </c>
      <c r="B221" s="685">
        <v>142.02386125935101</v>
      </c>
      <c r="C221" s="685">
        <v>131.01300000000001</v>
      </c>
      <c r="D221" s="686">
        <v>-11.010861259349999</v>
      </c>
      <c r="E221" s="692">
        <v>0.92247175114199997</v>
      </c>
      <c r="F221" s="685">
        <v>141.52540220686899</v>
      </c>
      <c r="G221" s="686">
        <v>35.381350551716999</v>
      </c>
      <c r="H221" s="688">
        <v>10.932</v>
      </c>
      <c r="I221" s="685">
        <v>33.942</v>
      </c>
      <c r="J221" s="686">
        <v>-1.439350551717</v>
      </c>
      <c r="K221" s="693">
        <v>0.23982973706999999</v>
      </c>
    </row>
    <row r="222" spans="1:11" ht="14.4" customHeight="1" thickBot="1" x14ac:dyDescent="0.35">
      <c r="A222" s="702" t="s">
        <v>537</v>
      </c>
      <c r="B222" s="680">
        <v>142.02386125935101</v>
      </c>
      <c r="C222" s="680">
        <v>131.01300000000001</v>
      </c>
      <c r="D222" s="681">
        <v>-11.010861259349999</v>
      </c>
      <c r="E222" s="682">
        <v>0.92247175114199997</v>
      </c>
      <c r="F222" s="680">
        <v>141.52540220686899</v>
      </c>
      <c r="G222" s="681">
        <v>35.381350551716999</v>
      </c>
      <c r="H222" s="683">
        <v>10.932</v>
      </c>
      <c r="I222" s="680">
        <v>33.942</v>
      </c>
      <c r="J222" s="681">
        <v>-1.439350551717</v>
      </c>
      <c r="K222" s="684">
        <v>0.23982973706999999</v>
      </c>
    </row>
    <row r="223" spans="1:11" ht="14.4" customHeight="1" thickBot="1" x14ac:dyDescent="0.35">
      <c r="A223" s="701" t="s">
        <v>538</v>
      </c>
      <c r="B223" s="685">
        <v>1886.59560972031</v>
      </c>
      <c r="C223" s="685">
        <v>1566.8581200000001</v>
      </c>
      <c r="D223" s="686">
        <v>-319.73748972031302</v>
      </c>
      <c r="E223" s="692">
        <v>0.83052144928500005</v>
      </c>
      <c r="F223" s="685">
        <v>1949.45550060908</v>
      </c>
      <c r="G223" s="686">
        <v>487.36387515227102</v>
      </c>
      <c r="H223" s="688">
        <v>113.19383999999999</v>
      </c>
      <c r="I223" s="685">
        <v>354.7835</v>
      </c>
      <c r="J223" s="686">
        <v>-132.58037515227099</v>
      </c>
      <c r="K223" s="693">
        <v>0.18199107385999999</v>
      </c>
    </row>
    <row r="224" spans="1:11" ht="14.4" customHeight="1" thickBot="1" x14ac:dyDescent="0.35">
      <c r="A224" s="702" t="s">
        <v>539</v>
      </c>
      <c r="B224" s="680">
        <v>1498.4030786421899</v>
      </c>
      <c r="C224" s="680">
        <v>1331.9960000000001</v>
      </c>
      <c r="D224" s="681">
        <v>-166.40707864219101</v>
      </c>
      <c r="E224" s="682">
        <v>0.88894371546999995</v>
      </c>
      <c r="F224" s="680">
        <v>1555.68926979254</v>
      </c>
      <c r="G224" s="681">
        <v>388.92231744813603</v>
      </c>
      <c r="H224" s="683">
        <v>92.97</v>
      </c>
      <c r="I224" s="680">
        <v>318.25</v>
      </c>
      <c r="J224" s="681">
        <v>-70.672317448135004</v>
      </c>
      <c r="K224" s="684">
        <v>0.20457170090400001</v>
      </c>
    </row>
    <row r="225" spans="1:11" ht="14.4" customHeight="1" thickBot="1" x14ac:dyDescent="0.35">
      <c r="A225" s="702" t="s">
        <v>540</v>
      </c>
      <c r="B225" s="680">
        <v>336.25361276808201</v>
      </c>
      <c r="C225" s="680">
        <v>183.52090000000001</v>
      </c>
      <c r="D225" s="681">
        <v>-152.732712768082</v>
      </c>
      <c r="E225" s="682">
        <v>0.54578119916400003</v>
      </c>
      <c r="F225" s="680">
        <v>338.798899097228</v>
      </c>
      <c r="G225" s="681">
        <v>84.699724774307001</v>
      </c>
      <c r="H225" s="683">
        <v>17.192699999999999</v>
      </c>
      <c r="I225" s="680">
        <v>27.199000000000002</v>
      </c>
      <c r="J225" s="681">
        <v>-57.500724774307002</v>
      </c>
      <c r="K225" s="684">
        <v>8.0280662281999995E-2</v>
      </c>
    </row>
    <row r="226" spans="1:11" ht="14.4" customHeight="1" thickBot="1" x14ac:dyDescent="0.35">
      <c r="A226" s="702" t="s">
        <v>541</v>
      </c>
      <c r="B226" s="680">
        <v>51.938918310039</v>
      </c>
      <c r="C226" s="680">
        <v>51.34122</v>
      </c>
      <c r="D226" s="681">
        <v>-0.59769831003899998</v>
      </c>
      <c r="E226" s="682">
        <v>0.98849228421599999</v>
      </c>
      <c r="F226" s="680">
        <v>54.967331719310998</v>
      </c>
      <c r="G226" s="681">
        <v>13.741832929827</v>
      </c>
      <c r="H226" s="683">
        <v>3.0311400000000002</v>
      </c>
      <c r="I226" s="680">
        <v>9.3345000000000002</v>
      </c>
      <c r="J226" s="681">
        <v>-4.4073329298269996</v>
      </c>
      <c r="K226" s="684">
        <v>0.169819049024</v>
      </c>
    </row>
    <row r="227" spans="1:11" ht="14.4" customHeight="1" thickBot="1" x14ac:dyDescent="0.35">
      <c r="A227" s="701" t="s">
        <v>542</v>
      </c>
      <c r="B227" s="685">
        <v>1256.5665955647801</v>
      </c>
      <c r="C227" s="685">
        <v>1305.64923</v>
      </c>
      <c r="D227" s="686">
        <v>49.082634435221998</v>
      </c>
      <c r="E227" s="692">
        <v>1.0390609097900001</v>
      </c>
      <c r="F227" s="685">
        <v>1277.6080120162201</v>
      </c>
      <c r="G227" s="686">
        <v>319.40200300405598</v>
      </c>
      <c r="H227" s="688">
        <v>108.28363</v>
      </c>
      <c r="I227" s="685">
        <v>321.61282999999997</v>
      </c>
      <c r="J227" s="686">
        <v>2.2108269959440001</v>
      </c>
      <c r="K227" s="693">
        <v>0.25173044233800002</v>
      </c>
    </row>
    <row r="228" spans="1:11" ht="14.4" customHeight="1" thickBot="1" x14ac:dyDescent="0.35">
      <c r="A228" s="702" t="s">
        <v>543</v>
      </c>
      <c r="B228" s="680">
        <v>1256.5665955647801</v>
      </c>
      <c r="C228" s="680">
        <v>1305.64923</v>
      </c>
      <c r="D228" s="681">
        <v>49.082634435221998</v>
      </c>
      <c r="E228" s="682">
        <v>1.0390609097900001</v>
      </c>
      <c r="F228" s="680">
        <v>1277.6080120162201</v>
      </c>
      <c r="G228" s="681">
        <v>319.40200300405598</v>
      </c>
      <c r="H228" s="683">
        <v>108.28363</v>
      </c>
      <c r="I228" s="680">
        <v>321.61282999999997</v>
      </c>
      <c r="J228" s="681">
        <v>2.2108269959440001</v>
      </c>
      <c r="K228" s="684">
        <v>0.25173044233800002</v>
      </c>
    </row>
    <row r="229" spans="1:11" ht="14.4" customHeight="1" thickBot="1" x14ac:dyDescent="0.35">
      <c r="A229" s="701" t="s">
        <v>544</v>
      </c>
      <c r="B229" s="685">
        <v>0</v>
      </c>
      <c r="C229" s="685">
        <v>4.883</v>
      </c>
      <c r="D229" s="686">
        <v>4.883</v>
      </c>
      <c r="E229" s="687" t="s">
        <v>338</v>
      </c>
      <c r="F229" s="685">
        <v>0</v>
      </c>
      <c r="G229" s="686">
        <v>0</v>
      </c>
      <c r="H229" s="688">
        <v>0.49199999999999999</v>
      </c>
      <c r="I229" s="685">
        <v>1.1739999999999999</v>
      </c>
      <c r="J229" s="686">
        <v>1.1739999999999999</v>
      </c>
      <c r="K229" s="689" t="s">
        <v>338</v>
      </c>
    </row>
    <row r="230" spans="1:11" ht="14.4" customHeight="1" thickBot="1" x14ac:dyDescent="0.35">
      <c r="A230" s="702" t="s">
        <v>545</v>
      </c>
      <c r="B230" s="680">
        <v>0</v>
      </c>
      <c r="C230" s="680">
        <v>4.883</v>
      </c>
      <c r="D230" s="681">
        <v>4.883</v>
      </c>
      <c r="E230" s="690" t="s">
        <v>338</v>
      </c>
      <c r="F230" s="680">
        <v>0</v>
      </c>
      <c r="G230" s="681">
        <v>0</v>
      </c>
      <c r="H230" s="683">
        <v>0.49199999999999999</v>
      </c>
      <c r="I230" s="680">
        <v>1.1739999999999999</v>
      </c>
      <c r="J230" s="681">
        <v>1.1739999999999999</v>
      </c>
      <c r="K230" s="691" t="s">
        <v>338</v>
      </c>
    </row>
    <row r="231" spans="1:11" ht="14.4" customHeight="1" thickBot="1" x14ac:dyDescent="0.35">
      <c r="A231" s="701" t="s">
        <v>546</v>
      </c>
      <c r="B231" s="685">
        <v>1038.4199821213101</v>
      </c>
      <c r="C231" s="685">
        <v>993.54763000000003</v>
      </c>
      <c r="D231" s="686">
        <v>-44.872352121309</v>
      </c>
      <c r="E231" s="692">
        <v>0.95678785761600005</v>
      </c>
      <c r="F231" s="685">
        <v>850.19427841607205</v>
      </c>
      <c r="G231" s="686">
        <v>212.54856960401801</v>
      </c>
      <c r="H231" s="688">
        <v>65.722049999999996</v>
      </c>
      <c r="I231" s="685">
        <v>159.61940000000001</v>
      </c>
      <c r="J231" s="686">
        <v>-52.929169604016998</v>
      </c>
      <c r="K231" s="693">
        <v>0.18774461796799999</v>
      </c>
    </row>
    <row r="232" spans="1:11" ht="14.4" customHeight="1" thickBot="1" x14ac:dyDescent="0.35">
      <c r="A232" s="702" t="s">
        <v>547</v>
      </c>
      <c r="B232" s="680">
        <v>1038.4199821213101</v>
      </c>
      <c r="C232" s="680">
        <v>993.54763000000003</v>
      </c>
      <c r="D232" s="681">
        <v>-44.872352121309</v>
      </c>
      <c r="E232" s="682">
        <v>0.95678785761600005</v>
      </c>
      <c r="F232" s="680">
        <v>850.19427841607205</v>
      </c>
      <c r="G232" s="681">
        <v>212.54856960401801</v>
      </c>
      <c r="H232" s="683">
        <v>65.722049999999996</v>
      </c>
      <c r="I232" s="680">
        <v>159.61940000000001</v>
      </c>
      <c r="J232" s="681">
        <v>-52.929169604016998</v>
      </c>
      <c r="K232" s="684">
        <v>0.18774461796799999</v>
      </c>
    </row>
    <row r="233" spans="1:11" ht="14.4" customHeight="1" thickBot="1" x14ac:dyDescent="0.35">
      <c r="A233" s="701" t="s">
        <v>548</v>
      </c>
      <c r="B233" s="685">
        <v>0</v>
      </c>
      <c r="C233" s="685">
        <v>654.34747000000004</v>
      </c>
      <c r="D233" s="686">
        <v>654.34747000000004</v>
      </c>
      <c r="E233" s="687" t="s">
        <v>338</v>
      </c>
      <c r="F233" s="685">
        <v>0</v>
      </c>
      <c r="G233" s="686">
        <v>0</v>
      </c>
      <c r="H233" s="688">
        <v>53.594850000000001</v>
      </c>
      <c r="I233" s="685">
        <v>195.4778</v>
      </c>
      <c r="J233" s="686">
        <v>195.4778</v>
      </c>
      <c r="K233" s="689" t="s">
        <v>338</v>
      </c>
    </row>
    <row r="234" spans="1:11" ht="14.4" customHeight="1" thickBot="1" x14ac:dyDescent="0.35">
      <c r="A234" s="702" t="s">
        <v>549</v>
      </c>
      <c r="B234" s="680">
        <v>0</v>
      </c>
      <c r="C234" s="680">
        <v>654.34747000000004</v>
      </c>
      <c r="D234" s="681">
        <v>654.34747000000004</v>
      </c>
      <c r="E234" s="690" t="s">
        <v>338</v>
      </c>
      <c r="F234" s="680">
        <v>0</v>
      </c>
      <c r="G234" s="681">
        <v>0</v>
      </c>
      <c r="H234" s="683">
        <v>53.594850000000001</v>
      </c>
      <c r="I234" s="680">
        <v>195.4778</v>
      </c>
      <c r="J234" s="681">
        <v>195.4778</v>
      </c>
      <c r="K234" s="691" t="s">
        <v>338</v>
      </c>
    </row>
    <row r="235" spans="1:11" ht="14.4" customHeight="1" thickBot="1" x14ac:dyDescent="0.35">
      <c r="A235" s="701" t="s">
        <v>550</v>
      </c>
      <c r="B235" s="685">
        <v>5940.5760851590903</v>
      </c>
      <c r="C235" s="685">
        <v>6122.2064300000002</v>
      </c>
      <c r="D235" s="686">
        <v>181.630344840909</v>
      </c>
      <c r="E235" s="692">
        <v>1.030574533889</v>
      </c>
      <c r="F235" s="685">
        <v>5606.2445323674401</v>
      </c>
      <c r="G235" s="686">
        <v>1401.56113309186</v>
      </c>
      <c r="H235" s="688">
        <v>484.95370000000003</v>
      </c>
      <c r="I235" s="685">
        <v>1371.53187</v>
      </c>
      <c r="J235" s="686">
        <v>-30.029263091859001</v>
      </c>
      <c r="K235" s="693">
        <v>0.24464360448</v>
      </c>
    </row>
    <row r="236" spans="1:11" ht="14.4" customHeight="1" thickBot="1" x14ac:dyDescent="0.35">
      <c r="A236" s="702" t="s">
        <v>551</v>
      </c>
      <c r="B236" s="680">
        <v>5940.5760851590903</v>
      </c>
      <c r="C236" s="680">
        <v>6122.2064300000002</v>
      </c>
      <c r="D236" s="681">
        <v>181.630344840909</v>
      </c>
      <c r="E236" s="682">
        <v>1.030574533889</v>
      </c>
      <c r="F236" s="680">
        <v>5606.2445323674401</v>
      </c>
      <c r="G236" s="681">
        <v>1401.56113309186</v>
      </c>
      <c r="H236" s="683">
        <v>484.95370000000003</v>
      </c>
      <c r="I236" s="680">
        <v>1371.53187</v>
      </c>
      <c r="J236" s="681">
        <v>-30.029263091859001</v>
      </c>
      <c r="K236" s="684">
        <v>0.24464360448</v>
      </c>
    </row>
    <row r="237" spans="1:11" ht="14.4" customHeight="1" thickBot="1" x14ac:dyDescent="0.35">
      <c r="A237" s="706"/>
      <c r="B237" s="680">
        <v>-26936.891672034599</v>
      </c>
      <c r="C237" s="680">
        <v>-24316.255980000002</v>
      </c>
      <c r="D237" s="681">
        <v>2620.6356920345702</v>
      </c>
      <c r="E237" s="682">
        <v>0.90271202319999999</v>
      </c>
      <c r="F237" s="680">
        <v>-23325.972774605401</v>
      </c>
      <c r="G237" s="681">
        <v>-5831.4931936513503</v>
      </c>
      <c r="H237" s="683">
        <v>3419.40487999999</v>
      </c>
      <c r="I237" s="680">
        <v>-6266.1430300000102</v>
      </c>
      <c r="J237" s="681">
        <v>-434.64983634866297</v>
      </c>
      <c r="K237" s="684">
        <v>0.26863372818499998</v>
      </c>
    </row>
    <row r="238" spans="1:11" ht="14.4" customHeight="1" thickBot="1" x14ac:dyDescent="0.35">
      <c r="A238" s="707" t="s">
        <v>66</v>
      </c>
      <c r="B238" s="694">
        <v>-26936.891672034599</v>
      </c>
      <c r="C238" s="694">
        <v>-24316.255980000002</v>
      </c>
      <c r="D238" s="695">
        <v>2620.6356920345802</v>
      </c>
      <c r="E238" s="696">
        <v>-1.0278926946110001</v>
      </c>
      <c r="F238" s="694">
        <v>-23325.972774605401</v>
      </c>
      <c r="G238" s="695">
        <v>-5831.4931936513503</v>
      </c>
      <c r="H238" s="694">
        <v>3419.40487999999</v>
      </c>
      <c r="I238" s="694">
        <v>-6266.1430300000102</v>
      </c>
      <c r="J238" s="695">
        <v>-434.64983634866701</v>
      </c>
      <c r="K238" s="697">
        <v>0.26863372818499998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56" t="s">
        <v>176</v>
      </c>
      <c r="B1" s="557"/>
      <c r="C1" s="557"/>
      <c r="D1" s="557"/>
      <c r="E1" s="557"/>
      <c r="F1" s="557"/>
      <c r="G1" s="527"/>
      <c r="H1" s="558"/>
      <c r="I1" s="558"/>
    </row>
    <row r="2" spans="1:10" ht="14.4" customHeight="1" thickBot="1" x14ac:dyDescent="0.35">
      <c r="A2" s="374" t="s">
        <v>323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482"/>
      <c r="C3" s="481">
        <v>2015</v>
      </c>
      <c r="D3" s="419">
        <v>2016</v>
      </c>
      <c r="E3" s="11"/>
      <c r="F3" s="535">
        <v>2017</v>
      </c>
      <c r="G3" s="553"/>
      <c r="H3" s="553"/>
      <c r="I3" s="536"/>
    </row>
    <row r="4" spans="1:10" ht="14.4" customHeight="1" thickBot="1" x14ac:dyDescent="0.35">
      <c r="A4" s="423" t="s">
        <v>0</v>
      </c>
      <c r="B4" s="424" t="s">
        <v>253</v>
      </c>
      <c r="C4" s="554" t="s">
        <v>94</v>
      </c>
      <c r="D4" s="555"/>
      <c r="E4" s="425"/>
      <c r="F4" s="420" t="s">
        <v>94</v>
      </c>
      <c r="G4" s="421" t="s">
        <v>95</v>
      </c>
      <c r="H4" s="421" t="s">
        <v>69</v>
      </c>
      <c r="I4" s="422" t="s">
        <v>96</v>
      </c>
    </row>
    <row r="5" spans="1:10" ht="14.4" customHeight="1" x14ac:dyDescent="0.3">
      <c r="A5" s="708" t="s">
        <v>552</v>
      </c>
      <c r="B5" s="709" t="s">
        <v>553</v>
      </c>
      <c r="C5" s="710" t="s">
        <v>554</v>
      </c>
      <c r="D5" s="710" t="s">
        <v>554</v>
      </c>
      <c r="E5" s="710"/>
      <c r="F5" s="710" t="s">
        <v>554</v>
      </c>
      <c r="G5" s="710" t="s">
        <v>554</v>
      </c>
      <c r="H5" s="710" t="s">
        <v>554</v>
      </c>
      <c r="I5" s="711" t="s">
        <v>554</v>
      </c>
      <c r="J5" s="712" t="s">
        <v>74</v>
      </c>
    </row>
    <row r="6" spans="1:10" ht="14.4" customHeight="1" x14ac:dyDescent="0.3">
      <c r="A6" s="708" t="s">
        <v>552</v>
      </c>
      <c r="B6" s="709" t="s">
        <v>332</v>
      </c>
      <c r="C6" s="710">
        <v>875.71665999999993</v>
      </c>
      <c r="D6" s="710">
        <v>1061.8693699999999</v>
      </c>
      <c r="E6" s="710"/>
      <c r="F6" s="710">
        <v>1333.7968800000001</v>
      </c>
      <c r="G6" s="710">
        <v>1251.1173352548385</v>
      </c>
      <c r="H6" s="710">
        <v>82.679544745161593</v>
      </c>
      <c r="I6" s="711">
        <v>1.0660845649047943</v>
      </c>
      <c r="J6" s="712" t="s">
        <v>1</v>
      </c>
    </row>
    <row r="7" spans="1:10" ht="14.4" customHeight="1" x14ac:dyDescent="0.3">
      <c r="A7" s="708" t="s">
        <v>552</v>
      </c>
      <c r="B7" s="709" t="s">
        <v>333</v>
      </c>
      <c r="C7" s="710">
        <v>0</v>
      </c>
      <c r="D7" s="710">
        <v>42.450839999999999</v>
      </c>
      <c r="E7" s="710"/>
      <c r="F7" s="710">
        <v>107.15746999999999</v>
      </c>
      <c r="G7" s="710">
        <v>55.029020468054497</v>
      </c>
      <c r="H7" s="710">
        <v>52.128449531945492</v>
      </c>
      <c r="I7" s="711">
        <v>1.9472901586937597</v>
      </c>
      <c r="J7" s="712" t="s">
        <v>1</v>
      </c>
    </row>
    <row r="8" spans="1:10" ht="14.4" customHeight="1" x14ac:dyDescent="0.3">
      <c r="A8" s="708" t="s">
        <v>552</v>
      </c>
      <c r="B8" s="709" t="s">
        <v>334</v>
      </c>
      <c r="C8" s="710">
        <v>74.425020000000004</v>
      </c>
      <c r="D8" s="710">
        <v>48.276620000000001</v>
      </c>
      <c r="E8" s="710"/>
      <c r="F8" s="710">
        <v>62.92803</v>
      </c>
      <c r="G8" s="710">
        <v>39.999999999999751</v>
      </c>
      <c r="H8" s="710">
        <v>22.928030000000248</v>
      </c>
      <c r="I8" s="711">
        <v>1.5732007500000098</v>
      </c>
      <c r="J8" s="712" t="s">
        <v>1</v>
      </c>
    </row>
    <row r="9" spans="1:10" ht="14.4" customHeight="1" x14ac:dyDescent="0.3">
      <c r="A9" s="708" t="s">
        <v>552</v>
      </c>
      <c r="B9" s="709" t="s">
        <v>555</v>
      </c>
      <c r="C9" s="710">
        <v>0</v>
      </c>
      <c r="D9" s="710" t="s">
        <v>554</v>
      </c>
      <c r="E9" s="710"/>
      <c r="F9" s="710" t="s">
        <v>554</v>
      </c>
      <c r="G9" s="710" t="s">
        <v>554</v>
      </c>
      <c r="H9" s="710" t="s">
        <v>554</v>
      </c>
      <c r="I9" s="711" t="s">
        <v>554</v>
      </c>
      <c r="J9" s="712" t="s">
        <v>1</v>
      </c>
    </row>
    <row r="10" spans="1:10" ht="14.4" customHeight="1" x14ac:dyDescent="0.3">
      <c r="A10" s="708" t="s">
        <v>552</v>
      </c>
      <c r="B10" s="709" t="s">
        <v>335</v>
      </c>
      <c r="C10" s="710">
        <v>173.95443</v>
      </c>
      <c r="D10" s="710">
        <v>142.07820000000001</v>
      </c>
      <c r="E10" s="710"/>
      <c r="F10" s="710">
        <v>147.47752</v>
      </c>
      <c r="G10" s="710">
        <v>140</v>
      </c>
      <c r="H10" s="710">
        <v>7.4775199999999984</v>
      </c>
      <c r="I10" s="711">
        <v>1.0534108571428571</v>
      </c>
      <c r="J10" s="712" t="s">
        <v>1</v>
      </c>
    </row>
    <row r="11" spans="1:10" ht="14.4" customHeight="1" x14ac:dyDescent="0.3">
      <c r="A11" s="708" t="s">
        <v>552</v>
      </c>
      <c r="B11" s="709" t="s">
        <v>336</v>
      </c>
      <c r="C11" s="710">
        <v>9.6101299999999998</v>
      </c>
      <c r="D11" s="710">
        <v>8.2242499999999996</v>
      </c>
      <c r="E11" s="710"/>
      <c r="F11" s="710">
        <v>0</v>
      </c>
      <c r="G11" s="710">
        <v>4.6158656854715003</v>
      </c>
      <c r="H11" s="710">
        <v>-4.6158656854715003</v>
      </c>
      <c r="I11" s="711">
        <v>0</v>
      </c>
      <c r="J11" s="712" t="s">
        <v>1</v>
      </c>
    </row>
    <row r="12" spans="1:10" ht="14.4" customHeight="1" x14ac:dyDescent="0.3">
      <c r="A12" s="708" t="s">
        <v>552</v>
      </c>
      <c r="B12" s="709" t="s">
        <v>337</v>
      </c>
      <c r="C12" s="710" t="s">
        <v>554</v>
      </c>
      <c r="D12" s="710">
        <v>101.21415</v>
      </c>
      <c r="E12" s="710"/>
      <c r="F12" s="710">
        <v>0</v>
      </c>
      <c r="G12" s="710">
        <v>32.5</v>
      </c>
      <c r="H12" s="710">
        <v>-32.5</v>
      </c>
      <c r="I12" s="711">
        <v>0</v>
      </c>
      <c r="J12" s="712" t="s">
        <v>1</v>
      </c>
    </row>
    <row r="13" spans="1:10" ht="14.4" customHeight="1" x14ac:dyDescent="0.3">
      <c r="A13" s="708" t="s">
        <v>552</v>
      </c>
      <c r="B13" s="709" t="s">
        <v>339</v>
      </c>
      <c r="C13" s="710">
        <v>80.744259999999997</v>
      </c>
      <c r="D13" s="710">
        <v>80.998999999999995</v>
      </c>
      <c r="E13" s="710"/>
      <c r="F13" s="710">
        <v>210.44576999999998</v>
      </c>
      <c r="G13" s="710">
        <v>92.424464039665764</v>
      </c>
      <c r="H13" s="710">
        <v>118.02130596033422</v>
      </c>
      <c r="I13" s="711">
        <v>2.2769487731049547</v>
      </c>
      <c r="J13" s="712" t="s">
        <v>1</v>
      </c>
    </row>
    <row r="14" spans="1:10" ht="14.4" customHeight="1" x14ac:dyDescent="0.3">
      <c r="A14" s="708" t="s">
        <v>552</v>
      </c>
      <c r="B14" s="709" t="s">
        <v>340</v>
      </c>
      <c r="C14" s="710">
        <v>0.89227000000000001</v>
      </c>
      <c r="D14" s="710">
        <v>2.11259</v>
      </c>
      <c r="E14" s="710"/>
      <c r="F14" s="710">
        <v>2.8289999999999997</v>
      </c>
      <c r="G14" s="710">
        <v>3.7724793869497493</v>
      </c>
      <c r="H14" s="710">
        <v>-0.94347938694974953</v>
      </c>
      <c r="I14" s="711">
        <v>0.74990469392263459</v>
      </c>
      <c r="J14" s="712" t="s">
        <v>1</v>
      </c>
    </row>
    <row r="15" spans="1:10" ht="14.4" customHeight="1" x14ac:dyDescent="0.3">
      <c r="A15" s="708" t="s">
        <v>552</v>
      </c>
      <c r="B15" s="709" t="s">
        <v>341</v>
      </c>
      <c r="C15" s="710">
        <v>0</v>
      </c>
      <c r="D15" s="710">
        <v>13.72706</v>
      </c>
      <c r="E15" s="710"/>
      <c r="F15" s="710">
        <v>0</v>
      </c>
      <c r="G15" s="710">
        <v>57.5</v>
      </c>
      <c r="H15" s="710">
        <v>-57.5</v>
      </c>
      <c r="I15" s="711">
        <v>0</v>
      </c>
      <c r="J15" s="712" t="s">
        <v>1</v>
      </c>
    </row>
    <row r="16" spans="1:10" ht="14.4" customHeight="1" x14ac:dyDescent="0.3">
      <c r="A16" s="708" t="s">
        <v>552</v>
      </c>
      <c r="B16" s="709" t="s">
        <v>342</v>
      </c>
      <c r="C16" s="710">
        <v>76.513930000000002</v>
      </c>
      <c r="D16" s="710">
        <v>78.339200000000005</v>
      </c>
      <c r="E16" s="710"/>
      <c r="F16" s="710">
        <v>73.351820000000004</v>
      </c>
      <c r="G16" s="710">
        <v>68.749999999999744</v>
      </c>
      <c r="H16" s="710">
        <v>4.6018200000002594</v>
      </c>
      <c r="I16" s="711">
        <v>1.0669355636363678</v>
      </c>
      <c r="J16" s="712" t="s">
        <v>1</v>
      </c>
    </row>
    <row r="17" spans="1:10" ht="14.4" customHeight="1" x14ac:dyDescent="0.3">
      <c r="A17" s="708" t="s">
        <v>552</v>
      </c>
      <c r="B17" s="709" t="s">
        <v>556</v>
      </c>
      <c r="C17" s="710">
        <v>1291.8567</v>
      </c>
      <c r="D17" s="710">
        <v>1579.2912799999999</v>
      </c>
      <c r="E17" s="710"/>
      <c r="F17" s="710">
        <v>1937.98649</v>
      </c>
      <c r="G17" s="710">
        <v>1745.7091648349797</v>
      </c>
      <c r="H17" s="710">
        <v>192.27732516502033</v>
      </c>
      <c r="I17" s="711">
        <v>1.1101428170500531</v>
      </c>
      <c r="J17" s="712" t="s">
        <v>557</v>
      </c>
    </row>
    <row r="19" spans="1:10" ht="14.4" customHeight="1" x14ac:dyDescent="0.3">
      <c r="A19" s="708" t="s">
        <v>552</v>
      </c>
      <c r="B19" s="709" t="s">
        <v>553</v>
      </c>
      <c r="C19" s="710" t="s">
        <v>554</v>
      </c>
      <c r="D19" s="710" t="s">
        <v>554</v>
      </c>
      <c r="E19" s="710"/>
      <c r="F19" s="710" t="s">
        <v>554</v>
      </c>
      <c r="G19" s="710" t="s">
        <v>554</v>
      </c>
      <c r="H19" s="710" t="s">
        <v>554</v>
      </c>
      <c r="I19" s="711" t="s">
        <v>554</v>
      </c>
      <c r="J19" s="712" t="s">
        <v>74</v>
      </c>
    </row>
    <row r="20" spans="1:10" ht="14.4" customHeight="1" x14ac:dyDescent="0.3">
      <c r="A20" s="708" t="s">
        <v>558</v>
      </c>
      <c r="B20" s="709" t="s">
        <v>559</v>
      </c>
      <c r="C20" s="710" t="s">
        <v>554</v>
      </c>
      <c r="D20" s="710" t="s">
        <v>554</v>
      </c>
      <c r="E20" s="710"/>
      <c r="F20" s="710" t="s">
        <v>554</v>
      </c>
      <c r="G20" s="710" t="s">
        <v>554</v>
      </c>
      <c r="H20" s="710" t="s">
        <v>554</v>
      </c>
      <c r="I20" s="711" t="s">
        <v>554</v>
      </c>
      <c r="J20" s="712" t="s">
        <v>0</v>
      </c>
    </row>
    <row r="21" spans="1:10" ht="14.4" customHeight="1" x14ac:dyDescent="0.3">
      <c r="A21" s="708" t="s">
        <v>558</v>
      </c>
      <c r="B21" s="709" t="s">
        <v>332</v>
      </c>
      <c r="C21" s="710">
        <v>39.588880000000003</v>
      </c>
      <c r="D21" s="710">
        <v>43.21564</v>
      </c>
      <c r="E21" s="710"/>
      <c r="F21" s="710">
        <v>53.357730000000004</v>
      </c>
      <c r="G21" s="710">
        <v>44.410271048286752</v>
      </c>
      <c r="H21" s="710">
        <v>8.9474589517132515</v>
      </c>
      <c r="I21" s="711">
        <v>1.2014727390874238</v>
      </c>
      <c r="J21" s="712" t="s">
        <v>1</v>
      </c>
    </row>
    <row r="22" spans="1:10" ht="14.4" customHeight="1" x14ac:dyDescent="0.3">
      <c r="A22" s="708" t="s">
        <v>558</v>
      </c>
      <c r="B22" s="709" t="s">
        <v>335</v>
      </c>
      <c r="C22" s="710">
        <v>0</v>
      </c>
      <c r="D22" s="710">
        <v>0</v>
      </c>
      <c r="E22" s="710"/>
      <c r="F22" s="710" t="s">
        <v>554</v>
      </c>
      <c r="G22" s="710" t="s">
        <v>554</v>
      </c>
      <c r="H22" s="710" t="s">
        <v>554</v>
      </c>
      <c r="I22" s="711" t="s">
        <v>554</v>
      </c>
      <c r="J22" s="712" t="s">
        <v>1</v>
      </c>
    </row>
    <row r="23" spans="1:10" ht="14.4" customHeight="1" x14ac:dyDescent="0.3">
      <c r="A23" s="708" t="s">
        <v>558</v>
      </c>
      <c r="B23" s="709" t="s">
        <v>339</v>
      </c>
      <c r="C23" s="710">
        <v>12.11988</v>
      </c>
      <c r="D23" s="710">
        <v>6.8294999999999995</v>
      </c>
      <c r="E23" s="710"/>
      <c r="F23" s="710">
        <v>5.50983</v>
      </c>
      <c r="G23" s="710">
        <v>9.9837209950285004</v>
      </c>
      <c r="H23" s="710">
        <v>-4.4738909950285004</v>
      </c>
      <c r="I23" s="711">
        <v>0.55188140801848107</v>
      </c>
      <c r="J23" s="712" t="s">
        <v>1</v>
      </c>
    </row>
    <row r="24" spans="1:10" ht="14.4" customHeight="1" x14ac:dyDescent="0.3">
      <c r="A24" s="708" t="s">
        <v>558</v>
      </c>
      <c r="B24" s="709" t="s">
        <v>340</v>
      </c>
      <c r="C24" s="710">
        <v>0</v>
      </c>
      <c r="D24" s="710">
        <v>0</v>
      </c>
      <c r="E24" s="710"/>
      <c r="F24" s="710">
        <v>0.28523999999999999</v>
      </c>
      <c r="G24" s="710">
        <v>4.3351071746249997E-2</v>
      </c>
      <c r="H24" s="710">
        <v>0.24188892825375</v>
      </c>
      <c r="I24" s="711">
        <v>6.5797681236029453</v>
      </c>
      <c r="J24" s="712" t="s">
        <v>1</v>
      </c>
    </row>
    <row r="25" spans="1:10" ht="14.4" customHeight="1" x14ac:dyDescent="0.3">
      <c r="A25" s="708" t="s">
        <v>558</v>
      </c>
      <c r="B25" s="709" t="s">
        <v>342</v>
      </c>
      <c r="C25" s="710">
        <v>8.1350700000000007</v>
      </c>
      <c r="D25" s="710">
        <v>8.8532799999999998</v>
      </c>
      <c r="E25" s="710"/>
      <c r="F25" s="710">
        <v>8.6181400000000004</v>
      </c>
      <c r="G25" s="710">
        <v>7.3727279089179998</v>
      </c>
      <c r="H25" s="710">
        <v>1.2454120910820006</v>
      </c>
      <c r="I25" s="711">
        <v>1.1689214774324654</v>
      </c>
      <c r="J25" s="712" t="s">
        <v>1</v>
      </c>
    </row>
    <row r="26" spans="1:10" ht="14.4" customHeight="1" x14ac:dyDescent="0.3">
      <c r="A26" s="708" t="s">
        <v>558</v>
      </c>
      <c r="B26" s="709" t="s">
        <v>560</v>
      </c>
      <c r="C26" s="710">
        <v>59.843830000000004</v>
      </c>
      <c r="D26" s="710">
        <v>58.898420000000002</v>
      </c>
      <c r="E26" s="710"/>
      <c r="F26" s="710">
        <v>67.77094000000001</v>
      </c>
      <c r="G26" s="710">
        <v>61.810071023979503</v>
      </c>
      <c r="H26" s="710">
        <v>5.9608689760205067</v>
      </c>
      <c r="I26" s="711">
        <v>1.096438474786867</v>
      </c>
      <c r="J26" s="712" t="s">
        <v>561</v>
      </c>
    </row>
    <row r="27" spans="1:10" ht="14.4" customHeight="1" x14ac:dyDescent="0.3">
      <c r="A27" s="708" t="s">
        <v>554</v>
      </c>
      <c r="B27" s="709" t="s">
        <v>554</v>
      </c>
      <c r="C27" s="710" t="s">
        <v>554</v>
      </c>
      <c r="D27" s="710" t="s">
        <v>554</v>
      </c>
      <c r="E27" s="710"/>
      <c r="F27" s="710" t="s">
        <v>554</v>
      </c>
      <c r="G27" s="710" t="s">
        <v>554</v>
      </c>
      <c r="H27" s="710" t="s">
        <v>554</v>
      </c>
      <c r="I27" s="711" t="s">
        <v>554</v>
      </c>
      <c r="J27" s="712" t="s">
        <v>562</v>
      </c>
    </row>
    <row r="28" spans="1:10" ht="14.4" customHeight="1" x14ac:dyDescent="0.3">
      <c r="A28" s="708" t="s">
        <v>563</v>
      </c>
      <c r="B28" s="709" t="s">
        <v>564</v>
      </c>
      <c r="C28" s="710" t="s">
        <v>554</v>
      </c>
      <c r="D28" s="710" t="s">
        <v>554</v>
      </c>
      <c r="E28" s="710"/>
      <c r="F28" s="710" t="s">
        <v>554</v>
      </c>
      <c r="G28" s="710" t="s">
        <v>554</v>
      </c>
      <c r="H28" s="710" t="s">
        <v>554</v>
      </c>
      <c r="I28" s="711" t="s">
        <v>554</v>
      </c>
      <c r="J28" s="712" t="s">
        <v>0</v>
      </c>
    </row>
    <row r="29" spans="1:10" ht="14.4" customHeight="1" x14ac:dyDescent="0.3">
      <c r="A29" s="708" t="s">
        <v>563</v>
      </c>
      <c r="B29" s="709" t="s">
        <v>332</v>
      </c>
      <c r="C29" s="710">
        <v>60.256990000000002</v>
      </c>
      <c r="D29" s="710">
        <v>58.513199999999998</v>
      </c>
      <c r="E29" s="710"/>
      <c r="F29" s="710">
        <v>61.682829999999996</v>
      </c>
      <c r="G29" s="710">
        <v>59.942681025433259</v>
      </c>
      <c r="H29" s="710">
        <v>1.7401489745667362</v>
      </c>
      <c r="I29" s="711">
        <v>1.0290302159462705</v>
      </c>
      <c r="J29" s="712" t="s">
        <v>1</v>
      </c>
    </row>
    <row r="30" spans="1:10" ht="14.4" customHeight="1" x14ac:dyDescent="0.3">
      <c r="A30" s="708" t="s">
        <v>563</v>
      </c>
      <c r="B30" s="709" t="s">
        <v>334</v>
      </c>
      <c r="C30" s="710" t="s">
        <v>554</v>
      </c>
      <c r="D30" s="710">
        <v>0.15336</v>
      </c>
      <c r="E30" s="710"/>
      <c r="F30" s="710">
        <v>0</v>
      </c>
      <c r="G30" s="710">
        <v>3.7822559647250002E-2</v>
      </c>
      <c r="H30" s="710">
        <v>-3.7822559647250002E-2</v>
      </c>
      <c r="I30" s="711">
        <v>0</v>
      </c>
      <c r="J30" s="712" t="s">
        <v>1</v>
      </c>
    </row>
    <row r="31" spans="1:10" ht="14.4" customHeight="1" x14ac:dyDescent="0.3">
      <c r="A31" s="708" t="s">
        <v>563</v>
      </c>
      <c r="B31" s="709" t="s">
        <v>339</v>
      </c>
      <c r="C31" s="710">
        <v>14.60788</v>
      </c>
      <c r="D31" s="710">
        <v>11.035550000000001</v>
      </c>
      <c r="E31" s="710"/>
      <c r="F31" s="710">
        <v>44.54269</v>
      </c>
      <c r="G31" s="710">
        <v>13.413367574492749</v>
      </c>
      <c r="H31" s="710">
        <v>31.129322425507251</v>
      </c>
      <c r="I31" s="711">
        <v>3.3207686103155538</v>
      </c>
      <c r="J31" s="712" t="s">
        <v>1</v>
      </c>
    </row>
    <row r="32" spans="1:10" ht="14.4" customHeight="1" x14ac:dyDescent="0.3">
      <c r="A32" s="708" t="s">
        <v>563</v>
      </c>
      <c r="B32" s="709" t="s">
        <v>340</v>
      </c>
      <c r="C32" s="710">
        <v>0</v>
      </c>
      <c r="D32" s="710">
        <v>0.19139999999999999</v>
      </c>
      <c r="E32" s="710"/>
      <c r="F32" s="710">
        <v>0</v>
      </c>
      <c r="G32" s="710">
        <v>7.9128315203499999E-2</v>
      </c>
      <c r="H32" s="710">
        <v>-7.9128315203499999E-2</v>
      </c>
      <c r="I32" s="711">
        <v>0</v>
      </c>
      <c r="J32" s="712" t="s">
        <v>1</v>
      </c>
    </row>
    <row r="33" spans="1:10" ht="14.4" customHeight="1" x14ac:dyDescent="0.3">
      <c r="A33" s="708" t="s">
        <v>563</v>
      </c>
      <c r="B33" s="709" t="s">
        <v>565</v>
      </c>
      <c r="C33" s="710">
        <v>74.864869999999996</v>
      </c>
      <c r="D33" s="710">
        <v>69.893510000000006</v>
      </c>
      <c r="E33" s="710"/>
      <c r="F33" s="710">
        <v>106.22551999999999</v>
      </c>
      <c r="G33" s="710">
        <v>73.472999474776771</v>
      </c>
      <c r="H33" s="710">
        <v>32.752520525223218</v>
      </c>
      <c r="I33" s="711">
        <v>1.4457762818906983</v>
      </c>
      <c r="J33" s="712" t="s">
        <v>561</v>
      </c>
    </row>
    <row r="34" spans="1:10" ht="14.4" customHeight="1" x14ac:dyDescent="0.3">
      <c r="A34" s="708" t="s">
        <v>554</v>
      </c>
      <c r="B34" s="709" t="s">
        <v>554</v>
      </c>
      <c r="C34" s="710" t="s">
        <v>554</v>
      </c>
      <c r="D34" s="710" t="s">
        <v>554</v>
      </c>
      <c r="E34" s="710"/>
      <c r="F34" s="710" t="s">
        <v>554</v>
      </c>
      <c r="G34" s="710" t="s">
        <v>554</v>
      </c>
      <c r="H34" s="710" t="s">
        <v>554</v>
      </c>
      <c r="I34" s="711" t="s">
        <v>554</v>
      </c>
      <c r="J34" s="712" t="s">
        <v>562</v>
      </c>
    </row>
    <row r="35" spans="1:10" ht="14.4" customHeight="1" x14ac:dyDescent="0.3">
      <c r="A35" s="708" t="s">
        <v>566</v>
      </c>
      <c r="B35" s="709" t="s">
        <v>567</v>
      </c>
      <c r="C35" s="710" t="s">
        <v>554</v>
      </c>
      <c r="D35" s="710" t="s">
        <v>554</v>
      </c>
      <c r="E35" s="710"/>
      <c r="F35" s="710" t="s">
        <v>554</v>
      </c>
      <c r="G35" s="710" t="s">
        <v>554</v>
      </c>
      <c r="H35" s="710" t="s">
        <v>554</v>
      </c>
      <c r="I35" s="711" t="s">
        <v>554</v>
      </c>
      <c r="J35" s="712" t="s">
        <v>0</v>
      </c>
    </row>
    <row r="36" spans="1:10" ht="14.4" customHeight="1" x14ac:dyDescent="0.3">
      <c r="A36" s="708" t="s">
        <v>566</v>
      </c>
      <c r="B36" s="709" t="s">
        <v>332</v>
      </c>
      <c r="C36" s="710">
        <v>0.71921999999999997</v>
      </c>
      <c r="D36" s="710">
        <v>0.81981000000000004</v>
      </c>
      <c r="E36" s="710"/>
      <c r="F36" s="710">
        <v>0.21607999999999999</v>
      </c>
      <c r="G36" s="710">
        <v>0.73571010567600004</v>
      </c>
      <c r="H36" s="710">
        <v>-0.51963010567599999</v>
      </c>
      <c r="I36" s="711">
        <v>0.29370263957630022</v>
      </c>
      <c r="J36" s="712" t="s">
        <v>1</v>
      </c>
    </row>
    <row r="37" spans="1:10" ht="14.4" customHeight="1" x14ac:dyDescent="0.3">
      <c r="A37" s="708" t="s">
        <v>566</v>
      </c>
      <c r="B37" s="709" t="s">
        <v>341</v>
      </c>
      <c r="C37" s="710">
        <v>0</v>
      </c>
      <c r="D37" s="710">
        <v>13.72706</v>
      </c>
      <c r="E37" s="710"/>
      <c r="F37" s="710">
        <v>0</v>
      </c>
      <c r="G37" s="710">
        <v>57.5</v>
      </c>
      <c r="H37" s="710">
        <v>-57.5</v>
      </c>
      <c r="I37" s="711">
        <v>0</v>
      </c>
      <c r="J37" s="712" t="s">
        <v>1</v>
      </c>
    </row>
    <row r="38" spans="1:10" ht="14.4" customHeight="1" x14ac:dyDescent="0.3">
      <c r="A38" s="708" t="s">
        <v>566</v>
      </c>
      <c r="B38" s="709" t="s">
        <v>568</v>
      </c>
      <c r="C38" s="710">
        <v>0.71921999999999997</v>
      </c>
      <c r="D38" s="710">
        <v>14.54687</v>
      </c>
      <c r="E38" s="710"/>
      <c r="F38" s="710">
        <v>0.21607999999999999</v>
      </c>
      <c r="G38" s="710">
        <v>58.235710105675999</v>
      </c>
      <c r="H38" s="710">
        <v>-58.019630105676001</v>
      </c>
      <c r="I38" s="711">
        <v>3.7104381419561252E-3</v>
      </c>
      <c r="J38" s="712" t="s">
        <v>561</v>
      </c>
    </row>
    <row r="39" spans="1:10" ht="14.4" customHeight="1" x14ac:dyDescent="0.3">
      <c r="A39" s="708" t="s">
        <v>554</v>
      </c>
      <c r="B39" s="709" t="s">
        <v>554</v>
      </c>
      <c r="C39" s="710" t="s">
        <v>554</v>
      </c>
      <c r="D39" s="710" t="s">
        <v>554</v>
      </c>
      <c r="E39" s="710"/>
      <c r="F39" s="710" t="s">
        <v>554</v>
      </c>
      <c r="G39" s="710" t="s">
        <v>554</v>
      </c>
      <c r="H39" s="710" t="s">
        <v>554</v>
      </c>
      <c r="I39" s="711" t="s">
        <v>554</v>
      </c>
      <c r="J39" s="712" t="s">
        <v>562</v>
      </c>
    </row>
    <row r="40" spans="1:10" ht="14.4" customHeight="1" x14ac:dyDescent="0.3">
      <c r="A40" s="708" t="s">
        <v>569</v>
      </c>
      <c r="B40" s="709" t="s">
        <v>570</v>
      </c>
      <c r="C40" s="710" t="s">
        <v>554</v>
      </c>
      <c r="D40" s="710" t="s">
        <v>554</v>
      </c>
      <c r="E40" s="710"/>
      <c r="F40" s="710" t="s">
        <v>554</v>
      </c>
      <c r="G40" s="710" t="s">
        <v>554</v>
      </c>
      <c r="H40" s="710" t="s">
        <v>554</v>
      </c>
      <c r="I40" s="711" t="s">
        <v>554</v>
      </c>
      <c r="J40" s="712" t="s">
        <v>0</v>
      </c>
    </row>
    <row r="41" spans="1:10" ht="14.4" customHeight="1" x14ac:dyDescent="0.3">
      <c r="A41" s="708" t="s">
        <v>569</v>
      </c>
      <c r="B41" s="709" t="s">
        <v>332</v>
      </c>
      <c r="C41" s="710">
        <v>490.71906999999999</v>
      </c>
      <c r="D41" s="710">
        <v>595.70593000000008</v>
      </c>
      <c r="E41" s="710"/>
      <c r="F41" s="710">
        <v>489.392</v>
      </c>
      <c r="G41" s="710">
        <v>558.491066792065</v>
      </c>
      <c r="H41" s="710">
        <v>-69.099066792065003</v>
      </c>
      <c r="I41" s="711">
        <v>0.87627543052932722</v>
      </c>
      <c r="J41" s="712" t="s">
        <v>1</v>
      </c>
    </row>
    <row r="42" spans="1:10" ht="14.4" customHeight="1" x14ac:dyDescent="0.3">
      <c r="A42" s="708" t="s">
        <v>569</v>
      </c>
      <c r="B42" s="709" t="s">
        <v>333</v>
      </c>
      <c r="C42" s="710">
        <v>0</v>
      </c>
      <c r="D42" s="710">
        <v>42.450839999999999</v>
      </c>
      <c r="E42" s="710"/>
      <c r="F42" s="710">
        <v>107.15746999999999</v>
      </c>
      <c r="G42" s="710">
        <v>55.029020468054497</v>
      </c>
      <c r="H42" s="710">
        <v>52.128449531945492</v>
      </c>
      <c r="I42" s="711">
        <v>1.9472901586937597</v>
      </c>
      <c r="J42" s="712" t="s">
        <v>1</v>
      </c>
    </row>
    <row r="43" spans="1:10" ht="14.4" customHeight="1" x14ac:dyDescent="0.3">
      <c r="A43" s="708" t="s">
        <v>569</v>
      </c>
      <c r="B43" s="709" t="s">
        <v>334</v>
      </c>
      <c r="C43" s="710">
        <v>74.425020000000004</v>
      </c>
      <c r="D43" s="710">
        <v>48.123260000000002</v>
      </c>
      <c r="E43" s="710"/>
      <c r="F43" s="710">
        <v>62.92803</v>
      </c>
      <c r="G43" s="710">
        <v>39.962177440352498</v>
      </c>
      <c r="H43" s="710">
        <v>22.965852559647502</v>
      </c>
      <c r="I43" s="711">
        <v>1.5746897198964274</v>
      </c>
      <c r="J43" s="712" t="s">
        <v>1</v>
      </c>
    </row>
    <row r="44" spans="1:10" ht="14.4" customHeight="1" x14ac:dyDescent="0.3">
      <c r="A44" s="708" t="s">
        <v>569</v>
      </c>
      <c r="B44" s="709" t="s">
        <v>335</v>
      </c>
      <c r="C44" s="710">
        <v>173.95443</v>
      </c>
      <c r="D44" s="710">
        <v>142.07820000000001</v>
      </c>
      <c r="E44" s="710"/>
      <c r="F44" s="710">
        <v>147.47752</v>
      </c>
      <c r="G44" s="710">
        <v>140</v>
      </c>
      <c r="H44" s="710">
        <v>7.4775199999999984</v>
      </c>
      <c r="I44" s="711">
        <v>1.0534108571428571</v>
      </c>
      <c r="J44" s="712" t="s">
        <v>1</v>
      </c>
    </row>
    <row r="45" spans="1:10" ht="14.4" customHeight="1" x14ac:dyDescent="0.3">
      <c r="A45" s="708" t="s">
        <v>569</v>
      </c>
      <c r="B45" s="709" t="s">
        <v>337</v>
      </c>
      <c r="C45" s="710" t="s">
        <v>554</v>
      </c>
      <c r="D45" s="710">
        <v>101.21415</v>
      </c>
      <c r="E45" s="710"/>
      <c r="F45" s="710">
        <v>0</v>
      </c>
      <c r="G45" s="710">
        <v>32.5</v>
      </c>
      <c r="H45" s="710">
        <v>-32.5</v>
      </c>
      <c r="I45" s="711">
        <v>0</v>
      </c>
      <c r="J45" s="712" t="s">
        <v>1</v>
      </c>
    </row>
    <row r="46" spans="1:10" ht="14.4" customHeight="1" x14ac:dyDescent="0.3">
      <c r="A46" s="708" t="s">
        <v>569</v>
      </c>
      <c r="B46" s="709" t="s">
        <v>339</v>
      </c>
      <c r="C46" s="710">
        <v>53.694499999999998</v>
      </c>
      <c r="D46" s="710">
        <v>63.133949999999999</v>
      </c>
      <c r="E46" s="710"/>
      <c r="F46" s="710">
        <v>160.18908999999999</v>
      </c>
      <c r="G46" s="710">
        <v>68.892893398271752</v>
      </c>
      <c r="H46" s="710">
        <v>91.296196601728241</v>
      </c>
      <c r="I46" s="711">
        <v>2.3251903367440581</v>
      </c>
      <c r="J46" s="712" t="s">
        <v>1</v>
      </c>
    </row>
    <row r="47" spans="1:10" ht="14.4" customHeight="1" x14ac:dyDescent="0.3">
      <c r="A47" s="708" t="s">
        <v>569</v>
      </c>
      <c r="B47" s="709" t="s">
        <v>340</v>
      </c>
      <c r="C47" s="710">
        <v>0.89227000000000001</v>
      </c>
      <c r="D47" s="710">
        <v>1.92119</v>
      </c>
      <c r="E47" s="710"/>
      <c r="F47" s="710">
        <v>2.5437599999999998</v>
      </c>
      <c r="G47" s="710">
        <v>3.6499999999999995</v>
      </c>
      <c r="H47" s="710">
        <v>-1.1062399999999997</v>
      </c>
      <c r="I47" s="711">
        <v>0.69692054794520553</v>
      </c>
      <c r="J47" s="712" t="s">
        <v>1</v>
      </c>
    </row>
    <row r="48" spans="1:10" ht="14.4" customHeight="1" x14ac:dyDescent="0.3">
      <c r="A48" s="708" t="s">
        <v>569</v>
      </c>
      <c r="B48" s="709" t="s">
        <v>342</v>
      </c>
      <c r="C48" s="710">
        <v>28.276139999999998</v>
      </c>
      <c r="D48" s="710">
        <v>27.228570000000001</v>
      </c>
      <c r="E48" s="710"/>
      <c r="F48" s="710">
        <v>28.414269999999998</v>
      </c>
      <c r="G48" s="710">
        <v>28.580578227435495</v>
      </c>
      <c r="H48" s="710">
        <v>-0.166308227435497</v>
      </c>
      <c r="I48" s="711">
        <v>0.99418107548027657</v>
      </c>
      <c r="J48" s="712" t="s">
        <v>1</v>
      </c>
    </row>
    <row r="49" spans="1:10" ht="14.4" customHeight="1" x14ac:dyDescent="0.3">
      <c r="A49" s="708" t="s">
        <v>569</v>
      </c>
      <c r="B49" s="709" t="s">
        <v>571</v>
      </c>
      <c r="C49" s="710">
        <v>821.96143000000006</v>
      </c>
      <c r="D49" s="710">
        <v>1021.8560900000001</v>
      </c>
      <c r="E49" s="710"/>
      <c r="F49" s="710">
        <v>998.10213999999996</v>
      </c>
      <c r="G49" s="710">
        <v>927.10573632617923</v>
      </c>
      <c r="H49" s="710">
        <v>70.996403673820737</v>
      </c>
      <c r="I49" s="711">
        <v>1.0765785399572185</v>
      </c>
      <c r="J49" s="712" t="s">
        <v>561</v>
      </c>
    </row>
    <row r="50" spans="1:10" ht="14.4" customHeight="1" x14ac:dyDescent="0.3">
      <c r="A50" s="708" t="s">
        <v>554</v>
      </c>
      <c r="B50" s="709" t="s">
        <v>554</v>
      </c>
      <c r="C50" s="710" t="s">
        <v>554</v>
      </c>
      <c r="D50" s="710" t="s">
        <v>554</v>
      </c>
      <c r="E50" s="710"/>
      <c r="F50" s="710" t="s">
        <v>554</v>
      </c>
      <c r="G50" s="710" t="s">
        <v>554</v>
      </c>
      <c r="H50" s="710" t="s">
        <v>554</v>
      </c>
      <c r="I50" s="711" t="s">
        <v>554</v>
      </c>
      <c r="J50" s="712" t="s">
        <v>562</v>
      </c>
    </row>
    <row r="51" spans="1:10" ht="14.4" customHeight="1" x14ac:dyDescent="0.3">
      <c r="A51" s="708" t="s">
        <v>572</v>
      </c>
      <c r="B51" s="709" t="s">
        <v>573</v>
      </c>
      <c r="C51" s="710" t="s">
        <v>554</v>
      </c>
      <c r="D51" s="710" t="s">
        <v>554</v>
      </c>
      <c r="E51" s="710"/>
      <c r="F51" s="710" t="s">
        <v>554</v>
      </c>
      <c r="G51" s="710" t="s">
        <v>554</v>
      </c>
      <c r="H51" s="710" t="s">
        <v>554</v>
      </c>
      <c r="I51" s="711" t="s">
        <v>554</v>
      </c>
      <c r="J51" s="712" t="s">
        <v>0</v>
      </c>
    </row>
    <row r="52" spans="1:10" ht="14.4" customHeight="1" x14ac:dyDescent="0.3">
      <c r="A52" s="708" t="s">
        <v>572</v>
      </c>
      <c r="B52" s="709" t="s">
        <v>332</v>
      </c>
      <c r="C52" s="710">
        <v>284.4325</v>
      </c>
      <c r="D52" s="710">
        <v>363.61478999999997</v>
      </c>
      <c r="E52" s="710"/>
      <c r="F52" s="710">
        <v>729.1482400000001</v>
      </c>
      <c r="G52" s="710">
        <v>587.5376062833775</v>
      </c>
      <c r="H52" s="710">
        <v>141.6106337166226</v>
      </c>
      <c r="I52" s="711">
        <v>1.2410239484284549</v>
      </c>
      <c r="J52" s="712" t="s">
        <v>1</v>
      </c>
    </row>
    <row r="53" spans="1:10" ht="14.4" customHeight="1" x14ac:dyDescent="0.3">
      <c r="A53" s="708" t="s">
        <v>572</v>
      </c>
      <c r="B53" s="709" t="s">
        <v>555</v>
      </c>
      <c r="C53" s="710">
        <v>0</v>
      </c>
      <c r="D53" s="710" t="s">
        <v>554</v>
      </c>
      <c r="E53" s="710"/>
      <c r="F53" s="710" t="s">
        <v>554</v>
      </c>
      <c r="G53" s="710" t="s">
        <v>554</v>
      </c>
      <c r="H53" s="710" t="s">
        <v>554</v>
      </c>
      <c r="I53" s="711" t="s">
        <v>554</v>
      </c>
      <c r="J53" s="712" t="s">
        <v>1</v>
      </c>
    </row>
    <row r="54" spans="1:10" ht="14.4" customHeight="1" x14ac:dyDescent="0.3">
      <c r="A54" s="708" t="s">
        <v>572</v>
      </c>
      <c r="B54" s="709" t="s">
        <v>336</v>
      </c>
      <c r="C54" s="710">
        <v>9.6101299999999998</v>
      </c>
      <c r="D54" s="710">
        <v>8.2242499999999996</v>
      </c>
      <c r="E54" s="710"/>
      <c r="F54" s="710">
        <v>0</v>
      </c>
      <c r="G54" s="710">
        <v>4.6158656854715003</v>
      </c>
      <c r="H54" s="710">
        <v>-4.6158656854715003</v>
      </c>
      <c r="I54" s="711">
        <v>0</v>
      </c>
      <c r="J54" s="712" t="s">
        <v>1</v>
      </c>
    </row>
    <row r="55" spans="1:10" ht="14.4" customHeight="1" x14ac:dyDescent="0.3">
      <c r="A55" s="708" t="s">
        <v>572</v>
      </c>
      <c r="B55" s="709" t="s">
        <v>339</v>
      </c>
      <c r="C55" s="710">
        <v>0.32200000000000001</v>
      </c>
      <c r="D55" s="710">
        <v>0</v>
      </c>
      <c r="E55" s="710"/>
      <c r="F55" s="710">
        <v>0.20416000000000001</v>
      </c>
      <c r="G55" s="710">
        <v>0.13448207187274999</v>
      </c>
      <c r="H55" s="710">
        <v>6.9677928127250016E-2</v>
      </c>
      <c r="I55" s="711">
        <v>1.5181205729279725</v>
      </c>
      <c r="J55" s="712" t="s">
        <v>1</v>
      </c>
    </row>
    <row r="56" spans="1:10" ht="14.4" customHeight="1" x14ac:dyDescent="0.3">
      <c r="A56" s="708" t="s">
        <v>572</v>
      </c>
      <c r="B56" s="709" t="s">
        <v>342</v>
      </c>
      <c r="C56" s="710">
        <v>40.102720000000005</v>
      </c>
      <c r="D56" s="710">
        <v>42.257350000000002</v>
      </c>
      <c r="E56" s="710"/>
      <c r="F56" s="710">
        <v>36.319409999999998</v>
      </c>
      <c r="G56" s="710">
        <v>32.796693863646247</v>
      </c>
      <c r="H56" s="710">
        <v>3.5227161363537505</v>
      </c>
      <c r="I56" s="711">
        <v>1.1074107088659486</v>
      </c>
      <c r="J56" s="712" t="s">
        <v>1</v>
      </c>
    </row>
    <row r="57" spans="1:10" ht="14.4" customHeight="1" x14ac:dyDescent="0.3">
      <c r="A57" s="708" t="s">
        <v>572</v>
      </c>
      <c r="B57" s="709" t="s">
        <v>574</v>
      </c>
      <c r="C57" s="710">
        <v>334.46735000000001</v>
      </c>
      <c r="D57" s="710">
        <v>414.09638999999993</v>
      </c>
      <c r="E57" s="710"/>
      <c r="F57" s="710">
        <v>765.67181000000005</v>
      </c>
      <c r="G57" s="710">
        <v>625.08464790436801</v>
      </c>
      <c r="H57" s="710">
        <v>140.58716209563204</v>
      </c>
      <c r="I57" s="711">
        <v>1.224908998432386</v>
      </c>
      <c r="J57" s="712" t="s">
        <v>561</v>
      </c>
    </row>
    <row r="58" spans="1:10" ht="14.4" customHeight="1" x14ac:dyDescent="0.3">
      <c r="A58" s="708" t="s">
        <v>554</v>
      </c>
      <c r="B58" s="709" t="s">
        <v>554</v>
      </c>
      <c r="C58" s="710" t="s">
        <v>554</v>
      </c>
      <c r="D58" s="710" t="s">
        <v>554</v>
      </c>
      <c r="E58" s="710"/>
      <c r="F58" s="710" t="s">
        <v>554</v>
      </c>
      <c r="G58" s="710" t="s">
        <v>554</v>
      </c>
      <c r="H58" s="710" t="s">
        <v>554</v>
      </c>
      <c r="I58" s="711" t="s">
        <v>554</v>
      </c>
      <c r="J58" s="712" t="s">
        <v>562</v>
      </c>
    </row>
    <row r="59" spans="1:10" ht="14.4" customHeight="1" x14ac:dyDescent="0.3">
      <c r="A59" s="708" t="s">
        <v>552</v>
      </c>
      <c r="B59" s="709" t="s">
        <v>556</v>
      </c>
      <c r="C59" s="710">
        <v>1291.8566999999998</v>
      </c>
      <c r="D59" s="710">
        <v>1579.2912799999999</v>
      </c>
      <c r="E59" s="710"/>
      <c r="F59" s="710">
        <v>1937.9864900000005</v>
      </c>
      <c r="G59" s="710">
        <v>1745.7091648349797</v>
      </c>
      <c r="H59" s="710">
        <v>192.27732516502078</v>
      </c>
      <c r="I59" s="711">
        <v>1.1101428170500534</v>
      </c>
      <c r="J59" s="712" t="s">
        <v>557</v>
      </c>
    </row>
  </sheetData>
  <mergeCells count="3">
    <mergeCell ref="F3:I3"/>
    <mergeCell ref="C4:D4"/>
    <mergeCell ref="A1:I1"/>
  </mergeCells>
  <conditionalFormatting sqref="F18 F60:F65537">
    <cfRule type="cellIs" dxfId="80" priority="18" stopIfTrue="1" operator="greaterThan">
      <formula>1</formula>
    </cfRule>
  </conditionalFormatting>
  <conditionalFormatting sqref="H5:H17">
    <cfRule type="expression" dxfId="79" priority="14">
      <formula>$H5&gt;0</formula>
    </cfRule>
  </conditionalFormatting>
  <conditionalFormatting sqref="I5:I17">
    <cfRule type="expression" dxfId="78" priority="15">
      <formula>$I5&gt;1</formula>
    </cfRule>
  </conditionalFormatting>
  <conditionalFormatting sqref="B5:B17">
    <cfRule type="expression" dxfId="77" priority="11">
      <formula>OR($J5="NS",$J5="SumaNS",$J5="Účet")</formula>
    </cfRule>
  </conditionalFormatting>
  <conditionalFormatting sqref="B5:D17 F5:I17">
    <cfRule type="expression" dxfId="76" priority="17">
      <formula>AND($J5&lt;&gt;"",$J5&lt;&gt;"mezeraKL")</formula>
    </cfRule>
  </conditionalFormatting>
  <conditionalFormatting sqref="B5:D17 F5:I17">
    <cfRule type="expression" dxfId="7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7 B5:D17">
    <cfRule type="expression" dxfId="74" priority="13">
      <formula>OR($J5="SumaNS",$J5="NS")</formula>
    </cfRule>
  </conditionalFormatting>
  <conditionalFormatting sqref="A5:A17">
    <cfRule type="expression" dxfId="73" priority="9">
      <formula>AND($J5&lt;&gt;"mezeraKL",$J5&lt;&gt;"")</formula>
    </cfRule>
  </conditionalFormatting>
  <conditionalFormatting sqref="A5:A17">
    <cfRule type="expression" dxfId="72" priority="10">
      <formula>AND($J5&lt;&gt;"",$J5&lt;&gt;"mezeraKL")</formula>
    </cfRule>
  </conditionalFormatting>
  <conditionalFormatting sqref="H19:H59">
    <cfRule type="expression" dxfId="71" priority="5">
      <formula>$H19&gt;0</formula>
    </cfRule>
  </conditionalFormatting>
  <conditionalFormatting sqref="A19:A59">
    <cfRule type="expression" dxfId="70" priority="2">
      <formula>AND($J19&lt;&gt;"mezeraKL",$J19&lt;&gt;"")</formula>
    </cfRule>
  </conditionalFormatting>
  <conditionalFormatting sqref="I19:I59">
    <cfRule type="expression" dxfId="69" priority="6">
      <formula>$I19&gt;1</formula>
    </cfRule>
  </conditionalFormatting>
  <conditionalFormatting sqref="B19:B59">
    <cfRule type="expression" dxfId="68" priority="1">
      <formula>OR($J19="NS",$J19="SumaNS",$J19="Účet")</formula>
    </cfRule>
  </conditionalFormatting>
  <conditionalFormatting sqref="A19:D59 F19:I59">
    <cfRule type="expression" dxfId="67" priority="8">
      <formula>AND($J19&lt;&gt;"",$J19&lt;&gt;"mezeraKL")</formula>
    </cfRule>
  </conditionalFormatting>
  <conditionalFormatting sqref="B19:D59 F19:I59">
    <cfRule type="expression" dxfId="66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59 F19:I59">
    <cfRule type="expression" dxfId="65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4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63" t="s">
        <v>205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</row>
    <row r="2" spans="1:14" ht="14.4" customHeight="1" thickBot="1" x14ac:dyDescent="0.35">
      <c r="A2" s="374" t="s">
        <v>323</v>
      </c>
      <c r="B2" s="66"/>
      <c r="C2" s="333"/>
      <c r="D2" s="333"/>
      <c r="E2" s="333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59"/>
      <c r="D3" s="560"/>
      <c r="E3" s="560"/>
      <c r="F3" s="560"/>
      <c r="G3" s="560"/>
      <c r="H3" s="560"/>
      <c r="I3" s="560"/>
      <c r="J3" s="561" t="s">
        <v>159</v>
      </c>
      <c r="K3" s="562"/>
      <c r="L3" s="203">
        <f>IF(M3&lt;&gt;0,N3/M3,0)</f>
        <v>319.97712185026018</v>
      </c>
      <c r="M3" s="203">
        <f>SUBTOTAL(9,M5:M1048576)</f>
        <v>5827.4</v>
      </c>
      <c r="N3" s="204">
        <f>SUBTOTAL(9,N5:N1048576)</f>
        <v>1864634.6798702062</v>
      </c>
    </row>
    <row r="4" spans="1:14" s="330" customFormat="1" ht="14.4" customHeight="1" thickBot="1" x14ac:dyDescent="0.35">
      <c r="A4" s="713" t="s">
        <v>4</v>
      </c>
      <c r="B4" s="714" t="s">
        <v>5</v>
      </c>
      <c r="C4" s="714" t="s">
        <v>0</v>
      </c>
      <c r="D4" s="714" t="s">
        <v>6</v>
      </c>
      <c r="E4" s="714" t="s">
        <v>7</v>
      </c>
      <c r="F4" s="714" t="s">
        <v>1</v>
      </c>
      <c r="G4" s="714" t="s">
        <v>8</v>
      </c>
      <c r="H4" s="714" t="s">
        <v>9</v>
      </c>
      <c r="I4" s="714" t="s">
        <v>10</v>
      </c>
      <c r="J4" s="715" t="s">
        <v>11</v>
      </c>
      <c r="K4" s="715" t="s">
        <v>12</v>
      </c>
      <c r="L4" s="716" t="s">
        <v>184</v>
      </c>
      <c r="M4" s="716" t="s">
        <v>13</v>
      </c>
      <c r="N4" s="717" t="s">
        <v>201</v>
      </c>
    </row>
    <row r="5" spans="1:14" ht="14.4" customHeight="1" x14ac:dyDescent="0.3">
      <c r="A5" s="718" t="s">
        <v>552</v>
      </c>
      <c r="B5" s="719" t="s">
        <v>1679</v>
      </c>
      <c r="C5" s="720" t="s">
        <v>558</v>
      </c>
      <c r="D5" s="721" t="s">
        <v>559</v>
      </c>
      <c r="E5" s="720" t="s">
        <v>575</v>
      </c>
      <c r="F5" s="721" t="s">
        <v>1681</v>
      </c>
      <c r="G5" s="720"/>
      <c r="H5" s="720" t="s">
        <v>576</v>
      </c>
      <c r="I5" s="720" t="s">
        <v>577</v>
      </c>
      <c r="J5" s="720" t="s">
        <v>578</v>
      </c>
      <c r="K5" s="720" t="s">
        <v>579</v>
      </c>
      <c r="L5" s="722">
        <v>46.54</v>
      </c>
      <c r="M5" s="722">
        <v>32</v>
      </c>
      <c r="N5" s="723">
        <v>1489.28</v>
      </c>
    </row>
    <row r="6" spans="1:14" ht="14.4" customHeight="1" x14ac:dyDescent="0.3">
      <c r="A6" s="724" t="s">
        <v>552</v>
      </c>
      <c r="B6" s="725" t="s">
        <v>1679</v>
      </c>
      <c r="C6" s="726" t="s">
        <v>558</v>
      </c>
      <c r="D6" s="727" t="s">
        <v>559</v>
      </c>
      <c r="E6" s="726" t="s">
        <v>575</v>
      </c>
      <c r="F6" s="727" t="s">
        <v>1681</v>
      </c>
      <c r="G6" s="726"/>
      <c r="H6" s="726" t="s">
        <v>580</v>
      </c>
      <c r="I6" s="726" t="s">
        <v>580</v>
      </c>
      <c r="J6" s="726" t="s">
        <v>581</v>
      </c>
      <c r="K6" s="726" t="s">
        <v>582</v>
      </c>
      <c r="L6" s="728">
        <v>103.31999999999998</v>
      </c>
      <c r="M6" s="728">
        <v>1</v>
      </c>
      <c r="N6" s="729">
        <v>103.31999999999998</v>
      </c>
    </row>
    <row r="7" spans="1:14" ht="14.4" customHeight="1" x14ac:dyDescent="0.3">
      <c r="A7" s="724" t="s">
        <v>552</v>
      </c>
      <c r="B7" s="725" t="s">
        <v>1679</v>
      </c>
      <c r="C7" s="726" t="s">
        <v>558</v>
      </c>
      <c r="D7" s="727" t="s">
        <v>559</v>
      </c>
      <c r="E7" s="726" t="s">
        <v>575</v>
      </c>
      <c r="F7" s="727" t="s">
        <v>1681</v>
      </c>
      <c r="G7" s="726" t="s">
        <v>583</v>
      </c>
      <c r="H7" s="726" t="s">
        <v>584</v>
      </c>
      <c r="I7" s="726" t="s">
        <v>584</v>
      </c>
      <c r="J7" s="726" t="s">
        <v>585</v>
      </c>
      <c r="K7" s="726" t="s">
        <v>586</v>
      </c>
      <c r="L7" s="728">
        <v>171.60000025942088</v>
      </c>
      <c r="M7" s="728">
        <v>10</v>
      </c>
      <c r="N7" s="729">
        <v>1716.0000025942088</v>
      </c>
    </row>
    <row r="8" spans="1:14" ht="14.4" customHeight="1" x14ac:dyDescent="0.3">
      <c r="A8" s="724" t="s">
        <v>552</v>
      </c>
      <c r="B8" s="725" t="s">
        <v>1679</v>
      </c>
      <c r="C8" s="726" t="s">
        <v>558</v>
      </c>
      <c r="D8" s="727" t="s">
        <v>559</v>
      </c>
      <c r="E8" s="726" t="s">
        <v>575</v>
      </c>
      <c r="F8" s="727" t="s">
        <v>1681</v>
      </c>
      <c r="G8" s="726" t="s">
        <v>583</v>
      </c>
      <c r="H8" s="726" t="s">
        <v>587</v>
      </c>
      <c r="I8" s="726" t="s">
        <v>587</v>
      </c>
      <c r="J8" s="726" t="s">
        <v>588</v>
      </c>
      <c r="K8" s="726" t="s">
        <v>589</v>
      </c>
      <c r="L8" s="728">
        <v>173.69</v>
      </c>
      <c r="M8" s="728">
        <v>4</v>
      </c>
      <c r="N8" s="729">
        <v>694.76</v>
      </c>
    </row>
    <row r="9" spans="1:14" ht="14.4" customHeight="1" x14ac:dyDescent="0.3">
      <c r="A9" s="724" t="s">
        <v>552</v>
      </c>
      <c r="B9" s="725" t="s">
        <v>1679</v>
      </c>
      <c r="C9" s="726" t="s">
        <v>558</v>
      </c>
      <c r="D9" s="727" t="s">
        <v>559</v>
      </c>
      <c r="E9" s="726" t="s">
        <v>575</v>
      </c>
      <c r="F9" s="727" t="s">
        <v>1681</v>
      </c>
      <c r="G9" s="726" t="s">
        <v>583</v>
      </c>
      <c r="H9" s="726" t="s">
        <v>590</v>
      </c>
      <c r="I9" s="726" t="s">
        <v>590</v>
      </c>
      <c r="J9" s="726" t="s">
        <v>591</v>
      </c>
      <c r="K9" s="726" t="s">
        <v>589</v>
      </c>
      <c r="L9" s="728">
        <v>143</v>
      </c>
      <c r="M9" s="728">
        <v>1</v>
      </c>
      <c r="N9" s="729">
        <v>143</v>
      </c>
    </row>
    <row r="10" spans="1:14" ht="14.4" customHeight="1" x14ac:dyDescent="0.3">
      <c r="A10" s="724" t="s">
        <v>552</v>
      </c>
      <c r="B10" s="725" t="s">
        <v>1679</v>
      </c>
      <c r="C10" s="726" t="s">
        <v>558</v>
      </c>
      <c r="D10" s="727" t="s">
        <v>559</v>
      </c>
      <c r="E10" s="726" t="s">
        <v>575</v>
      </c>
      <c r="F10" s="727" t="s">
        <v>1681</v>
      </c>
      <c r="G10" s="726" t="s">
        <v>583</v>
      </c>
      <c r="H10" s="726" t="s">
        <v>592</v>
      </c>
      <c r="I10" s="726" t="s">
        <v>592</v>
      </c>
      <c r="J10" s="726" t="s">
        <v>585</v>
      </c>
      <c r="K10" s="726" t="s">
        <v>593</v>
      </c>
      <c r="L10" s="728">
        <v>93.5</v>
      </c>
      <c r="M10" s="728">
        <v>2</v>
      </c>
      <c r="N10" s="729">
        <v>187</v>
      </c>
    </row>
    <row r="11" spans="1:14" ht="14.4" customHeight="1" x14ac:dyDescent="0.3">
      <c r="A11" s="724" t="s">
        <v>552</v>
      </c>
      <c r="B11" s="725" t="s">
        <v>1679</v>
      </c>
      <c r="C11" s="726" t="s">
        <v>558</v>
      </c>
      <c r="D11" s="727" t="s">
        <v>559</v>
      </c>
      <c r="E11" s="726" t="s">
        <v>575</v>
      </c>
      <c r="F11" s="727" t="s">
        <v>1681</v>
      </c>
      <c r="G11" s="726" t="s">
        <v>583</v>
      </c>
      <c r="H11" s="726" t="s">
        <v>594</v>
      </c>
      <c r="I11" s="726" t="s">
        <v>595</v>
      </c>
      <c r="J11" s="726" t="s">
        <v>596</v>
      </c>
      <c r="K11" s="726" t="s">
        <v>597</v>
      </c>
      <c r="L11" s="728">
        <v>87.029999999999987</v>
      </c>
      <c r="M11" s="728">
        <v>1</v>
      </c>
      <c r="N11" s="729">
        <v>87.029999999999987</v>
      </c>
    </row>
    <row r="12" spans="1:14" ht="14.4" customHeight="1" x14ac:dyDescent="0.3">
      <c r="A12" s="724" t="s">
        <v>552</v>
      </c>
      <c r="B12" s="725" t="s">
        <v>1679</v>
      </c>
      <c r="C12" s="726" t="s">
        <v>558</v>
      </c>
      <c r="D12" s="727" t="s">
        <v>559</v>
      </c>
      <c r="E12" s="726" t="s">
        <v>575</v>
      </c>
      <c r="F12" s="727" t="s">
        <v>1681</v>
      </c>
      <c r="G12" s="726" t="s">
        <v>583</v>
      </c>
      <c r="H12" s="726" t="s">
        <v>598</v>
      </c>
      <c r="I12" s="726" t="s">
        <v>599</v>
      </c>
      <c r="J12" s="726" t="s">
        <v>600</v>
      </c>
      <c r="K12" s="726" t="s">
        <v>601</v>
      </c>
      <c r="L12" s="728">
        <v>96.820000000000022</v>
      </c>
      <c r="M12" s="728">
        <v>1</v>
      </c>
      <c r="N12" s="729">
        <v>96.820000000000022</v>
      </c>
    </row>
    <row r="13" spans="1:14" ht="14.4" customHeight="1" x14ac:dyDescent="0.3">
      <c r="A13" s="724" t="s">
        <v>552</v>
      </c>
      <c r="B13" s="725" t="s">
        <v>1679</v>
      </c>
      <c r="C13" s="726" t="s">
        <v>558</v>
      </c>
      <c r="D13" s="727" t="s">
        <v>559</v>
      </c>
      <c r="E13" s="726" t="s">
        <v>575</v>
      </c>
      <c r="F13" s="727" t="s">
        <v>1681</v>
      </c>
      <c r="G13" s="726" t="s">
        <v>583</v>
      </c>
      <c r="H13" s="726" t="s">
        <v>602</v>
      </c>
      <c r="I13" s="726" t="s">
        <v>603</v>
      </c>
      <c r="J13" s="726" t="s">
        <v>604</v>
      </c>
      <c r="K13" s="726" t="s">
        <v>605</v>
      </c>
      <c r="L13" s="728">
        <v>64.540000000000006</v>
      </c>
      <c r="M13" s="728">
        <v>3</v>
      </c>
      <c r="N13" s="729">
        <v>193.62</v>
      </c>
    </row>
    <row r="14" spans="1:14" ht="14.4" customHeight="1" x14ac:dyDescent="0.3">
      <c r="A14" s="724" t="s">
        <v>552</v>
      </c>
      <c r="B14" s="725" t="s">
        <v>1679</v>
      </c>
      <c r="C14" s="726" t="s">
        <v>558</v>
      </c>
      <c r="D14" s="727" t="s">
        <v>559</v>
      </c>
      <c r="E14" s="726" t="s">
        <v>575</v>
      </c>
      <c r="F14" s="727" t="s">
        <v>1681</v>
      </c>
      <c r="G14" s="726" t="s">
        <v>583</v>
      </c>
      <c r="H14" s="726" t="s">
        <v>606</v>
      </c>
      <c r="I14" s="726" t="s">
        <v>607</v>
      </c>
      <c r="J14" s="726" t="s">
        <v>608</v>
      </c>
      <c r="K14" s="726" t="s">
        <v>609</v>
      </c>
      <c r="L14" s="728">
        <v>73.657990214825901</v>
      </c>
      <c r="M14" s="728">
        <v>10</v>
      </c>
      <c r="N14" s="729">
        <v>736.57990214825895</v>
      </c>
    </row>
    <row r="15" spans="1:14" ht="14.4" customHeight="1" x14ac:dyDescent="0.3">
      <c r="A15" s="724" t="s">
        <v>552</v>
      </c>
      <c r="B15" s="725" t="s">
        <v>1679</v>
      </c>
      <c r="C15" s="726" t="s">
        <v>558</v>
      </c>
      <c r="D15" s="727" t="s">
        <v>559</v>
      </c>
      <c r="E15" s="726" t="s">
        <v>575</v>
      </c>
      <c r="F15" s="727" t="s">
        <v>1681</v>
      </c>
      <c r="G15" s="726" t="s">
        <v>583</v>
      </c>
      <c r="H15" s="726" t="s">
        <v>610</v>
      </c>
      <c r="I15" s="726" t="s">
        <v>611</v>
      </c>
      <c r="J15" s="726" t="s">
        <v>612</v>
      </c>
      <c r="K15" s="726" t="s">
        <v>613</v>
      </c>
      <c r="L15" s="728">
        <v>66.72</v>
      </c>
      <c r="M15" s="728">
        <v>3</v>
      </c>
      <c r="N15" s="729">
        <v>200.16</v>
      </c>
    </row>
    <row r="16" spans="1:14" ht="14.4" customHeight="1" x14ac:dyDescent="0.3">
      <c r="A16" s="724" t="s">
        <v>552</v>
      </c>
      <c r="B16" s="725" t="s">
        <v>1679</v>
      </c>
      <c r="C16" s="726" t="s">
        <v>558</v>
      </c>
      <c r="D16" s="727" t="s">
        <v>559</v>
      </c>
      <c r="E16" s="726" t="s">
        <v>575</v>
      </c>
      <c r="F16" s="727" t="s">
        <v>1681</v>
      </c>
      <c r="G16" s="726" t="s">
        <v>583</v>
      </c>
      <c r="H16" s="726" t="s">
        <v>614</v>
      </c>
      <c r="I16" s="726" t="s">
        <v>615</v>
      </c>
      <c r="J16" s="726" t="s">
        <v>616</v>
      </c>
      <c r="K16" s="726" t="s">
        <v>617</v>
      </c>
      <c r="L16" s="728">
        <v>40.202000000000005</v>
      </c>
      <c r="M16" s="728">
        <v>10</v>
      </c>
      <c r="N16" s="729">
        <v>402.02000000000004</v>
      </c>
    </row>
    <row r="17" spans="1:14" ht="14.4" customHeight="1" x14ac:dyDescent="0.3">
      <c r="A17" s="724" t="s">
        <v>552</v>
      </c>
      <c r="B17" s="725" t="s">
        <v>1679</v>
      </c>
      <c r="C17" s="726" t="s">
        <v>558</v>
      </c>
      <c r="D17" s="727" t="s">
        <v>559</v>
      </c>
      <c r="E17" s="726" t="s">
        <v>575</v>
      </c>
      <c r="F17" s="727" t="s">
        <v>1681</v>
      </c>
      <c r="G17" s="726" t="s">
        <v>583</v>
      </c>
      <c r="H17" s="726" t="s">
        <v>618</v>
      </c>
      <c r="I17" s="726" t="s">
        <v>619</v>
      </c>
      <c r="J17" s="726" t="s">
        <v>616</v>
      </c>
      <c r="K17" s="726" t="s">
        <v>620</v>
      </c>
      <c r="L17" s="728">
        <v>77.627468659510768</v>
      </c>
      <c r="M17" s="728">
        <v>17</v>
      </c>
      <c r="N17" s="729">
        <v>1319.666967211683</v>
      </c>
    </row>
    <row r="18" spans="1:14" ht="14.4" customHeight="1" x14ac:dyDescent="0.3">
      <c r="A18" s="724" t="s">
        <v>552</v>
      </c>
      <c r="B18" s="725" t="s">
        <v>1679</v>
      </c>
      <c r="C18" s="726" t="s">
        <v>558</v>
      </c>
      <c r="D18" s="727" t="s">
        <v>559</v>
      </c>
      <c r="E18" s="726" t="s">
        <v>575</v>
      </c>
      <c r="F18" s="727" t="s">
        <v>1681</v>
      </c>
      <c r="G18" s="726" t="s">
        <v>583</v>
      </c>
      <c r="H18" s="726" t="s">
        <v>621</v>
      </c>
      <c r="I18" s="726" t="s">
        <v>622</v>
      </c>
      <c r="J18" s="726" t="s">
        <v>623</v>
      </c>
      <c r="K18" s="726" t="s">
        <v>624</v>
      </c>
      <c r="L18" s="728">
        <v>115.94000000000001</v>
      </c>
      <c r="M18" s="728">
        <v>1</v>
      </c>
      <c r="N18" s="729">
        <v>115.94000000000001</v>
      </c>
    </row>
    <row r="19" spans="1:14" ht="14.4" customHeight="1" x14ac:dyDescent="0.3">
      <c r="A19" s="724" t="s">
        <v>552</v>
      </c>
      <c r="B19" s="725" t="s">
        <v>1679</v>
      </c>
      <c r="C19" s="726" t="s">
        <v>558</v>
      </c>
      <c r="D19" s="727" t="s">
        <v>559</v>
      </c>
      <c r="E19" s="726" t="s">
        <v>575</v>
      </c>
      <c r="F19" s="727" t="s">
        <v>1681</v>
      </c>
      <c r="G19" s="726" t="s">
        <v>583</v>
      </c>
      <c r="H19" s="726" t="s">
        <v>625</v>
      </c>
      <c r="I19" s="726" t="s">
        <v>625</v>
      </c>
      <c r="J19" s="726" t="s">
        <v>626</v>
      </c>
      <c r="K19" s="726" t="s">
        <v>627</v>
      </c>
      <c r="L19" s="728">
        <v>36.53</v>
      </c>
      <c r="M19" s="728">
        <v>25</v>
      </c>
      <c r="N19" s="729">
        <v>913.25</v>
      </c>
    </row>
    <row r="20" spans="1:14" ht="14.4" customHeight="1" x14ac:dyDescent="0.3">
      <c r="A20" s="724" t="s">
        <v>552</v>
      </c>
      <c r="B20" s="725" t="s">
        <v>1679</v>
      </c>
      <c r="C20" s="726" t="s">
        <v>558</v>
      </c>
      <c r="D20" s="727" t="s">
        <v>559</v>
      </c>
      <c r="E20" s="726" t="s">
        <v>575</v>
      </c>
      <c r="F20" s="727" t="s">
        <v>1681</v>
      </c>
      <c r="G20" s="726" t="s">
        <v>583</v>
      </c>
      <c r="H20" s="726" t="s">
        <v>628</v>
      </c>
      <c r="I20" s="726" t="s">
        <v>629</v>
      </c>
      <c r="J20" s="726" t="s">
        <v>630</v>
      </c>
      <c r="K20" s="726" t="s">
        <v>631</v>
      </c>
      <c r="L20" s="728">
        <v>20.129999999999995</v>
      </c>
      <c r="M20" s="728">
        <v>2</v>
      </c>
      <c r="N20" s="729">
        <v>40.259999999999991</v>
      </c>
    </row>
    <row r="21" spans="1:14" ht="14.4" customHeight="1" x14ac:dyDescent="0.3">
      <c r="A21" s="724" t="s">
        <v>552</v>
      </c>
      <c r="B21" s="725" t="s">
        <v>1679</v>
      </c>
      <c r="C21" s="726" t="s">
        <v>558</v>
      </c>
      <c r="D21" s="727" t="s">
        <v>559</v>
      </c>
      <c r="E21" s="726" t="s">
        <v>575</v>
      </c>
      <c r="F21" s="727" t="s">
        <v>1681</v>
      </c>
      <c r="G21" s="726" t="s">
        <v>583</v>
      </c>
      <c r="H21" s="726" t="s">
        <v>632</v>
      </c>
      <c r="I21" s="726" t="s">
        <v>633</v>
      </c>
      <c r="J21" s="726" t="s">
        <v>634</v>
      </c>
      <c r="K21" s="726" t="s">
        <v>635</v>
      </c>
      <c r="L21" s="728">
        <v>216.68000000000009</v>
      </c>
      <c r="M21" s="728">
        <v>3</v>
      </c>
      <c r="N21" s="729">
        <v>650.0400000000003</v>
      </c>
    </row>
    <row r="22" spans="1:14" ht="14.4" customHeight="1" x14ac:dyDescent="0.3">
      <c r="A22" s="724" t="s">
        <v>552</v>
      </c>
      <c r="B22" s="725" t="s">
        <v>1679</v>
      </c>
      <c r="C22" s="726" t="s">
        <v>558</v>
      </c>
      <c r="D22" s="727" t="s">
        <v>559</v>
      </c>
      <c r="E22" s="726" t="s">
        <v>575</v>
      </c>
      <c r="F22" s="727" t="s">
        <v>1681</v>
      </c>
      <c r="G22" s="726" t="s">
        <v>583</v>
      </c>
      <c r="H22" s="726" t="s">
        <v>636</v>
      </c>
      <c r="I22" s="726" t="s">
        <v>637</v>
      </c>
      <c r="J22" s="726" t="s">
        <v>638</v>
      </c>
      <c r="K22" s="726" t="s">
        <v>639</v>
      </c>
      <c r="L22" s="728">
        <v>54.98</v>
      </c>
      <c r="M22" s="728">
        <v>1</v>
      </c>
      <c r="N22" s="729">
        <v>54.98</v>
      </c>
    </row>
    <row r="23" spans="1:14" ht="14.4" customHeight="1" x14ac:dyDescent="0.3">
      <c r="A23" s="724" t="s">
        <v>552</v>
      </c>
      <c r="B23" s="725" t="s">
        <v>1679</v>
      </c>
      <c r="C23" s="726" t="s">
        <v>558</v>
      </c>
      <c r="D23" s="727" t="s">
        <v>559</v>
      </c>
      <c r="E23" s="726" t="s">
        <v>575</v>
      </c>
      <c r="F23" s="727" t="s">
        <v>1681</v>
      </c>
      <c r="G23" s="726" t="s">
        <v>583</v>
      </c>
      <c r="H23" s="726" t="s">
        <v>640</v>
      </c>
      <c r="I23" s="726" t="s">
        <v>641</v>
      </c>
      <c r="J23" s="726" t="s">
        <v>642</v>
      </c>
      <c r="K23" s="726" t="s">
        <v>643</v>
      </c>
      <c r="L23" s="728">
        <v>73.659939613256981</v>
      </c>
      <c r="M23" s="728">
        <v>2</v>
      </c>
      <c r="N23" s="729">
        <v>147.31987922651396</v>
      </c>
    </row>
    <row r="24" spans="1:14" ht="14.4" customHeight="1" x14ac:dyDescent="0.3">
      <c r="A24" s="724" t="s">
        <v>552</v>
      </c>
      <c r="B24" s="725" t="s">
        <v>1679</v>
      </c>
      <c r="C24" s="726" t="s">
        <v>558</v>
      </c>
      <c r="D24" s="727" t="s">
        <v>559</v>
      </c>
      <c r="E24" s="726" t="s">
        <v>575</v>
      </c>
      <c r="F24" s="727" t="s">
        <v>1681</v>
      </c>
      <c r="G24" s="726" t="s">
        <v>583</v>
      </c>
      <c r="H24" s="726" t="s">
        <v>644</v>
      </c>
      <c r="I24" s="726" t="s">
        <v>645</v>
      </c>
      <c r="J24" s="726" t="s">
        <v>646</v>
      </c>
      <c r="K24" s="726" t="s">
        <v>647</v>
      </c>
      <c r="L24" s="728">
        <v>82.569999999999979</v>
      </c>
      <c r="M24" s="728">
        <v>2</v>
      </c>
      <c r="N24" s="729">
        <v>165.13999999999996</v>
      </c>
    </row>
    <row r="25" spans="1:14" ht="14.4" customHeight="1" x14ac:dyDescent="0.3">
      <c r="A25" s="724" t="s">
        <v>552</v>
      </c>
      <c r="B25" s="725" t="s">
        <v>1679</v>
      </c>
      <c r="C25" s="726" t="s">
        <v>558</v>
      </c>
      <c r="D25" s="727" t="s">
        <v>559</v>
      </c>
      <c r="E25" s="726" t="s">
        <v>575</v>
      </c>
      <c r="F25" s="727" t="s">
        <v>1681</v>
      </c>
      <c r="G25" s="726" t="s">
        <v>583</v>
      </c>
      <c r="H25" s="726" t="s">
        <v>648</v>
      </c>
      <c r="I25" s="726" t="s">
        <v>649</v>
      </c>
      <c r="J25" s="726" t="s">
        <v>650</v>
      </c>
      <c r="K25" s="726" t="s">
        <v>651</v>
      </c>
      <c r="L25" s="728">
        <v>60.139859989467332</v>
      </c>
      <c r="M25" s="728">
        <v>5</v>
      </c>
      <c r="N25" s="729">
        <v>300.69929994733667</v>
      </c>
    </row>
    <row r="26" spans="1:14" ht="14.4" customHeight="1" x14ac:dyDescent="0.3">
      <c r="A26" s="724" t="s">
        <v>552</v>
      </c>
      <c r="B26" s="725" t="s">
        <v>1679</v>
      </c>
      <c r="C26" s="726" t="s">
        <v>558</v>
      </c>
      <c r="D26" s="727" t="s">
        <v>559</v>
      </c>
      <c r="E26" s="726" t="s">
        <v>575</v>
      </c>
      <c r="F26" s="727" t="s">
        <v>1681</v>
      </c>
      <c r="G26" s="726" t="s">
        <v>583</v>
      </c>
      <c r="H26" s="726" t="s">
        <v>652</v>
      </c>
      <c r="I26" s="726" t="s">
        <v>653</v>
      </c>
      <c r="J26" s="726" t="s">
        <v>654</v>
      </c>
      <c r="K26" s="726" t="s">
        <v>655</v>
      </c>
      <c r="L26" s="728">
        <v>47.649999999999991</v>
      </c>
      <c r="M26" s="728">
        <v>1</v>
      </c>
      <c r="N26" s="729">
        <v>47.649999999999991</v>
      </c>
    </row>
    <row r="27" spans="1:14" ht="14.4" customHeight="1" x14ac:dyDescent="0.3">
      <c r="A27" s="724" t="s">
        <v>552</v>
      </c>
      <c r="B27" s="725" t="s">
        <v>1679</v>
      </c>
      <c r="C27" s="726" t="s">
        <v>558</v>
      </c>
      <c r="D27" s="727" t="s">
        <v>559</v>
      </c>
      <c r="E27" s="726" t="s">
        <v>575</v>
      </c>
      <c r="F27" s="727" t="s">
        <v>1681</v>
      </c>
      <c r="G27" s="726" t="s">
        <v>583</v>
      </c>
      <c r="H27" s="726" t="s">
        <v>656</v>
      </c>
      <c r="I27" s="726" t="s">
        <v>657</v>
      </c>
      <c r="J27" s="726" t="s">
        <v>658</v>
      </c>
      <c r="K27" s="726" t="s">
        <v>659</v>
      </c>
      <c r="L27" s="728">
        <v>32.760000000000012</v>
      </c>
      <c r="M27" s="728">
        <v>3</v>
      </c>
      <c r="N27" s="729">
        <v>98.28000000000003</v>
      </c>
    </row>
    <row r="28" spans="1:14" ht="14.4" customHeight="1" x14ac:dyDescent="0.3">
      <c r="A28" s="724" t="s">
        <v>552</v>
      </c>
      <c r="B28" s="725" t="s">
        <v>1679</v>
      </c>
      <c r="C28" s="726" t="s">
        <v>558</v>
      </c>
      <c r="D28" s="727" t="s">
        <v>559</v>
      </c>
      <c r="E28" s="726" t="s">
        <v>575</v>
      </c>
      <c r="F28" s="727" t="s">
        <v>1681</v>
      </c>
      <c r="G28" s="726" t="s">
        <v>583</v>
      </c>
      <c r="H28" s="726" t="s">
        <v>660</v>
      </c>
      <c r="I28" s="726" t="s">
        <v>661</v>
      </c>
      <c r="J28" s="726" t="s">
        <v>662</v>
      </c>
      <c r="K28" s="726" t="s">
        <v>663</v>
      </c>
      <c r="L28" s="728">
        <v>67.38977757645759</v>
      </c>
      <c r="M28" s="728">
        <v>5</v>
      </c>
      <c r="N28" s="729">
        <v>336.94888788228798</v>
      </c>
    </row>
    <row r="29" spans="1:14" ht="14.4" customHeight="1" x14ac:dyDescent="0.3">
      <c r="A29" s="724" t="s">
        <v>552</v>
      </c>
      <c r="B29" s="725" t="s">
        <v>1679</v>
      </c>
      <c r="C29" s="726" t="s">
        <v>558</v>
      </c>
      <c r="D29" s="727" t="s">
        <v>559</v>
      </c>
      <c r="E29" s="726" t="s">
        <v>575</v>
      </c>
      <c r="F29" s="727" t="s">
        <v>1681</v>
      </c>
      <c r="G29" s="726" t="s">
        <v>583</v>
      </c>
      <c r="H29" s="726" t="s">
        <v>664</v>
      </c>
      <c r="I29" s="726" t="s">
        <v>665</v>
      </c>
      <c r="J29" s="726" t="s">
        <v>666</v>
      </c>
      <c r="K29" s="726" t="s">
        <v>667</v>
      </c>
      <c r="L29" s="728">
        <v>45.849999999999994</v>
      </c>
      <c r="M29" s="728">
        <v>3</v>
      </c>
      <c r="N29" s="729">
        <v>137.54999999999998</v>
      </c>
    </row>
    <row r="30" spans="1:14" ht="14.4" customHeight="1" x14ac:dyDescent="0.3">
      <c r="A30" s="724" t="s">
        <v>552</v>
      </c>
      <c r="B30" s="725" t="s">
        <v>1679</v>
      </c>
      <c r="C30" s="726" t="s">
        <v>558</v>
      </c>
      <c r="D30" s="727" t="s">
        <v>559</v>
      </c>
      <c r="E30" s="726" t="s">
        <v>575</v>
      </c>
      <c r="F30" s="727" t="s">
        <v>1681</v>
      </c>
      <c r="G30" s="726" t="s">
        <v>583</v>
      </c>
      <c r="H30" s="726" t="s">
        <v>668</v>
      </c>
      <c r="I30" s="726" t="s">
        <v>669</v>
      </c>
      <c r="J30" s="726" t="s">
        <v>670</v>
      </c>
      <c r="K30" s="726" t="s">
        <v>671</v>
      </c>
      <c r="L30" s="728">
        <v>18.670000000000002</v>
      </c>
      <c r="M30" s="728">
        <v>8</v>
      </c>
      <c r="N30" s="729">
        <v>149.36000000000001</v>
      </c>
    </row>
    <row r="31" spans="1:14" ht="14.4" customHeight="1" x14ac:dyDescent="0.3">
      <c r="A31" s="724" t="s">
        <v>552</v>
      </c>
      <c r="B31" s="725" t="s">
        <v>1679</v>
      </c>
      <c r="C31" s="726" t="s">
        <v>558</v>
      </c>
      <c r="D31" s="727" t="s">
        <v>559</v>
      </c>
      <c r="E31" s="726" t="s">
        <v>575</v>
      </c>
      <c r="F31" s="727" t="s">
        <v>1681</v>
      </c>
      <c r="G31" s="726" t="s">
        <v>583</v>
      </c>
      <c r="H31" s="726" t="s">
        <v>672</v>
      </c>
      <c r="I31" s="726" t="s">
        <v>673</v>
      </c>
      <c r="J31" s="726" t="s">
        <v>670</v>
      </c>
      <c r="K31" s="726" t="s">
        <v>674</v>
      </c>
      <c r="L31" s="728">
        <v>28.409999999999997</v>
      </c>
      <c r="M31" s="728">
        <v>8</v>
      </c>
      <c r="N31" s="729">
        <v>227.27999999999997</v>
      </c>
    </row>
    <row r="32" spans="1:14" ht="14.4" customHeight="1" x14ac:dyDescent="0.3">
      <c r="A32" s="724" t="s">
        <v>552</v>
      </c>
      <c r="B32" s="725" t="s">
        <v>1679</v>
      </c>
      <c r="C32" s="726" t="s">
        <v>558</v>
      </c>
      <c r="D32" s="727" t="s">
        <v>559</v>
      </c>
      <c r="E32" s="726" t="s">
        <v>575</v>
      </c>
      <c r="F32" s="727" t="s">
        <v>1681</v>
      </c>
      <c r="G32" s="726" t="s">
        <v>583</v>
      </c>
      <c r="H32" s="726" t="s">
        <v>675</v>
      </c>
      <c r="I32" s="726" t="s">
        <v>676</v>
      </c>
      <c r="J32" s="726" t="s">
        <v>677</v>
      </c>
      <c r="K32" s="726" t="s">
        <v>678</v>
      </c>
      <c r="L32" s="728">
        <v>60.279901164461869</v>
      </c>
      <c r="M32" s="728">
        <v>1</v>
      </c>
      <c r="N32" s="729">
        <v>60.279901164461869</v>
      </c>
    </row>
    <row r="33" spans="1:14" ht="14.4" customHeight="1" x14ac:dyDescent="0.3">
      <c r="A33" s="724" t="s">
        <v>552</v>
      </c>
      <c r="B33" s="725" t="s">
        <v>1679</v>
      </c>
      <c r="C33" s="726" t="s">
        <v>558</v>
      </c>
      <c r="D33" s="727" t="s">
        <v>559</v>
      </c>
      <c r="E33" s="726" t="s">
        <v>575</v>
      </c>
      <c r="F33" s="727" t="s">
        <v>1681</v>
      </c>
      <c r="G33" s="726" t="s">
        <v>583</v>
      </c>
      <c r="H33" s="726" t="s">
        <v>679</v>
      </c>
      <c r="I33" s="726" t="s">
        <v>680</v>
      </c>
      <c r="J33" s="726" t="s">
        <v>681</v>
      </c>
      <c r="K33" s="726" t="s">
        <v>682</v>
      </c>
      <c r="L33" s="728">
        <v>111.72</v>
      </c>
      <c r="M33" s="728">
        <v>1</v>
      </c>
      <c r="N33" s="729">
        <v>111.72</v>
      </c>
    </row>
    <row r="34" spans="1:14" ht="14.4" customHeight="1" x14ac:dyDescent="0.3">
      <c r="A34" s="724" t="s">
        <v>552</v>
      </c>
      <c r="B34" s="725" t="s">
        <v>1679</v>
      </c>
      <c r="C34" s="726" t="s">
        <v>558</v>
      </c>
      <c r="D34" s="727" t="s">
        <v>559</v>
      </c>
      <c r="E34" s="726" t="s">
        <v>575</v>
      </c>
      <c r="F34" s="727" t="s">
        <v>1681</v>
      </c>
      <c r="G34" s="726" t="s">
        <v>583</v>
      </c>
      <c r="H34" s="726" t="s">
        <v>683</v>
      </c>
      <c r="I34" s="726" t="s">
        <v>684</v>
      </c>
      <c r="J34" s="726" t="s">
        <v>685</v>
      </c>
      <c r="K34" s="726" t="s">
        <v>686</v>
      </c>
      <c r="L34" s="728">
        <v>241.99999990703606</v>
      </c>
      <c r="M34" s="728">
        <v>13</v>
      </c>
      <c r="N34" s="729">
        <v>3145.9999987914689</v>
      </c>
    </row>
    <row r="35" spans="1:14" ht="14.4" customHeight="1" x14ac:dyDescent="0.3">
      <c r="A35" s="724" t="s">
        <v>552</v>
      </c>
      <c r="B35" s="725" t="s">
        <v>1679</v>
      </c>
      <c r="C35" s="726" t="s">
        <v>558</v>
      </c>
      <c r="D35" s="727" t="s">
        <v>559</v>
      </c>
      <c r="E35" s="726" t="s">
        <v>575</v>
      </c>
      <c r="F35" s="727" t="s">
        <v>1681</v>
      </c>
      <c r="G35" s="726" t="s">
        <v>583</v>
      </c>
      <c r="H35" s="726" t="s">
        <v>687</v>
      </c>
      <c r="I35" s="726" t="s">
        <v>688</v>
      </c>
      <c r="J35" s="726" t="s">
        <v>689</v>
      </c>
      <c r="K35" s="726" t="s">
        <v>690</v>
      </c>
      <c r="L35" s="728">
        <v>138.83999999999997</v>
      </c>
      <c r="M35" s="728">
        <v>2</v>
      </c>
      <c r="N35" s="729">
        <v>277.67999999999995</v>
      </c>
    </row>
    <row r="36" spans="1:14" ht="14.4" customHeight="1" x14ac:dyDescent="0.3">
      <c r="A36" s="724" t="s">
        <v>552</v>
      </c>
      <c r="B36" s="725" t="s">
        <v>1679</v>
      </c>
      <c r="C36" s="726" t="s">
        <v>558</v>
      </c>
      <c r="D36" s="727" t="s">
        <v>559</v>
      </c>
      <c r="E36" s="726" t="s">
        <v>575</v>
      </c>
      <c r="F36" s="727" t="s">
        <v>1681</v>
      </c>
      <c r="G36" s="726" t="s">
        <v>583</v>
      </c>
      <c r="H36" s="726" t="s">
        <v>691</v>
      </c>
      <c r="I36" s="726" t="s">
        <v>692</v>
      </c>
      <c r="J36" s="726" t="s">
        <v>693</v>
      </c>
      <c r="K36" s="726" t="s">
        <v>694</v>
      </c>
      <c r="L36" s="728">
        <v>74.870000000000019</v>
      </c>
      <c r="M36" s="728">
        <v>1</v>
      </c>
      <c r="N36" s="729">
        <v>74.870000000000019</v>
      </c>
    </row>
    <row r="37" spans="1:14" ht="14.4" customHeight="1" x14ac:dyDescent="0.3">
      <c r="A37" s="724" t="s">
        <v>552</v>
      </c>
      <c r="B37" s="725" t="s">
        <v>1679</v>
      </c>
      <c r="C37" s="726" t="s">
        <v>558</v>
      </c>
      <c r="D37" s="727" t="s">
        <v>559</v>
      </c>
      <c r="E37" s="726" t="s">
        <v>575</v>
      </c>
      <c r="F37" s="727" t="s">
        <v>1681</v>
      </c>
      <c r="G37" s="726" t="s">
        <v>583</v>
      </c>
      <c r="H37" s="726" t="s">
        <v>695</v>
      </c>
      <c r="I37" s="726" t="s">
        <v>696</v>
      </c>
      <c r="J37" s="726" t="s">
        <v>697</v>
      </c>
      <c r="K37" s="726" t="s">
        <v>698</v>
      </c>
      <c r="L37" s="728">
        <v>290.50000000000006</v>
      </c>
      <c r="M37" s="728">
        <v>4</v>
      </c>
      <c r="N37" s="729">
        <v>1162.0000000000002</v>
      </c>
    </row>
    <row r="38" spans="1:14" ht="14.4" customHeight="1" x14ac:dyDescent="0.3">
      <c r="A38" s="724" t="s">
        <v>552</v>
      </c>
      <c r="B38" s="725" t="s">
        <v>1679</v>
      </c>
      <c r="C38" s="726" t="s">
        <v>558</v>
      </c>
      <c r="D38" s="727" t="s">
        <v>559</v>
      </c>
      <c r="E38" s="726" t="s">
        <v>575</v>
      </c>
      <c r="F38" s="727" t="s">
        <v>1681</v>
      </c>
      <c r="G38" s="726" t="s">
        <v>583</v>
      </c>
      <c r="H38" s="726" t="s">
        <v>699</v>
      </c>
      <c r="I38" s="726" t="s">
        <v>700</v>
      </c>
      <c r="J38" s="726" t="s">
        <v>701</v>
      </c>
      <c r="K38" s="726" t="s">
        <v>702</v>
      </c>
      <c r="L38" s="728">
        <v>46.943999999999996</v>
      </c>
      <c r="M38" s="728">
        <v>5</v>
      </c>
      <c r="N38" s="729">
        <v>234.71999999999997</v>
      </c>
    </row>
    <row r="39" spans="1:14" ht="14.4" customHeight="1" x14ac:dyDescent="0.3">
      <c r="A39" s="724" t="s">
        <v>552</v>
      </c>
      <c r="B39" s="725" t="s">
        <v>1679</v>
      </c>
      <c r="C39" s="726" t="s">
        <v>558</v>
      </c>
      <c r="D39" s="727" t="s">
        <v>559</v>
      </c>
      <c r="E39" s="726" t="s">
        <v>575</v>
      </c>
      <c r="F39" s="727" t="s">
        <v>1681</v>
      </c>
      <c r="G39" s="726" t="s">
        <v>583</v>
      </c>
      <c r="H39" s="726" t="s">
        <v>703</v>
      </c>
      <c r="I39" s="726" t="s">
        <v>704</v>
      </c>
      <c r="J39" s="726" t="s">
        <v>705</v>
      </c>
      <c r="K39" s="726" t="s">
        <v>620</v>
      </c>
      <c r="L39" s="728">
        <v>105.49000000000001</v>
      </c>
      <c r="M39" s="728">
        <v>2</v>
      </c>
      <c r="N39" s="729">
        <v>210.98000000000002</v>
      </c>
    </row>
    <row r="40" spans="1:14" ht="14.4" customHeight="1" x14ac:dyDescent="0.3">
      <c r="A40" s="724" t="s">
        <v>552</v>
      </c>
      <c r="B40" s="725" t="s">
        <v>1679</v>
      </c>
      <c r="C40" s="726" t="s">
        <v>558</v>
      </c>
      <c r="D40" s="727" t="s">
        <v>559</v>
      </c>
      <c r="E40" s="726" t="s">
        <v>575</v>
      </c>
      <c r="F40" s="727" t="s">
        <v>1681</v>
      </c>
      <c r="G40" s="726" t="s">
        <v>583</v>
      </c>
      <c r="H40" s="726" t="s">
        <v>706</v>
      </c>
      <c r="I40" s="726" t="s">
        <v>707</v>
      </c>
      <c r="J40" s="726" t="s">
        <v>708</v>
      </c>
      <c r="K40" s="726" t="s">
        <v>709</v>
      </c>
      <c r="L40" s="728">
        <v>111.52</v>
      </c>
      <c r="M40" s="728">
        <v>60</v>
      </c>
      <c r="N40" s="729">
        <v>6691.2</v>
      </c>
    </row>
    <row r="41" spans="1:14" ht="14.4" customHeight="1" x14ac:dyDescent="0.3">
      <c r="A41" s="724" t="s">
        <v>552</v>
      </c>
      <c r="B41" s="725" t="s">
        <v>1679</v>
      </c>
      <c r="C41" s="726" t="s">
        <v>558</v>
      </c>
      <c r="D41" s="727" t="s">
        <v>559</v>
      </c>
      <c r="E41" s="726" t="s">
        <v>575</v>
      </c>
      <c r="F41" s="727" t="s">
        <v>1681</v>
      </c>
      <c r="G41" s="726" t="s">
        <v>583</v>
      </c>
      <c r="H41" s="726" t="s">
        <v>710</v>
      </c>
      <c r="I41" s="726" t="s">
        <v>711</v>
      </c>
      <c r="J41" s="726" t="s">
        <v>712</v>
      </c>
      <c r="K41" s="726" t="s">
        <v>713</v>
      </c>
      <c r="L41" s="728">
        <v>37.659999999999997</v>
      </c>
      <c r="M41" s="728">
        <v>40</v>
      </c>
      <c r="N41" s="729">
        <v>1506.3999999999999</v>
      </c>
    </row>
    <row r="42" spans="1:14" ht="14.4" customHeight="1" x14ac:dyDescent="0.3">
      <c r="A42" s="724" t="s">
        <v>552</v>
      </c>
      <c r="B42" s="725" t="s">
        <v>1679</v>
      </c>
      <c r="C42" s="726" t="s">
        <v>558</v>
      </c>
      <c r="D42" s="727" t="s">
        <v>559</v>
      </c>
      <c r="E42" s="726" t="s">
        <v>575</v>
      </c>
      <c r="F42" s="727" t="s">
        <v>1681</v>
      </c>
      <c r="G42" s="726" t="s">
        <v>583</v>
      </c>
      <c r="H42" s="726" t="s">
        <v>714</v>
      </c>
      <c r="I42" s="726" t="s">
        <v>715</v>
      </c>
      <c r="J42" s="726" t="s">
        <v>716</v>
      </c>
      <c r="K42" s="726"/>
      <c r="L42" s="728">
        <v>316.90011813931852</v>
      </c>
      <c r="M42" s="728">
        <v>1</v>
      </c>
      <c r="N42" s="729">
        <v>316.90011813931852</v>
      </c>
    </row>
    <row r="43" spans="1:14" ht="14.4" customHeight="1" x14ac:dyDescent="0.3">
      <c r="A43" s="724" t="s">
        <v>552</v>
      </c>
      <c r="B43" s="725" t="s">
        <v>1679</v>
      </c>
      <c r="C43" s="726" t="s">
        <v>558</v>
      </c>
      <c r="D43" s="727" t="s">
        <v>559</v>
      </c>
      <c r="E43" s="726" t="s">
        <v>575</v>
      </c>
      <c r="F43" s="727" t="s">
        <v>1681</v>
      </c>
      <c r="G43" s="726" t="s">
        <v>583</v>
      </c>
      <c r="H43" s="726" t="s">
        <v>717</v>
      </c>
      <c r="I43" s="726" t="s">
        <v>715</v>
      </c>
      <c r="J43" s="726" t="s">
        <v>718</v>
      </c>
      <c r="K43" s="726"/>
      <c r="L43" s="728">
        <v>299.02294108262618</v>
      </c>
      <c r="M43" s="728">
        <v>2</v>
      </c>
      <c r="N43" s="729">
        <v>598.04588216525235</v>
      </c>
    </row>
    <row r="44" spans="1:14" ht="14.4" customHeight="1" x14ac:dyDescent="0.3">
      <c r="A44" s="724" t="s">
        <v>552</v>
      </c>
      <c r="B44" s="725" t="s">
        <v>1679</v>
      </c>
      <c r="C44" s="726" t="s">
        <v>558</v>
      </c>
      <c r="D44" s="727" t="s">
        <v>559</v>
      </c>
      <c r="E44" s="726" t="s">
        <v>575</v>
      </c>
      <c r="F44" s="727" t="s">
        <v>1681</v>
      </c>
      <c r="G44" s="726" t="s">
        <v>583</v>
      </c>
      <c r="H44" s="726" t="s">
        <v>719</v>
      </c>
      <c r="I44" s="726" t="s">
        <v>720</v>
      </c>
      <c r="J44" s="726" t="s">
        <v>721</v>
      </c>
      <c r="K44" s="726" t="s">
        <v>722</v>
      </c>
      <c r="L44" s="728">
        <v>35.590000000000011</v>
      </c>
      <c r="M44" s="728">
        <v>2</v>
      </c>
      <c r="N44" s="729">
        <v>71.180000000000021</v>
      </c>
    </row>
    <row r="45" spans="1:14" ht="14.4" customHeight="1" x14ac:dyDescent="0.3">
      <c r="A45" s="724" t="s">
        <v>552</v>
      </c>
      <c r="B45" s="725" t="s">
        <v>1679</v>
      </c>
      <c r="C45" s="726" t="s">
        <v>558</v>
      </c>
      <c r="D45" s="727" t="s">
        <v>559</v>
      </c>
      <c r="E45" s="726" t="s">
        <v>575</v>
      </c>
      <c r="F45" s="727" t="s">
        <v>1681</v>
      </c>
      <c r="G45" s="726" t="s">
        <v>583</v>
      </c>
      <c r="H45" s="726" t="s">
        <v>723</v>
      </c>
      <c r="I45" s="726" t="s">
        <v>715</v>
      </c>
      <c r="J45" s="726" t="s">
        <v>724</v>
      </c>
      <c r="K45" s="726"/>
      <c r="L45" s="728">
        <v>138.92280966328755</v>
      </c>
      <c r="M45" s="728">
        <v>2</v>
      </c>
      <c r="N45" s="729">
        <v>277.8456193265751</v>
      </c>
    </row>
    <row r="46" spans="1:14" ht="14.4" customHeight="1" x14ac:dyDescent="0.3">
      <c r="A46" s="724" t="s">
        <v>552</v>
      </c>
      <c r="B46" s="725" t="s">
        <v>1679</v>
      </c>
      <c r="C46" s="726" t="s">
        <v>558</v>
      </c>
      <c r="D46" s="727" t="s">
        <v>559</v>
      </c>
      <c r="E46" s="726" t="s">
        <v>575</v>
      </c>
      <c r="F46" s="727" t="s">
        <v>1681</v>
      </c>
      <c r="G46" s="726" t="s">
        <v>583</v>
      </c>
      <c r="H46" s="726" t="s">
        <v>725</v>
      </c>
      <c r="I46" s="726" t="s">
        <v>726</v>
      </c>
      <c r="J46" s="726" t="s">
        <v>727</v>
      </c>
      <c r="K46" s="726" t="s">
        <v>728</v>
      </c>
      <c r="L46" s="728">
        <v>1326.49</v>
      </c>
      <c r="M46" s="728">
        <v>2</v>
      </c>
      <c r="N46" s="729">
        <v>2652.98</v>
      </c>
    </row>
    <row r="47" spans="1:14" ht="14.4" customHeight="1" x14ac:dyDescent="0.3">
      <c r="A47" s="724" t="s">
        <v>552</v>
      </c>
      <c r="B47" s="725" t="s">
        <v>1679</v>
      </c>
      <c r="C47" s="726" t="s">
        <v>558</v>
      </c>
      <c r="D47" s="727" t="s">
        <v>559</v>
      </c>
      <c r="E47" s="726" t="s">
        <v>575</v>
      </c>
      <c r="F47" s="727" t="s">
        <v>1681</v>
      </c>
      <c r="G47" s="726" t="s">
        <v>583</v>
      </c>
      <c r="H47" s="726" t="s">
        <v>729</v>
      </c>
      <c r="I47" s="726" t="s">
        <v>730</v>
      </c>
      <c r="J47" s="726" t="s">
        <v>731</v>
      </c>
      <c r="K47" s="726" t="s">
        <v>732</v>
      </c>
      <c r="L47" s="728">
        <v>83.129999999999981</v>
      </c>
      <c r="M47" s="728">
        <v>1</v>
      </c>
      <c r="N47" s="729">
        <v>83.129999999999981</v>
      </c>
    </row>
    <row r="48" spans="1:14" ht="14.4" customHeight="1" x14ac:dyDescent="0.3">
      <c r="A48" s="724" t="s">
        <v>552</v>
      </c>
      <c r="B48" s="725" t="s">
        <v>1679</v>
      </c>
      <c r="C48" s="726" t="s">
        <v>558</v>
      </c>
      <c r="D48" s="727" t="s">
        <v>559</v>
      </c>
      <c r="E48" s="726" t="s">
        <v>575</v>
      </c>
      <c r="F48" s="727" t="s">
        <v>1681</v>
      </c>
      <c r="G48" s="726" t="s">
        <v>583</v>
      </c>
      <c r="H48" s="726" t="s">
        <v>733</v>
      </c>
      <c r="I48" s="726" t="s">
        <v>734</v>
      </c>
      <c r="J48" s="726" t="s">
        <v>735</v>
      </c>
      <c r="K48" s="726" t="s">
        <v>736</v>
      </c>
      <c r="L48" s="728">
        <v>168.65999999999997</v>
      </c>
      <c r="M48" s="728">
        <v>1</v>
      </c>
      <c r="N48" s="729">
        <v>168.65999999999997</v>
      </c>
    </row>
    <row r="49" spans="1:14" ht="14.4" customHeight="1" x14ac:dyDescent="0.3">
      <c r="A49" s="724" t="s">
        <v>552</v>
      </c>
      <c r="B49" s="725" t="s">
        <v>1679</v>
      </c>
      <c r="C49" s="726" t="s">
        <v>558</v>
      </c>
      <c r="D49" s="727" t="s">
        <v>559</v>
      </c>
      <c r="E49" s="726" t="s">
        <v>575</v>
      </c>
      <c r="F49" s="727" t="s">
        <v>1681</v>
      </c>
      <c r="G49" s="726" t="s">
        <v>583</v>
      </c>
      <c r="H49" s="726" t="s">
        <v>737</v>
      </c>
      <c r="I49" s="726" t="s">
        <v>715</v>
      </c>
      <c r="J49" s="726" t="s">
        <v>738</v>
      </c>
      <c r="K49" s="726"/>
      <c r="L49" s="728">
        <v>378.30752437801971</v>
      </c>
      <c r="M49" s="728">
        <v>2</v>
      </c>
      <c r="N49" s="729">
        <v>756.61504875603941</v>
      </c>
    </row>
    <row r="50" spans="1:14" ht="14.4" customHeight="1" x14ac:dyDescent="0.3">
      <c r="A50" s="724" t="s">
        <v>552</v>
      </c>
      <c r="B50" s="725" t="s">
        <v>1679</v>
      </c>
      <c r="C50" s="726" t="s">
        <v>558</v>
      </c>
      <c r="D50" s="727" t="s">
        <v>559</v>
      </c>
      <c r="E50" s="726" t="s">
        <v>575</v>
      </c>
      <c r="F50" s="727" t="s">
        <v>1681</v>
      </c>
      <c r="G50" s="726" t="s">
        <v>583</v>
      </c>
      <c r="H50" s="726" t="s">
        <v>739</v>
      </c>
      <c r="I50" s="726" t="s">
        <v>740</v>
      </c>
      <c r="J50" s="726" t="s">
        <v>741</v>
      </c>
      <c r="K50" s="726" t="s">
        <v>742</v>
      </c>
      <c r="L50" s="728">
        <v>74.599999999999994</v>
      </c>
      <c r="M50" s="728">
        <v>1</v>
      </c>
      <c r="N50" s="729">
        <v>74.599999999999994</v>
      </c>
    </row>
    <row r="51" spans="1:14" ht="14.4" customHeight="1" x14ac:dyDescent="0.3">
      <c r="A51" s="724" t="s">
        <v>552</v>
      </c>
      <c r="B51" s="725" t="s">
        <v>1679</v>
      </c>
      <c r="C51" s="726" t="s">
        <v>558</v>
      </c>
      <c r="D51" s="727" t="s">
        <v>559</v>
      </c>
      <c r="E51" s="726" t="s">
        <v>575</v>
      </c>
      <c r="F51" s="727" t="s">
        <v>1681</v>
      </c>
      <c r="G51" s="726" t="s">
        <v>583</v>
      </c>
      <c r="H51" s="726" t="s">
        <v>743</v>
      </c>
      <c r="I51" s="726" t="s">
        <v>744</v>
      </c>
      <c r="J51" s="726" t="s">
        <v>745</v>
      </c>
      <c r="K51" s="726" t="s">
        <v>746</v>
      </c>
      <c r="L51" s="728">
        <v>82.390078139235101</v>
      </c>
      <c r="M51" s="728">
        <v>1</v>
      </c>
      <c r="N51" s="729">
        <v>82.390078139235101</v>
      </c>
    </row>
    <row r="52" spans="1:14" ht="14.4" customHeight="1" x14ac:dyDescent="0.3">
      <c r="A52" s="724" t="s">
        <v>552</v>
      </c>
      <c r="B52" s="725" t="s">
        <v>1679</v>
      </c>
      <c r="C52" s="726" t="s">
        <v>558</v>
      </c>
      <c r="D52" s="727" t="s">
        <v>559</v>
      </c>
      <c r="E52" s="726" t="s">
        <v>575</v>
      </c>
      <c r="F52" s="727" t="s">
        <v>1681</v>
      </c>
      <c r="G52" s="726" t="s">
        <v>583</v>
      </c>
      <c r="H52" s="726" t="s">
        <v>747</v>
      </c>
      <c r="I52" s="726" t="s">
        <v>747</v>
      </c>
      <c r="J52" s="726" t="s">
        <v>748</v>
      </c>
      <c r="K52" s="726" t="s">
        <v>749</v>
      </c>
      <c r="L52" s="728">
        <v>60.17</v>
      </c>
      <c r="M52" s="728">
        <v>1</v>
      </c>
      <c r="N52" s="729">
        <v>60.17</v>
      </c>
    </row>
    <row r="53" spans="1:14" ht="14.4" customHeight="1" x14ac:dyDescent="0.3">
      <c r="A53" s="724" t="s">
        <v>552</v>
      </c>
      <c r="B53" s="725" t="s">
        <v>1679</v>
      </c>
      <c r="C53" s="726" t="s">
        <v>558</v>
      </c>
      <c r="D53" s="727" t="s">
        <v>559</v>
      </c>
      <c r="E53" s="726" t="s">
        <v>575</v>
      </c>
      <c r="F53" s="727" t="s">
        <v>1681</v>
      </c>
      <c r="G53" s="726" t="s">
        <v>583</v>
      </c>
      <c r="H53" s="726" t="s">
        <v>750</v>
      </c>
      <c r="I53" s="726" t="s">
        <v>750</v>
      </c>
      <c r="J53" s="726" t="s">
        <v>662</v>
      </c>
      <c r="K53" s="726" t="s">
        <v>751</v>
      </c>
      <c r="L53" s="728">
        <v>131.11000000000007</v>
      </c>
      <c r="M53" s="728">
        <v>1</v>
      </c>
      <c r="N53" s="729">
        <v>131.11000000000007</v>
      </c>
    </row>
    <row r="54" spans="1:14" ht="14.4" customHeight="1" x14ac:dyDescent="0.3">
      <c r="A54" s="724" t="s">
        <v>552</v>
      </c>
      <c r="B54" s="725" t="s">
        <v>1679</v>
      </c>
      <c r="C54" s="726" t="s">
        <v>558</v>
      </c>
      <c r="D54" s="727" t="s">
        <v>559</v>
      </c>
      <c r="E54" s="726" t="s">
        <v>575</v>
      </c>
      <c r="F54" s="727" t="s">
        <v>1681</v>
      </c>
      <c r="G54" s="726" t="s">
        <v>583</v>
      </c>
      <c r="H54" s="726" t="s">
        <v>752</v>
      </c>
      <c r="I54" s="726" t="s">
        <v>752</v>
      </c>
      <c r="J54" s="726" t="s">
        <v>681</v>
      </c>
      <c r="K54" s="726" t="s">
        <v>753</v>
      </c>
      <c r="L54" s="728">
        <v>83.589625459270565</v>
      </c>
      <c r="M54" s="728">
        <v>1</v>
      </c>
      <c r="N54" s="729">
        <v>83.589625459270565</v>
      </c>
    </row>
    <row r="55" spans="1:14" ht="14.4" customHeight="1" x14ac:dyDescent="0.3">
      <c r="A55" s="724" t="s">
        <v>552</v>
      </c>
      <c r="B55" s="725" t="s">
        <v>1679</v>
      </c>
      <c r="C55" s="726" t="s">
        <v>558</v>
      </c>
      <c r="D55" s="727" t="s">
        <v>559</v>
      </c>
      <c r="E55" s="726" t="s">
        <v>575</v>
      </c>
      <c r="F55" s="727" t="s">
        <v>1681</v>
      </c>
      <c r="G55" s="726" t="s">
        <v>583</v>
      </c>
      <c r="H55" s="726" t="s">
        <v>754</v>
      </c>
      <c r="I55" s="726" t="s">
        <v>754</v>
      </c>
      <c r="J55" s="726" t="s">
        <v>755</v>
      </c>
      <c r="K55" s="726" t="s">
        <v>756</v>
      </c>
      <c r="L55" s="728">
        <v>175.03020000000001</v>
      </c>
      <c r="M55" s="728">
        <v>1</v>
      </c>
      <c r="N55" s="729">
        <v>175.03020000000001</v>
      </c>
    </row>
    <row r="56" spans="1:14" ht="14.4" customHeight="1" x14ac:dyDescent="0.3">
      <c r="A56" s="724" t="s">
        <v>552</v>
      </c>
      <c r="B56" s="725" t="s">
        <v>1679</v>
      </c>
      <c r="C56" s="726" t="s">
        <v>558</v>
      </c>
      <c r="D56" s="727" t="s">
        <v>559</v>
      </c>
      <c r="E56" s="726" t="s">
        <v>575</v>
      </c>
      <c r="F56" s="727" t="s">
        <v>1681</v>
      </c>
      <c r="G56" s="726" t="s">
        <v>583</v>
      </c>
      <c r="H56" s="726" t="s">
        <v>757</v>
      </c>
      <c r="I56" s="726" t="s">
        <v>757</v>
      </c>
      <c r="J56" s="726" t="s">
        <v>758</v>
      </c>
      <c r="K56" s="726" t="s">
        <v>759</v>
      </c>
      <c r="L56" s="728">
        <v>104.38666666666664</v>
      </c>
      <c r="M56" s="728">
        <v>3</v>
      </c>
      <c r="N56" s="729">
        <v>313.15999999999991</v>
      </c>
    </row>
    <row r="57" spans="1:14" ht="14.4" customHeight="1" x14ac:dyDescent="0.3">
      <c r="A57" s="724" t="s">
        <v>552</v>
      </c>
      <c r="B57" s="725" t="s">
        <v>1679</v>
      </c>
      <c r="C57" s="726" t="s">
        <v>558</v>
      </c>
      <c r="D57" s="727" t="s">
        <v>559</v>
      </c>
      <c r="E57" s="726" t="s">
        <v>575</v>
      </c>
      <c r="F57" s="727" t="s">
        <v>1681</v>
      </c>
      <c r="G57" s="726" t="s">
        <v>583</v>
      </c>
      <c r="H57" s="726" t="s">
        <v>760</v>
      </c>
      <c r="I57" s="726" t="s">
        <v>715</v>
      </c>
      <c r="J57" s="726" t="s">
        <v>761</v>
      </c>
      <c r="K57" s="726"/>
      <c r="L57" s="728">
        <v>54.859999999999992</v>
      </c>
      <c r="M57" s="728">
        <v>2</v>
      </c>
      <c r="N57" s="729">
        <v>109.71999999999998</v>
      </c>
    </row>
    <row r="58" spans="1:14" ht="14.4" customHeight="1" x14ac:dyDescent="0.3">
      <c r="A58" s="724" t="s">
        <v>552</v>
      </c>
      <c r="B58" s="725" t="s">
        <v>1679</v>
      </c>
      <c r="C58" s="726" t="s">
        <v>558</v>
      </c>
      <c r="D58" s="727" t="s">
        <v>559</v>
      </c>
      <c r="E58" s="726" t="s">
        <v>575</v>
      </c>
      <c r="F58" s="727" t="s">
        <v>1681</v>
      </c>
      <c r="G58" s="726" t="s">
        <v>583</v>
      </c>
      <c r="H58" s="726" t="s">
        <v>762</v>
      </c>
      <c r="I58" s="726" t="s">
        <v>715</v>
      </c>
      <c r="J58" s="726" t="s">
        <v>763</v>
      </c>
      <c r="K58" s="726"/>
      <c r="L58" s="728">
        <v>248.96333333333334</v>
      </c>
      <c r="M58" s="728">
        <v>1</v>
      </c>
      <c r="N58" s="729">
        <v>248.96333333333334</v>
      </c>
    </row>
    <row r="59" spans="1:14" ht="14.4" customHeight="1" x14ac:dyDescent="0.3">
      <c r="A59" s="724" t="s">
        <v>552</v>
      </c>
      <c r="B59" s="725" t="s">
        <v>1679</v>
      </c>
      <c r="C59" s="726" t="s">
        <v>558</v>
      </c>
      <c r="D59" s="727" t="s">
        <v>559</v>
      </c>
      <c r="E59" s="726" t="s">
        <v>575</v>
      </c>
      <c r="F59" s="727" t="s">
        <v>1681</v>
      </c>
      <c r="G59" s="726" t="s">
        <v>583</v>
      </c>
      <c r="H59" s="726" t="s">
        <v>764</v>
      </c>
      <c r="I59" s="726" t="s">
        <v>607</v>
      </c>
      <c r="J59" s="726" t="s">
        <v>765</v>
      </c>
      <c r="K59" s="726"/>
      <c r="L59" s="728">
        <v>213.08688597771044</v>
      </c>
      <c r="M59" s="728">
        <v>1</v>
      </c>
      <c r="N59" s="729">
        <v>213.08688597771044</v>
      </c>
    </row>
    <row r="60" spans="1:14" ht="14.4" customHeight="1" x14ac:dyDescent="0.3">
      <c r="A60" s="724" t="s">
        <v>552</v>
      </c>
      <c r="B60" s="725" t="s">
        <v>1679</v>
      </c>
      <c r="C60" s="726" t="s">
        <v>558</v>
      </c>
      <c r="D60" s="727" t="s">
        <v>559</v>
      </c>
      <c r="E60" s="726" t="s">
        <v>575</v>
      </c>
      <c r="F60" s="727" t="s">
        <v>1681</v>
      </c>
      <c r="G60" s="726" t="s">
        <v>583</v>
      </c>
      <c r="H60" s="726" t="s">
        <v>766</v>
      </c>
      <c r="I60" s="726" t="s">
        <v>766</v>
      </c>
      <c r="J60" s="726" t="s">
        <v>767</v>
      </c>
      <c r="K60" s="726" t="s">
        <v>768</v>
      </c>
      <c r="L60" s="728">
        <v>28.600000000000016</v>
      </c>
      <c r="M60" s="728">
        <v>2</v>
      </c>
      <c r="N60" s="729">
        <v>57.200000000000031</v>
      </c>
    </row>
    <row r="61" spans="1:14" ht="14.4" customHeight="1" x14ac:dyDescent="0.3">
      <c r="A61" s="724" t="s">
        <v>552</v>
      </c>
      <c r="B61" s="725" t="s">
        <v>1679</v>
      </c>
      <c r="C61" s="726" t="s">
        <v>558</v>
      </c>
      <c r="D61" s="727" t="s">
        <v>559</v>
      </c>
      <c r="E61" s="726" t="s">
        <v>575</v>
      </c>
      <c r="F61" s="727" t="s">
        <v>1681</v>
      </c>
      <c r="G61" s="726" t="s">
        <v>583</v>
      </c>
      <c r="H61" s="726" t="s">
        <v>769</v>
      </c>
      <c r="I61" s="726" t="s">
        <v>769</v>
      </c>
      <c r="J61" s="726" t="s">
        <v>770</v>
      </c>
      <c r="K61" s="726" t="s">
        <v>771</v>
      </c>
      <c r="L61" s="728">
        <v>27.230760353762719</v>
      </c>
      <c r="M61" s="728">
        <v>13</v>
      </c>
      <c r="N61" s="729">
        <v>353.99988459891534</v>
      </c>
    </row>
    <row r="62" spans="1:14" ht="14.4" customHeight="1" x14ac:dyDescent="0.3">
      <c r="A62" s="724" t="s">
        <v>552</v>
      </c>
      <c r="B62" s="725" t="s">
        <v>1679</v>
      </c>
      <c r="C62" s="726" t="s">
        <v>558</v>
      </c>
      <c r="D62" s="727" t="s">
        <v>559</v>
      </c>
      <c r="E62" s="726" t="s">
        <v>575</v>
      </c>
      <c r="F62" s="727" t="s">
        <v>1681</v>
      </c>
      <c r="G62" s="726" t="s">
        <v>583</v>
      </c>
      <c r="H62" s="726" t="s">
        <v>772</v>
      </c>
      <c r="I62" s="726" t="s">
        <v>772</v>
      </c>
      <c r="J62" s="726" t="s">
        <v>773</v>
      </c>
      <c r="K62" s="726" t="s">
        <v>774</v>
      </c>
      <c r="L62" s="728">
        <v>158.47999999999996</v>
      </c>
      <c r="M62" s="728">
        <v>1</v>
      </c>
      <c r="N62" s="729">
        <v>158.47999999999996</v>
      </c>
    </row>
    <row r="63" spans="1:14" ht="14.4" customHeight="1" x14ac:dyDescent="0.3">
      <c r="A63" s="724" t="s">
        <v>552</v>
      </c>
      <c r="B63" s="725" t="s">
        <v>1679</v>
      </c>
      <c r="C63" s="726" t="s">
        <v>558</v>
      </c>
      <c r="D63" s="727" t="s">
        <v>559</v>
      </c>
      <c r="E63" s="726" t="s">
        <v>575</v>
      </c>
      <c r="F63" s="727" t="s">
        <v>1681</v>
      </c>
      <c r="G63" s="726" t="s">
        <v>583</v>
      </c>
      <c r="H63" s="726" t="s">
        <v>775</v>
      </c>
      <c r="I63" s="726" t="s">
        <v>715</v>
      </c>
      <c r="J63" s="726" t="s">
        <v>776</v>
      </c>
      <c r="K63" s="726"/>
      <c r="L63" s="728">
        <v>96.415999999999983</v>
      </c>
      <c r="M63" s="728">
        <v>5</v>
      </c>
      <c r="N63" s="729">
        <v>482.07999999999993</v>
      </c>
    </row>
    <row r="64" spans="1:14" ht="14.4" customHeight="1" x14ac:dyDescent="0.3">
      <c r="A64" s="724" t="s">
        <v>552</v>
      </c>
      <c r="B64" s="725" t="s">
        <v>1679</v>
      </c>
      <c r="C64" s="726" t="s">
        <v>558</v>
      </c>
      <c r="D64" s="727" t="s">
        <v>559</v>
      </c>
      <c r="E64" s="726" t="s">
        <v>575</v>
      </c>
      <c r="F64" s="727" t="s">
        <v>1681</v>
      </c>
      <c r="G64" s="726" t="s">
        <v>777</v>
      </c>
      <c r="H64" s="726" t="s">
        <v>778</v>
      </c>
      <c r="I64" s="726" t="s">
        <v>779</v>
      </c>
      <c r="J64" s="726" t="s">
        <v>780</v>
      </c>
      <c r="K64" s="726" t="s">
        <v>781</v>
      </c>
      <c r="L64" s="728">
        <v>56.88</v>
      </c>
      <c r="M64" s="728">
        <v>47</v>
      </c>
      <c r="N64" s="729">
        <v>2673.36</v>
      </c>
    </row>
    <row r="65" spans="1:14" ht="14.4" customHeight="1" x14ac:dyDescent="0.3">
      <c r="A65" s="724" t="s">
        <v>552</v>
      </c>
      <c r="B65" s="725" t="s">
        <v>1679</v>
      </c>
      <c r="C65" s="726" t="s">
        <v>558</v>
      </c>
      <c r="D65" s="727" t="s">
        <v>559</v>
      </c>
      <c r="E65" s="726" t="s">
        <v>575</v>
      </c>
      <c r="F65" s="727" t="s">
        <v>1681</v>
      </c>
      <c r="G65" s="726" t="s">
        <v>777</v>
      </c>
      <c r="H65" s="726" t="s">
        <v>782</v>
      </c>
      <c r="I65" s="726" t="s">
        <v>783</v>
      </c>
      <c r="J65" s="726" t="s">
        <v>784</v>
      </c>
      <c r="K65" s="726" t="s">
        <v>785</v>
      </c>
      <c r="L65" s="728">
        <v>34.75</v>
      </c>
      <c r="M65" s="728">
        <v>10</v>
      </c>
      <c r="N65" s="729">
        <v>347.5</v>
      </c>
    </row>
    <row r="66" spans="1:14" ht="14.4" customHeight="1" x14ac:dyDescent="0.3">
      <c r="A66" s="724" t="s">
        <v>552</v>
      </c>
      <c r="B66" s="725" t="s">
        <v>1679</v>
      </c>
      <c r="C66" s="726" t="s">
        <v>558</v>
      </c>
      <c r="D66" s="727" t="s">
        <v>559</v>
      </c>
      <c r="E66" s="726" t="s">
        <v>575</v>
      </c>
      <c r="F66" s="727" t="s">
        <v>1681</v>
      </c>
      <c r="G66" s="726" t="s">
        <v>777</v>
      </c>
      <c r="H66" s="726" t="s">
        <v>786</v>
      </c>
      <c r="I66" s="726" t="s">
        <v>787</v>
      </c>
      <c r="J66" s="726" t="s">
        <v>788</v>
      </c>
      <c r="K66" s="726" t="s">
        <v>789</v>
      </c>
      <c r="L66" s="728">
        <v>90.38000000000001</v>
      </c>
      <c r="M66" s="728">
        <v>3</v>
      </c>
      <c r="N66" s="729">
        <v>271.14000000000004</v>
      </c>
    </row>
    <row r="67" spans="1:14" ht="14.4" customHeight="1" x14ac:dyDescent="0.3">
      <c r="A67" s="724" t="s">
        <v>552</v>
      </c>
      <c r="B67" s="725" t="s">
        <v>1679</v>
      </c>
      <c r="C67" s="726" t="s">
        <v>558</v>
      </c>
      <c r="D67" s="727" t="s">
        <v>559</v>
      </c>
      <c r="E67" s="726" t="s">
        <v>575</v>
      </c>
      <c r="F67" s="727" t="s">
        <v>1681</v>
      </c>
      <c r="G67" s="726" t="s">
        <v>777</v>
      </c>
      <c r="H67" s="726" t="s">
        <v>790</v>
      </c>
      <c r="I67" s="726" t="s">
        <v>791</v>
      </c>
      <c r="J67" s="726" t="s">
        <v>780</v>
      </c>
      <c r="K67" s="726" t="s">
        <v>792</v>
      </c>
      <c r="L67" s="728">
        <v>44.590041982991572</v>
      </c>
      <c r="M67" s="728">
        <v>77</v>
      </c>
      <c r="N67" s="729">
        <v>3433.4332326903509</v>
      </c>
    </row>
    <row r="68" spans="1:14" ht="14.4" customHeight="1" x14ac:dyDescent="0.3">
      <c r="A68" s="724" t="s">
        <v>552</v>
      </c>
      <c r="B68" s="725" t="s">
        <v>1679</v>
      </c>
      <c r="C68" s="726" t="s">
        <v>558</v>
      </c>
      <c r="D68" s="727" t="s">
        <v>559</v>
      </c>
      <c r="E68" s="726" t="s">
        <v>575</v>
      </c>
      <c r="F68" s="727" t="s">
        <v>1681</v>
      </c>
      <c r="G68" s="726" t="s">
        <v>777</v>
      </c>
      <c r="H68" s="726" t="s">
        <v>793</v>
      </c>
      <c r="I68" s="726" t="s">
        <v>794</v>
      </c>
      <c r="J68" s="726" t="s">
        <v>795</v>
      </c>
      <c r="K68" s="726" t="s">
        <v>796</v>
      </c>
      <c r="L68" s="728">
        <v>21.67</v>
      </c>
      <c r="M68" s="728">
        <v>1</v>
      </c>
      <c r="N68" s="729">
        <v>21.67</v>
      </c>
    </row>
    <row r="69" spans="1:14" ht="14.4" customHeight="1" x14ac:dyDescent="0.3">
      <c r="A69" s="724" t="s">
        <v>552</v>
      </c>
      <c r="B69" s="725" t="s">
        <v>1679</v>
      </c>
      <c r="C69" s="726" t="s">
        <v>558</v>
      </c>
      <c r="D69" s="727" t="s">
        <v>559</v>
      </c>
      <c r="E69" s="726" t="s">
        <v>575</v>
      </c>
      <c r="F69" s="727" t="s">
        <v>1681</v>
      </c>
      <c r="G69" s="726" t="s">
        <v>777</v>
      </c>
      <c r="H69" s="726" t="s">
        <v>797</v>
      </c>
      <c r="I69" s="726" t="s">
        <v>798</v>
      </c>
      <c r="J69" s="726" t="s">
        <v>581</v>
      </c>
      <c r="K69" s="726" t="s">
        <v>799</v>
      </c>
      <c r="L69" s="728">
        <v>58.740000000000009</v>
      </c>
      <c r="M69" s="728">
        <v>2</v>
      </c>
      <c r="N69" s="729">
        <v>117.48000000000002</v>
      </c>
    </row>
    <row r="70" spans="1:14" ht="14.4" customHeight="1" x14ac:dyDescent="0.3">
      <c r="A70" s="724" t="s">
        <v>552</v>
      </c>
      <c r="B70" s="725" t="s">
        <v>1679</v>
      </c>
      <c r="C70" s="726" t="s">
        <v>558</v>
      </c>
      <c r="D70" s="727" t="s">
        <v>559</v>
      </c>
      <c r="E70" s="726" t="s">
        <v>575</v>
      </c>
      <c r="F70" s="727" t="s">
        <v>1681</v>
      </c>
      <c r="G70" s="726" t="s">
        <v>777</v>
      </c>
      <c r="H70" s="726" t="s">
        <v>800</v>
      </c>
      <c r="I70" s="726" t="s">
        <v>801</v>
      </c>
      <c r="J70" s="726" t="s">
        <v>780</v>
      </c>
      <c r="K70" s="726" t="s">
        <v>802</v>
      </c>
      <c r="L70" s="728">
        <v>56.88010705652205</v>
      </c>
      <c r="M70" s="728">
        <v>10</v>
      </c>
      <c r="N70" s="729">
        <v>568.80107056522047</v>
      </c>
    </row>
    <row r="71" spans="1:14" ht="14.4" customHeight="1" x14ac:dyDescent="0.3">
      <c r="A71" s="724" t="s">
        <v>552</v>
      </c>
      <c r="B71" s="725" t="s">
        <v>1679</v>
      </c>
      <c r="C71" s="726" t="s">
        <v>558</v>
      </c>
      <c r="D71" s="727" t="s">
        <v>559</v>
      </c>
      <c r="E71" s="726" t="s">
        <v>575</v>
      </c>
      <c r="F71" s="727" t="s">
        <v>1681</v>
      </c>
      <c r="G71" s="726" t="s">
        <v>777</v>
      </c>
      <c r="H71" s="726" t="s">
        <v>803</v>
      </c>
      <c r="I71" s="726" t="s">
        <v>804</v>
      </c>
      <c r="J71" s="726" t="s">
        <v>805</v>
      </c>
      <c r="K71" s="726" t="s">
        <v>806</v>
      </c>
      <c r="L71" s="728">
        <v>38.970000000000013</v>
      </c>
      <c r="M71" s="728">
        <v>1</v>
      </c>
      <c r="N71" s="729">
        <v>38.970000000000013</v>
      </c>
    </row>
    <row r="72" spans="1:14" ht="14.4" customHeight="1" x14ac:dyDescent="0.3">
      <c r="A72" s="724" t="s">
        <v>552</v>
      </c>
      <c r="B72" s="725" t="s">
        <v>1679</v>
      </c>
      <c r="C72" s="726" t="s">
        <v>558</v>
      </c>
      <c r="D72" s="727" t="s">
        <v>559</v>
      </c>
      <c r="E72" s="726" t="s">
        <v>575</v>
      </c>
      <c r="F72" s="727" t="s">
        <v>1681</v>
      </c>
      <c r="G72" s="726" t="s">
        <v>777</v>
      </c>
      <c r="H72" s="726" t="s">
        <v>807</v>
      </c>
      <c r="I72" s="726" t="s">
        <v>808</v>
      </c>
      <c r="J72" s="726" t="s">
        <v>805</v>
      </c>
      <c r="K72" s="726" t="s">
        <v>809</v>
      </c>
      <c r="L72" s="728">
        <v>116.81007573856225</v>
      </c>
      <c r="M72" s="728">
        <v>8</v>
      </c>
      <c r="N72" s="729">
        <v>934.48060590849798</v>
      </c>
    </row>
    <row r="73" spans="1:14" ht="14.4" customHeight="1" x14ac:dyDescent="0.3">
      <c r="A73" s="724" t="s">
        <v>552</v>
      </c>
      <c r="B73" s="725" t="s">
        <v>1679</v>
      </c>
      <c r="C73" s="726" t="s">
        <v>558</v>
      </c>
      <c r="D73" s="727" t="s">
        <v>559</v>
      </c>
      <c r="E73" s="726" t="s">
        <v>575</v>
      </c>
      <c r="F73" s="727" t="s">
        <v>1681</v>
      </c>
      <c r="G73" s="726" t="s">
        <v>777</v>
      </c>
      <c r="H73" s="726" t="s">
        <v>810</v>
      </c>
      <c r="I73" s="726" t="s">
        <v>810</v>
      </c>
      <c r="J73" s="726" t="s">
        <v>811</v>
      </c>
      <c r="K73" s="726" t="s">
        <v>812</v>
      </c>
      <c r="L73" s="728">
        <v>57.699916321268311</v>
      </c>
      <c r="M73" s="728">
        <v>7</v>
      </c>
      <c r="N73" s="729">
        <v>403.8994142488782</v>
      </c>
    </row>
    <row r="74" spans="1:14" ht="14.4" customHeight="1" x14ac:dyDescent="0.3">
      <c r="A74" s="724" t="s">
        <v>552</v>
      </c>
      <c r="B74" s="725" t="s">
        <v>1679</v>
      </c>
      <c r="C74" s="726" t="s">
        <v>558</v>
      </c>
      <c r="D74" s="727" t="s">
        <v>559</v>
      </c>
      <c r="E74" s="726" t="s">
        <v>575</v>
      </c>
      <c r="F74" s="727" t="s">
        <v>1681</v>
      </c>
      <c r="G74" s="726" t="s">
        <v>777</v>
      </c>
      <c r="H74" s="726" t="s">
        <v>813</v>
      </c>
      <c r="I74" s="726" t="s">
        <v>813</v>
      </c>
      <c r="J74" s="726" t="s">
        <v>814</v>
      </c>
      <c r="K74" s="726" t="s">
        <v>815</v>
      </c>
      <c r="L74" s="728">
        <v>3300</v>
      </c>
      <c r="M74" s="728">
        <v>3</v>
      </c>
      <c r="N74" s="729">
        <v>9900</v>
      </c>
    </row>
    <row r="75" spans="1:14" ht="14.4" customHeight="1" x14ac:dyDescent="0.3">
      <c r="A75" s="724" t="s">
        <v>552</v>
      </c>
      <c r="B75" s="725" t="s">
        <v>1679</v>
      </c>
      <c r="C75" s="726" t="s">
        <v>558</v>
      </c>
      <c r="D75" s="727" t="s">
        <v>559</v>
      </c>
      <c r="E75" s="726" t="s">
        <v>575</v>
      </c>
      <c r="F75" s="727" t="s">
        <v>1681</v>
      </c>
      <c r="G75" s="726" t="s">
        <v>777</v>
      </c>
      <c r="H75" s="726" t="s">
        <v>816</v>
      </c>
      <c r="I75" s="726" t="s">
        <v>816</v>
      </c>
      <c r="J75" s="726" t="s">
        <v>817</v>
      </c>
      <c r="K75" s="726" t="s">
        <v>818</v>
      </c>
      <c r="L75" s="728">
        <v>67.391111111111115</v>
      </c>
      <c r="M75" s="728">
        <v>9</v>
      </c>
      <c r="N75" s="729">
        <v>606.52</v>
      </c>
    </row>
    <row r="76" spans="1:14" ht="14.4" customHeight="1" x14ac:dyDescent="0.3">
      <c r="A76" s="724" t="s">
        <v>552</v>
      </c>
      <c r="B76" s="725" t="s">
        <v>1679</v>
      </c>
      <c r="C76" s="726" t="s">
        <v>558</v>
      </c>
      <c r="D76" s="727" t="s">
        <v>559</v>
      </c>
      <c r="E76" s="726" t="s">
        <v>575</v>
      </c>
      <c r="F76" s="727" t="s">
        <v>1681</v>
      </c>
      <c r="G76" s="726" t="s">
        <v>777</v>
      </c>
      <c r="H76" s="726" t="s">
        <v>819</v>
      </c>
      <c r="I76" s="726" t="s">
        <v>819</v>
      </c>
      <c r="J76" s="726" t="s">
        <v>820</v>
      </c>
      <c r="K76" s="726" t="s">
        <v>821</v>
      </c>
      <c r="L76" s="728">
        <v>301.46999999999997</v>
      </c>
      <c r="M76" s="728">
        <v>7</v>
      </c>
      <c r="N76" s="729">
        <v>2110.29</v>
      </c>
    </row>
    <row r="77" spans="1:14" ht="14.4" customHeight="1" x14ac:dyDescent="0.3">
      <c r="A77" s="724" t="s">
        <v>552</v>
      </c>
      <c r="B77" s="725" t="s">
        <v>1679</v>
      </c>
      <c r="C77" s="726" t="s">
        <v>558</v>
      </c>
      <c r="D77" s="727" t="s">
        <v>559</v>
      </c>
      <c r="E77" s="726" t="s">
        <v>575</v>
      </c>
      <c r="F77" s="727" t="s">
        <v>1681</v>
      </c>
      <c r="G77" s="726" t="s">
        <v>777</v>
      </c>
      <c r="H77" s="726" t="s">
        <v>822</v>
      </c>
      <c r="I77" s="726" t="s">
        <v>822</v>
      </c>
      <c r="J77" s="726" t="s">
        <v>823</v>
      </c>
      <c r="K77" s="726" t="s">
        <v>824</v>
      </c>
      <c r="L77" s="728">
        <v>77.15000000000002</v>
      </c>
      <c r="M77" s="728">
        <v>3</v>
      </c>
      <c r="N77" s="729">
        <v>231.45000000000005</v>
      </c>
    </row>
    <row r="78" spans="1:14" ht="14.4" customHeight="1" x14ac:dyDescent="0.3">
      <c r="A78" s="724" t="s">
        <v>552</v>
      </c>
      <c r="B78" s="725" t="s">
        <v>1679</v>
      </c>
      <c r="C78" s="726" t="s">
        <v>558</v>
      </c>
      <c r="D78" s="727" t="s">
        <v>559</v>
      </c>
      <c r="E78" s="726" t="s">
        <v>825</v>
      </c>
      <c r="F78" s="727" t="s">
        <v>1682</v>
      </c>
      <c r="G78" s="726"/>
      <c r="H78" s="726" t="s">
        <v>826</v>
      </c>
      <c r="I78" s="726" t="s">
        <v>826</v>
      </c>
      <c r="J78" s="726" t="s">
        <v>827</v>
      </c>
      <c r="K78" s="726" t="s">
        <v>828</v>
      </c>
      <c r="L78" s="728">
        <v>316.03000000000003</v>
      </c>
      <c r="M78" s="728">
        <v>0.1</v>
      </c>
      <c r="N78" s="729">
        <v>31.603000000000005</v>
      </c>
    </row>
    <row r="79" spans="1:14" ht="14.4" customHeight="1" x14ac:dyDescent="0.3">
      <c r="A79" s="724" t="s">
        <v>552</v>
      </c>
      <c r="B79" s="725" t="s">
        <v>1679</v>
      </c>
      <c r="C79" s="726" t="s">
        <v>558</v>
      </c>
      <c r="D79" s="727" t="s">
        <v>559</v>
      </c>
      <c r="E79" s="726" t="s">
        <v>825</v>
      </c>
      <c r="F79" s="727" t="s">
        <v>1682</v>
      </c>
      <c r="G79" s="726" t="s">
        <v>583</v>
      </c>
      <c r="H79" s="726" t="s">
        <v>829</v>
      </c>
      <c r="I79" s="726" t="s">
        <v>830</v>
      </c>
      <c r="J79" s="726" t="s">
        <v>831</v>
      </c>
      <c r="K79" s="726" t="s">
        <v>832</v>
      </c>
      <c r="L79" s="728">
        <v>63.759999999999991</v>
      </c>
      <c r="M79" s="728">
        <v>2</v>
      </c>
      <c r="N79" s="729">
        <v>127.51999999999998</v>
      </c>
    </row>
    <row r="80" spans="1:14" ht="14.4" customHeight="1" x14ac:dyDescent="0.3">
      <c r="A80" s="724" t="s">
        <v>552</v>
      </c>
      <c r="B80" s="725" t="s">
        <v>1679</v>
      </c>
      <c r="C80" s="726" t="s">
        <v>558</v>
      </c>
      <c r="D80" s="727" t="s">
        <v>559</v>
      </c>
      <c r="E80" s="726" t="s">
        <v>825</v>
      </c>
      <c r="F80" s="727" t="s">
        <v>1682</v>
      </c>
      <c r="G80" s="726" t="s">
        <v>583</v>
      </c>
      <c r="H80" s="726" t="s">
        <v>833</v>
      </c>
      <c r="I80" s="726" t="s">
        <v>833</v>
      </c>
      <c r="J80" s="726" t="s">
        <v>834</v>
      </c>
      <c r="K80" s="726" t="s">
        <v>835</v>
      </c>
      <c r="L80" s="728">
        <v>462</v>
      </c>
      <c r="M80" s="728">
        <v>1</v>
      </c>
      <c r="N80" s="729">
        <v>462</v>
      </c>
    </row>
    <row r="81" spans="1:14" ht="14.4" customHeight="1" x14ac:dyDescent="0.3">
      <c r="A81" s="724" t="s">
        <v>552</v>
      </c>
      <c r="B81" s="725" t="s">
        <v>1679</v>
      </c>
      <c r="C81" s="726" t="s">
        <v>558</v>
      </c>
      <c r="D81" s="727" t="s">
        <v>559</v>
      </c>
      <c r="E81" s="726" t="s">
        <v>825</v>
      </c>
      <c r="F81" s="727" t="s">
        <v>1682</v>
      </c>
      <c r="G81" s="726" t="s">
        <v>583</v>
      </c>
      <c r="H81" s="726" t="s">
        <v>836</v>
      </c>
      <c r="I81" s="726" t="s">
        <v>836</v>
      </c>
      <c r="J81" s="726" t="s">
        <v>837</v>
      </c>
      <c r="K81" s="726" t="s">
        <v>838</v>
      </c>
      <c r="L81" s="728">
        <v>217.80000000000038</v>
      </c>
      <c r="M81" s="728">
        <v>20.100000000000001</v>
      </c>
      <c r="N81" s="729">
        <v>4377.7800000000079</v>
      </c>
    </row>
    <row r="82" spans="1:14" ht="14.4" customHeight="1" x14ac:dyDescent="0.3">
      <c r="A82" s="724" t="s">
        <v>552</v>
      </c>
      <c r="B82" s="725" t="s">
        <v>1679</v>
      </c>
      <c r="C82" s="726" t="s">
        <v>558</v>
      </c>
      <c r="D82" s="727" t="s">
        <v>559</v>
      </c>
      <c r="E82" s="726" t="s">
        <v>825</v>
      </c>
      <c r="F82" s="727" t="s">
        <v>1682</v>
      </c>
      <c r="G82" s="726" t="s">
        <v>583</v>
      </c>
      <c r="H82" s="726" t="s">
        <v>839</v>
      </c>
      <c r="I82" s="726" t="s">
        <v>840</v>
      </c>
      <c r="J82" s="726" t="s">
        <v>841</v>
      </c>
      <c r="K82" s="726" t="s">
        <v>842</v>
      </c>
      <c r="L82" s="728">
        <v>263.99999999999994</v>
      </c>
      <c r="M82" s="728">
        <v>1.5000000000000002</v>
      </c>
      <c r="N82" s="729">
        <v>395.99999999999994</v>
      </c>
    </row>
    <row r="83" spans="1:14" ht="14.4" customHeight="1" x14ac:dyDescent="0.3">
      <c r="A83" s="724" t="s">
        <v>552</v>
      </c>
      <c r="B83" s="725" t="s">
        <v>1679</v>
      </c>
      <c r="C83" s="726" t="s">
        <v>558</v>
      </c>
      <c r="D83" s="727" t="s">
        <v>559</v>
      </c>
      <c r="E83" s="726" t="s">
        <v>825</v>
      </c>
      <c r="F83" s="727" t="s">
        <v>1682</v>
      </c>
      <c r="G83" s="726" t="s">
        <v>777</v>
      </c>
      <c r="H83" s="726" t="s">
        <v>843</v>
      </c>
      <c r="I83" s="726" t="s">
        <v>844</v>
      </c>
      <c r="J83" s="726" t="s">
        <v>845</v>
      </c>
      <c r="K83" s="726" t="s">
        <v>846</v>
      </c>
      <c r="L83" s="728">
        <v>114.93000000000002</v>
      </c>
      <c r="M83" s="728">
        <v>1</v>
      </c>
      <c r="N83" s="729">
        <v>114.93000000000002</v>
      </c>
    </row>
    <row r="84" spans="1:14" ht="14.4" customHeight="1" x14ac:dyDescent="0.3">
      <c r="A84" s="724" t="s">
        <v>552</v>
      </c>
      <c r="B84" s="725" t="s">
        <v>1679</v>
      </c>
      <c r="C84" s="726" t="s">
        <v>558</v>
      </c>
      <c r="D84" s="727" t="s">
        <v>559</v>
      </c>
      <c r="E84" s="726" t="s">
        <v>847</v>
      </c>
      <c r="F84" s="727" t="s">
        <v>1683</v>
      </c>
      <c r="G84" s="726" t="s">
        <v>777</v>
      </c>
      <c r="H84" s="726" t="s">
        <v>848</v>
      </c>
      <c r="I84" s="726" t="s">
        <v>848</v>
      </c>
      <c r="J84" s="726" t="s">
        <v>849</v>
      </c>
      <c r="K84" s="726" t="s">
        <v>850</v>
      </c>
      <c r="L84" s="728">
        <v>285.24</v>
      </c>
      <c r="M84" s="728">
        <v>1</v>
      </c>
      <c r="N84" s="729">
        <v>285.24</v>
      </c>
    </row>
    <row r="85" spans="1:14" ht="14.4" customHeight="1" x14ac:dyDescent="0.3">
      <c r="A85" s="724" t="s">
        <v>552</v>
      </c>
      <c r="B85" s="725" t="s">
        <v>1679</v>
      </c>
      <c r="C85" s="726" t="s">
        <v>563</v>
      </c>
      <c r="D85" s="727" t="s">
        <v>564</v>
      </c>
      <c r="E85" s="726" t="s">
        <v>575</v>
      </c>
      <c r="F85" s="727" t="s">
        <v>1681</v>
      </c>
      <c r="G85" s="726"/>
      <c r="H85" s="726" t="s">
        <v>851</v>
      </c>
      <c r="I85" s="726" t="s">
        <v>852</v>
      </c>
      <c r="J85" s="726" t="s">
        <v>853</v>
      </c>
      <c r="K85" s="726" t="s">
        <v>854</v>
      </c>
      <c r="L85" s="728">
        <v>253.60999999999999</v>
      </c>
      <c r="M85" s="728">
        <v>1</v>
      </c>
      <c r="N85" s="729">
        <v>253.60999999999999</v>
      </c>
    </row>
    <row r="86" spans="1:14" ht="14.4" customHeight="1" x14ac:dyDescent="0.3">
      <c r="A86" s="724" t="s">
        <v>552</v>
      </c>
      <c r="B86" s="725" t="s">
        <v>1679</v>
      </c>
      <c r="C86" s="726" t="s">
        <v>563</v>
      </c>
      <c r="D86" s="727" t="s">
        <v>564</v>
      </c>
      <c r="E86" s="726" t="s">
        <v>575</v>
      </c>
      <c r="F86" s="727" t="s">
        <v>1681</v>
      </c>
      <c r="G86" s="726"/>
      <c r="H86" s="726" t="s">
        <v>855</v>
      </c>
      <c r="I86" s="726" t="s">
        <v>856</v>
      </c>
      <c r="J86" s="726" t="s">
        <v>857</v>
      </c>
      <c r="K86" s="726" t="s">
        <v>858</v>
      </c>
      <c r="L86" s="728">
        <v>106.54000000000003</v>
      </c>
      <c r="M86" s="728">
        <v>1</v>
      </c>
      <c r="N86" s="729">
        <v>106.54000000000003</v>
      </c>
    </row>
    <row r="87" spans="1:14" ht="14.4" customHeight="1" x14ac:dyDescent="0.3">
      <c r="A87" s="724" t="s">
        <v>552</v>
      </c>
      <c r="B87" s="725" t="s">
        <v>1679</v>
      </c>
      <c r="C87" s="726" t="s">
        <v>563</v>
      </c>
      <c r="D87" s="727" t="s">
        <v>564</v>
      </c>
      <c r="E87" s="726" t="s">
        <v>575</v>
      </c>
      <c r="F87" s="727" t="s">
        <v>1681</v>
      </c>
      <c r="G87" s="726"/>
      <c r="H87" s="726" t="s">
        <v>576</v>
      </c>
      <c r="I87" s="726" t="s">
        <v>577</v>
      </c>
      <c r="J87" s="726" t="s">
        <v>578</v>
      </c>
      <c r="K87" s="726" t="s">
        <v>579</v>
      </c>
      <c r="L87" s="728">
        <v>46.539999999999992</v>
      </c>
      <c r="M87" s="728">
        <v>5</v>
      </c>
      <c r="N87" s="729">
        <v>232.69999999999996</v>
      </c>
    </row>
    <row r="88" spans="1:14" ht="14.4" customHeight="1" x14ac:dyDescent="0.3">
      <c r="A88" s="724" t="s">
        <v>552</v>
      </c>
      <c r="B88" s="725" t="s">
        <v>1679</v>
      </c>
      <c r="C88" s="726" t="s">
        <v>563</v>
      </c>
      <c r="D88" s="727" t="s">
        <v>564</v>
      </c>
      <c r="E88" s="726" t="s">
        <v>575</v>
      </c>
      <c r="F88" s="727" t="s">
        <v>1681</v>
      </c>
      <c r="G88" s="726"/>
      <c r="H88" s="726" t="s">
        <v>859</v>
      </c>
      <c r="I88" s="726" t="s">
        <v>859</v>
      </c>
      <c r="J88" s="726" t="s">
        <v>860</v>
      </c>
      <c r="K88" s="726" t="s">
        <v>861</v>
      </c>
      <c r="L88" s="728">
        <v>220.95</v>
      </c>
      <c r="M88" s="728">
        <v>1</v>
      </c>
      <c r="N88" s="729">
        <v>220.95</v>
      </c>
    </row>
    <row r="89" spans="1:14" ht="14.4" customHeight="1" x14ac:dyDescent="0.3">
      <c r="A89" s="724" t="s">
        <v>552</v>
      </c>
      <c r="B89" s="725" t="s">
        <v>1679</v>
      </c>
      <c r="C89" s="726" t="s">
        <v>563</v>
      </c>
      <c r="D89" s="727" t="s">
        <v>564</v>
      </c>
      <c r="E89" s="726" t="s">
        <v>575</v>
      </c>
      <c r="F89" s="727" t="s">
        <v>1681</v>
      </c>
      <c r="G89" s="726" t="s">
        <v>583</v>
      </c>
      <c r="H89" s="726" t="s">
        <v>584</v>
      </c>
      <c r="I89" s="726" t="s">
        <v>584</v>
      </c>
      <c r="J89" s="726" t="s">
        <v>585</v>
      </c>
      <c r="K89" s="726" t="s">
        <v>586</v>
      </c>
      <c r="L89" s="728">
        <v>171.59999472206647</v>
      </c>
      <c r="M89" s="728">
        <v>11</v>
      </c>
      <c r="N89" s="729">
        <v>1887.5999419427312</v>
      </c>
    </row>
    <row r="90" spans="1:14" ht="14.4" customHeight="1" x14ac:dyDescent="0.3">
      <c r="A90" s="724" t="s">
        <v>552</v>
      </c>
      <c r="B90" s="725" t="s">
        <v>1679</v>
      </c>
      <c r="C90" s="726" t="s">
        <v>563</v>
      </c>
      <c r="D90" s="727" t="s">
        <v>564</v>
      </c>
      <c r="E90" s="726" t="s">
        <v>575</v>
      </c>
      <c r="F90" s="727" t="s">
        <v>1681</v>
      </c>
      <c r="G90" s="726" t="s">
        <v>583</v>
      </c>
      <c r="H90" s="726" t="s">
        <v>587</v>
      </c>
      <c r="I90" s="726" t="s">
        <v>587</v>
      </c>
      <c r="J90" s="726" t="s">
        <v>588</v>
      </c>
      <c r="K90" s="726" t="s">
        <v>589</v>
      </c>
      <c r="L90" s="728">
        <v>173.69</v>
      </c>
      <c r="M90" s="728">
        <v>2</v>
      </c>
      <c r="N90" s="729">
        <v>347.38</v>
      </c>
    </row>
    <row r="91" spans="1:14" ht="14.4" customHeight="1" x14ac:dyDescent="0.3">
      <c r="A91" s="724" t="s">
        <v>552</v>
      </c>
      <c r="B91" s="725" t="s">
        <v>1679</v>
      </c>
      <c r="C91" s="726" t="s">
        <v>563</v>
      </c>
      <c r="D91" s="727" t="s">
        <v>564</v>
      </c>
      <c r="E91" s="726" t="s">
        <v>575</v>
      </c>
      <c r="F91" s="727" t="s">
        <v>1681</v>
      </c>
      <c r="G91" s="726" t="s">
        <v>583</v>
      </c>
      <c r="H91" s="726" t="s">
        <v>862</v>
      </c>
      <c r="I91" s="726" t="s">
        <v>862</v>
      </c>
      <c r="J91" s="726" t="s">
        <v>585</v>
      </c>
      <c r="K91" s="726" t="s">
        <v>863</v>
      </c>
      <c r="L91" s="728">
        <v>92.95</v>
      </c>
      <c r="M91" s="728">
        <v>1</v>
      </c>
      <c r="N91" s="729">
        <v>92.95</v>
      </c>
    </row>
    <row r="92" spans="1:14" ht="14.4" customHeight="1" x14ac:dyDescent="0.3">
      <c r="A92" s="724" t="s">
        <v>552</v>
      </c>
      <c r="B92" s="725" t="s">
        <v>1679</v>
      </c>
      <c r="C92" s="726" t="s">
        <v>563</v>
      </c>
      <c r="D92" s="727" t="s">
        <v>564</v>
      </c>
      <c r="E92" s="726" t="s">
        <v>575</v>
      </c>
      <c r="F92" s="727" t="s">
        <v>1681</v>
      </c>
      <c r="G92" s="726" t="s">
        <v>583</v>
      </c>
      <c r="H92" s="726" t="s">
        <v>592</v>
      </c>
      <c r="I92" s="726" t="s">
        <v>592</v>
      </c>
      <c r="J92" s="726" t="s">
        <v>585</v>
      </c>
      <c r="K92" s="726" t="s">
        <v>593</v>
      </c>
      <c r="L92" s="728">
        <v>93.5</v>
      </c>
      <c r="M92" s="728">
        <v>1</v>
      </c>
      <c r="N92" s="729">
        <v>93.5</v>
      </c>
    </row>
    <row r="93" spans="1:14" ht="14.4" customHeight="1" x14ac:dyDescent="0.3">
      <c r="A93" s="724" t="s">
        <v>552</v>
      </c>
      <c r="B93" s="725" t="s">
        <v>1679</v>
      </c>
      <c r="C93" s="726" t="s">
        <v>563</v>
      </c>
      <c r="D93" s="727" t="s">
        <v>564</v>
      </c>
      <c r="E93" s="726" t="s">
        <v>575</v>
      </c>
      <c r="F93" s="727" t="s">
        <v>1681</v>
      </c>
      <c r="G93" s="726" t="s">
        <v>583</v>
      </c>
      <c r="H93" s="726" t="s">
        <v>598</v>
      </c>
      <c r="I93" s="726" t="s">
        <v>599</v>
      </c>
      <c r="J93" s="726" t="s">
        <v>600</v>
      </c>
      <c r="K93" s="726" t="s">
        <v>601</v>
      </c>
      <c r="L93" s="728">
        <v>96.820000000000022</v>
      </c>
      <c r="M93" s="728">
        <v>2</v>
      </c>
      <c r="N93" s="729">
        <v>193.64000000000004</v>
      </c>
    </row>
    <row r="94" spans="1:14" ht="14.4" customHeight="1" x14ac:dyDescent="0.3">
      <c r="A94" s="724" t="s">
        <v>552</v>
      </c>
      <c r="B94" s="725" t="s">
        <v>1679</v>
      </c>
      <c r="C94" s="726" t="s">
        <v>563</v>
      </c>
      <c r="D94" s="727" t="s">
        <v>564</v>
      </c>
      <c r="E94" s="726" t="s">
        <v>575</v>
      </c>
      <c r="F94" s="727" t="s">
        <v>1681</v>
      </c>
      <c r="G94" s="726" t="s">
        <v>583</v>
      </c>
      <c r="H94" s="726" t="s">
        <v>864</v>
      </c>
      <c r="I94" s="726" t="s">
        <v>865</v>
      </c>
      <c r="J94" s="726" t="s">
        <v>866</v>
      </c>
      <c r="K94" s="726" t="s">
        <v>867</v>
      </c>
      <c r="L94" s="728">
        <v>121.56011528832892</v>
      </c>
      <c r="M94" s="728">
        <v>1</v>
      </c>
      <c r="N94" s="729">
        <v>121.56011528832892</v>
      </c>
    </row>
    <row r="95" spans="1:14" ht="14.4" customHeight="1" x14ac:dyDescent="0.3">
      <c r="A95" s="724" t="s">
        <v>552</v>
      </c>
      <c r="B95" s="725" t="s">
        <v>1679</v>
      </c>
      <c r="C95" s="726" t="s">
        <v>563</v>
      </c>
      <c r="D95" s="727" t="s">
        <v>564</v>
      </c>
      <c r="E95" s="726" t="s">
        <v>575</v>
      </c>
      <c r="F95" s="727" t="s">
        <v>1681</v>
      </c>
      <c r="G95" s="726" t="s">
        <v>583</v>
      </c>
      <c r="H95" s="726" t="s">
        <v>602</v>
      </c>
      <c r="I95" s="726" t="s">
        <v>603</v>
      </c>
      <c r="J95" s="726" t="s">
        <v>604</v>
      </c>
      <c r="K95" s="726" t="s">
        <v>605</v>
      </c>
      <c r="L95" s="728">
        <v>64.540000000000006</v>
      </c>
      <c r="M95" s="728">
        <v>3</v>
      </c>
      <c r="N95" s="729">
        <v>193.62</v>
      </c>
    </row>
    <row r="96" spans="1:14" ht="14.4" customHeight="1" x14ac:dyDescent="0.3">
      <c r="A96" s="724" t="s">
        <v>552</v>
      </c>
      <c r="B96" s="725" t="s">
        <v>1679</v>
      </c>
      <c r="C96" s="726" t="s">
        <v>563</v>
      </c>
      <c r="D96" s="727" t="s">
        <v>564</v>
      </c>
      <c r="E96" s="726" t="s">
        <v>575</v>
      </c>
      <c r="F96" s="727" t="s">
        <v>1681</v>
      </c>
      <c r="G96" s="726" t="s">
        <v>583</v>
      </c>
      <c r="H96" s="726" t="s">
        <v>868</v>
      </c>
      <c r="I96" s="726" t="s">
        <v>869</v>
      </c>
      <c r="J96" s="726" t="s">
        <v>870</v>
      </c>
      <c r="K96" s="726" t="s">
        <v>871</v>
      </c>
      <c r="L96" s="728">
        <v>43.620000000000005</v>
      </c>
      <c r="M96" s="728">
        <v>2</v>
      </c>
      <c r="N96" s="729">
        <v>87.240000000000009</v>
      </c>
    </row>
    <row r="97" spans="1:14" ht="14.4" customHeight="1" x14ac:dyDescent="0.3">
      <c r="A97" s="724" t="s">
        <v>552</v>
      </c>
      <c r="B97" s="725" t="s">
        <v>1679</v>
      </c>
      <c r="C97" s="726" t="s">
        <v>563</v>
      </c>
      <c r="D97" s="727" t="s">
        <v>564</v>
      </c>
      <c r="E97" s="726" t="s">
        <v>575</v>
      </c>
      <c r="F97" s="727" t="s">
        <v>1681</v>
      </c>
      <c r="G97" s="726" t="s">
        <v>583</v>
      </c>
      <c r="H97" s="726" t="s">
        <v>614</v>
      </c>
      <c r="I97" s="726" t="s">
        <v>615</v>
      </c>
      <c r="J97" s="726" t="s">
        <v>616</v>
      </c>
      <c r="K97" s="726" t="s">
        <v>617</v>
      </c>
      <c r="L97" s="728">
        <v>39.900000000000006</v>
      </c>
      <c r="M97" s="728">
        <v>6</v>
      </c>
      <c r="N97" s="729">
        <v>239.40000000000003</v>
      </c>
    </row>
    <row r="98" spans="1:14" ht="14.4" customHeight="1" x14ac:dyDescent="0.3">
      <c r="A98" s="724" t="s">
        <v>552</v>
      </c>
      <c r="B98" s="725" t="s">
        <v>1679</v>
      </c>
      <c r="C98" s="726" t="s">
        <v>563</v>
      </c>
      <c r="D98" s="727" t="s">
        <v>564</v>
      </c>
      <c r="E98" s="726" t="s">
        <v>575</v>
      </c>
      <c r="F98" s="727" t="s">
        <v>1681</v>
      </c>
      <c r="G98" s="726" t="s">
        <v>583</v>
      </c>
      <c r="H98" s="726" t="s">
        <v>618</v>
      </c>
      <c r="I98" s="726" t="s">
        <v>619</v>
      </c>
      <c r="J98" s="726" t="s">
        <v>616</v>
      </c>
      <c r="K98" s="726" t="s">
        <v>620</v>
      </c>
      <c r="L98" s="728">
        <v>77.444384200731349</v>
      </c>
      <c r="M98" s="728">
        <v>16</v>
      </c>
      <c r="N98" s="729">
        <v>1239.1101472117016</v>
      </c>
    </row>
    <row r="99" spans="1:14" ht="14.4" customHeight="1" x14ac:dyDescent="0.3">
      <c r="A99" s="724" t="s">
        <v>552</v>
      </c>
      <c r="B99" s="725" t="s">
        <v>1679</v>
      </c>
      <c r="C99" s="726" t="s">
        <v>563</v>
      </c>
      <c r="D99" s="727" t="s">
        <v>564</v>
      </c>
      <c r="E99" s="726" t="s">
        <v>575</v>
      </c>
      <c r="F99" s="727" t="s">
        <v>1681</v>
      </c>
      <c r="G99" s="726" t="s">
        <v>583</v>
      </c>
      <c r="H99" s="726" t="s">
        <v>621</v>
      </c>
      <c r="I99" s="726" t="s">
        <v>622</v>
      </c>
      <c r="J99" s="726" t="s">
        <v>623</v>
      </c>
      <c r="K99" s="726" t="s">
        <v>624</v>
      </c>
      <c r="L99" s="728">
        <v>115.94000000000004</v>
      </c>
      <c r="M99" s="728">
        <v>4</v>
      </c>
      <c r="N99" s="729">
        <v>463.76000000000016</v>
      </c>
    </row>
    <row r="100" spans="1:14" ht="14.4" customHeight="1" x14ac:dyDescent="0.3">
      <c r="A100" s="724" t="s">
        <v>552</v>
      </c>
      <c r="B100" s="725" t="s">
        <v>1679</v>
      </c>
      <c r="C100" s="726" t="s">
        <v>563</v>
      </c>
      <c r="D100" s="727" t="s">
        <v>564</v>
      </c>
      <c r="E100" s="726" t="s">
        <v>575</v>
      </c>
      <c r="F100" s="727" t="s">
        <v>1681</v>
      </c>
      <c r="G100" s="726" t="s">
        <v>583</v>
      </c>
      <c r="H100" s="726" t="s">
        <v>872</v>
      </c>
      <c r="I100" s="726" t="s">
        <v>873</v>
      </c>
      <c r="J100" s="726" t="s">
        <v>874</v>
      </c>
      <c r="K100" s="726" t="s">
        <v>875</v>
      </c>
      <c r="L100" s="728">
        <v>66.72</v>
      </c>
      <c r="M100" s="728">
        <v>2</v>
      </c>
      <c r="N100" s="729">
        <v>133.44</v>
      </c>
    </row>
    <row r="101" spans="1:14" ht="14.4" customHeight="1" x14ac:dyDescent="0.3">
      <c r="A101" s="724" t="s">
        <v>552</v>
      </c>
      <c r="B101" s="725" t="s">
        <v>1679</v>
      </c>
      <c r="C101" s="726" t="s">
        <v>563</v>
      </c>
      <c r="D101" s="727" t="s">
        <v>564</v>
      </c>
      <c r="E101" s="726" t="s">
        <v>575</v>
      </c>
      <c r="F101" s="727" t="s">
        <v>1681</v>
      </c>
      <c r="G101" s="726" t="s">
        <v>583</v>
      </c>
      <c r="H101" s="726" t="s">
        <v>876</v>
      </c>
      <c r="I101" s="726" t="s">
        <v>877</v>
      </c>
      <c r="J101" s="726" t="s">
        <v>878</v>
      </c>
      <c r="K101" s="726" t="s">
        <v>879</v>
      </c>
      <c r="L101" s="728">
        <v>126.84999999999997</v>
      </c>
      <c r="M101" s="728">
        <v>1</v>
      </c>
      <c r="N101" s="729">
        <v>126.84999999999997</v>
      </c>
    </row>
    <row r="102" spans="1:14" ht="14.4" customHeight="1" x14ac:dyDescent="0.3">
      <c r="A102" s="724" t="s">
        <v>552</v>
      </c>
      <c r="B102" s="725" t="s">
        <v>1679</v>
      </c>
      <c r="C102" s="726" t="s">
        <v>563</v>
      </c>
      <c r="D102" s="727" t="s">
        <v>564</v>
      </c>
      <c r="E102" s="726" t="s">
        <v>575</v>
      </c>
      <c r="F102" s="727" t="s">
        <v>1681</v>
      </c>
      <c r="G102" s="726" t="s">
        <v>583</v>
      </c>
      <c r="H102" s="726" t="s">
        <v>880</v>
      </c>
      <c r="I102" s="726" t="s">
        <v>881</v>
      </c>
      <c r="J102" s="726" t="s">
        <v>882</v>
      </c>
      <c r="K102" s="726" t="s">
        <v>883</v>
      </c>
      <c r="L102" s="728">
        <v>41.35</v>
      </c>
      <c r="M102" s="728">
        <v>2</v>
      </c>
      <c r="N102" s="729">
        <v>82.7</v>
      </c>
    </row>
    <row r="103" spans="1:14" ht="14.4" customHeight="1" x14ac:dyDescent="0.3">
      <c r="A103" s="724" t="s">
        <v>552</v>
      </c>
      <c r="B103" s="725" t="s">
        <v>1679</v>
      </c>
      <c r="C103" s="726" t="s">
        <v>563</v>
      </c>
      <c r="D103" s="727" t="s">
        <v>564</v>
      </c>
      <c r="E103" s="726" t="s">
        <v>575</v>
      </c>
      <c r="F103" s="727" t="s">
        <v>1681</v>
      </c>
      <c r="G103" s="726" t="s">
        <v>583</v>
      </c>
      <c r="H103" s="726" t="s">
        <v>884</v>
      </c>
      <c r="I103" s="726" t="s">
        <v>885</v>
      </c>
      <c r="J103" s="726" t="s">
        <v>886</v>
      </c>
      <c r="K103" s="726" t="s">
        <v>887</v>
      </c>
      <c r="L103" s="728">
        <v>41.140000000000022</v>
      </c>
      <c r="M103" s="728">
        <v>1</v>
      </c>
      <c r="N103" s="729">
        <v>41.140000000000022</v>
      </c>
    </row>
    <row r="104" spans="1:14" ht="14.4" customHeight="1" x14ac:dyDescent="0.3">
      <c r="A104" s="724" t="s">
        <v>552</v>
      </c>
      <c r="B104" s="725" t="s">
        <v>1679</v>
      </c>
      <c r="C104" s="726" t="s">
        <v>563</v>
      </c>
      <c r="D104" s="727" t="s">
        <v>564</v>
      </c>
      <c r="E104" s="726" t="s">
        <v>575</v>
      </c>
      <c r="F104" s="727" t="s">
        <v>1681</v>
      </c>
      <c r="G104" s="726" t="s">
        <v>583</v>
      </c>
      <c r="H104" s="726" t="s">
        <v>888</v>
      </c>
      <c r="I104" s="726" t="s">
        <v>889</v>
      </c>
      <c r="J104" s="726" t="s">
        <v>890</v>
      </c>
      <c r="K104" s="726" t="s">
        <v>891</v>
      </c>
      <c r="L104" s="728">
        <v>93.759999999999962</v>
      </c>
      <c r="M104" s="728">
        <v>1</v>
      </c>
      <c r="N104" s="729">
        <v>93.759999999999962</v>
      </c>
    </row>
    <row r="105" spans="1:14" ht="14.4" customHeight="1" x14ac:dyDescent="0.3">
      <c r="A105" s="724" t="s">
        <v>552</v>
      </c>
      <c r="B105" s="725" t="s">
        <v>1679</v>
      </c>
      <c r="C105" s="726" t="s">
        <v>563</v>
      </c>
      <c r="D105" s="727" t="s">
        <v>564</v>
      </c>
      <c r="E105" s="726" t="s">
        <v>575</v>
      </c>
      <c r="F105" s="727" t="s">
        <v>1681</v>
      </c>
      <c r="G105" s="726" t="s">
        <v>583</v>
      </c>
      <c r="H105" s="726" t="s">
        <v>625</v>
      </c>
      <c r="I105" s="726" t="s">
        <v>625</v>
      </c>
      <c r="J105" s="726" t="s">
        <v>626</v>
      </c>
      <c r="K105" s="726" t="s">
        <v>627</v>
      </c>
      <c r="L105" s="728">
        <v>36.545000000000002</v>
      </c>
      <c r="M105" s="728">
        <v>32</v>
      </c>
      <c r="N105" s="729">
        <v>1169.44</v>
      </c>
    </row>
    <row r="106" spans="1:14" ht="14.4" customHeight="1" x14ac:dyDescent="0.3">
      <c r="A106" s="724" t="s">
        <v>552</v>
      </c>
      <c r="B106" s="725" t="s">
        <v>1679</v>
      </c>
      <c r="C106" s="726" t="s">
        <v>563</v>
      </c>
      <c r="D106" s="727" t="s">
        <v>564</v>
      </c>
      <c r="E106" s="726" t="s">
        <v>575</v>
      </c>
      <c r="F106" s="727" t="s">
        <v>1681</v>
      </c>
      <c r="G106" s="726" t="s">
        <v>583</v>
      </c>
      <c r="H106" s="726" t="s">
        <v>892</v>
      </c>
      <c r="I106" s="726" t="s">
        <v>893</v>
      </c>
      <c r="J106" s="726" t="s">
        <v>894</v>
      </c>
      <c r="K106" s="726" t="s">
        <v>895</v>
      </c>
      <c r="L106" s="728">
        <v>87.480000000000018</v>
      </c>
      <c r="M106" s="728">
        <v>1</v>
      </c>
      <c r="N106" s="729">
        <v>87.480000000000018</v>
      </c>
    </row>
    <row r="107" spans="1:14" ht="14.4" customHeight="1" x14ac:dyDescent="0.3">
      <c r="A107" s="724" t="s">
        <v>552</v>
      </c>
      <c r="B107" s="725" t="s">
        <v>1679</v>
      </c>
      <c r="C107" s="726" t="s">
        <v>563</v>
      </c>
      <c r="D107" s="727" t="s">
        <v>564</v>
      </c>
      <c r="E107" s="726" t="s">
        <v>575</v>
      </c>
      <c r="F107" s="727" t="s">
        <v>1681</v>
      </c>
      <c r="G107" s="726" t="s">
        <v>583</v>
      </c>
      <c r="H107" s="726" t="s">
        <v>632</v>
      </c>
      <c r="I107" s="726" t="s">
        <v>633</v>
      </c>
      <c r="J107" s="726" t="s">
        <v>634</v>
      </c>
      <c r="K107" s="726" t="s">
        <v>635</v>
      </c>
      <c r="L107" s="728">
        <v>216.68000000000006</v>
      </c>
      <c r="M107" s="728">
        <v>3</v>
      </c>
      <c r="N107" s="729">
        <v>650.04000000000019</v>
      </c>
    </row>
    <row r="108" spans="1:14" ht="14.4" customHeight="1" x14ac:dyDescent="0.3">
      <c r="A108" s="724" t="s">
        <v>552</v>
      </c>
      <c r="B108" s="725" t="s">
        <v>1679</v>
      </c>
      <c r="C108" s="726" t="s">
        <v>563</v>
      </c>
      <c r="D108" s="727" t="s">
        <v>564</v>
      </c>
      <c r="E108" s="726" t="s">
        <v>575</v>
      </c>
      <c r="F108" s="727" t="s">
        <v>1681</v>
      </c>
      <c r="G108" s="726" t="s">
        <v>583</v>
      </c>
      <c r="H108" s="726" t="s">
        <v>636</v>
      </c>
      <c r="I108" s="726" t="s">
        <v>637</v>
      </c>
      <c r="J108" s="726" t="s">
        <v>638</v>
      </c>
      <c r="K108" s="726" t="s">
        <v>639</v>
      </c>
      <c r="L108" s="728">
        <v>54.98</v>
      </c>
      <c r="M108" s="728">
        <v>1</v>
      </c>
      <c r="N108" s="729">
        <v>54.98</v>
      </c>
    </row>
    <row r="109" spans="1:14" ht="14.4" customHeight="1" x14ac:dyDescent="0.3">
      <c r="A109" s="724" t="s">
        <v>552</v>
      </c>
      <c r="B109" s="725" t="s">
        <v>1679</v>
      </c>
      <c r="C109" s="726" t="s">
        <v>563</v>
      </c>
      <c r="D109" s="727" t="s">
        <v>564</v>
      </c>
      <c r="E109" s="726" t="s">
        <v>575</v>
      </c>
      <c r="F109" s="727" t="s">
        <v>1681</v>
      </c>
      <c r="G109" s="726" t="s">
        <v>583</v>
      </c>
      <c r="H109" s="726" t="s">
        <v>640</v>
      </c>
      <c r="I109" s="726" t="s">
        <v>641</v>
      </c>
      <c r="J109" s="726" t="s">
        <v>642</v>
      </c>
      <c r="K109" s="726" t="s">
        <v>643</v>
      </c>
      <c r="L109" s="728">
        <v>73.659999999999982</v>
      </c>
      <c r="M109" s="728">
        <v>1</v>
      </c>
      <c r="N109" s="729">
        <v>73.659999999999982</v>
      </c>
    </row>
    <row r="110" spans="1:14" ht="14.4" customHeight="1" x14ac:dyDescent="0.3">
      <c r="A110" s="724" t="s">
        <v>552</v>
      </c>
      <c r="B110" s="725" t="s">
        <v>1679</v>
      </c>
      <c r="C110" s="726" t="s">
        <v>563</v>
      </c>
      <c r="D110" s="727" t="s">
        <v>564</v>
      </c>
      <c r="E110" s="726" t="s">
        <v>575</v>
      </c>
      <c r="F110" s="727" t="s">
        <v>1681</v>
      </c>
      <c r="G110" s="726" t="s">
        <v>583</v>
      </c>
      <c r="H110" s="726" t="s">
        <v>896</v>
      </c>
      <c r="I110" s="726" t="s">
        <v>897</v>
      </c>
      <c r="J110" s="726" t="s">
        <v>898</v>
      </c>
      <c r="K110" s="726" t="s">
        <v>899</v>
      </c>
      <c r="L110" s="728">
        <v>74.220000000000013</v>
      </c>
      <c r="M110" s="728">
        <v>1</v>
      </c>
      <c r="N110" s="729">
        <v>74.220000000000013</v>
      </c>
    </row>
    <row r="111" spans="1:14" ht="14.4" customHeight="1" x14ac:dyDescent="0.3">
      <c r="A111" s="724" t="s">
        <v>552</v>
      </c>
      <c r="B111" s="725" t="s">
        <v>1679</v>
      </c>
      <c r="C111" s="726" t="s">
        <v>563</v>
      </c>
      <c r="D111" s="727" t="s">
        <v>564</v>
      </c>
      <c r="E111" s="726" t="s">
        <v>575</v>
      </c>
      <c r="F111" s="727" t="s">
        <v>1681</v>
      </c>
      <c r="G111" s="726" t="s">
        <v>583</v>
      </c>
      <c r="H111" s="726" t="s">
        <v>900</v>
      </c>
      <c r="I111" s="726" t="s">
        <v>901</v>
      </c>
      <c r="J111" s="726" t="s">
        <v>902</v>
      </c>
      <c r="K111" s="726"/>
      <c r="L111" s="728">
        <v>203.83</v>
      </c>
      <c r="M111" s="728">
        <v>2</v>
      </c>
      <c r="N111" s="729">
        <v>407.66</v>
      </c>
    </row>
    <row r="112" spans="1:14" ht="14.4" customHeight="1" x14ac:dyDescent="0.3">
      <c r="A112" s="724" t="s">
        <v>552</v>
      </c>
      <c r="B112" s="725" t="s">
        <v>1679</v>
      </c>
      <c r="C112" s="726" t="s">
        <v>563</v>
      </c>
      <c r="D112" s="727" t="s">
        <v>564</v>
      </c>
      <c r="E112" s="726" t="s">
        <v>575</v>
      </c>
      <c r="F112" s="727" t="s">
        <v>1681</v>
      </c>
      <c r="G112" s="726" t="s">
        <v>583</v>
      </c>
      <c r="H112" s="726" t="s">
        <v>903</v>
      </c>
      <c r="I112" s="726" t="s">
        <v>904</v>
      </c>
      <c r="J112" s="726" t="s">
        <v>905</v>
      </c>
      <c r="K112" s="726" t="s">
        <v>906</v>
      </c>
      <c r="L112" s="728">
        <v>117.41000000000004</v>
      </c>
      <c r="M112" s="728">
        <v>2</v>
      </c>
      <c r="N112" s="729">
        <v>234.82000000000008</v>
      </c>
    </row>
    <row r="113" spans="1:14" ht="14.4" customHeight="1" x14ac:dyDescent="0.3">
      <c r="A113" s="724" t="s">
        <v>552</v>
      </c>
      <c r="B113" s="725" t="s">
        <v>1679</v>
      </c>
      <c r="C113" s="726" t="s">
        <v>563</v>
      </c>
      <c r="D113" s="727" t="s">
        <v>564</v>
      </c>
      <c r="E113" s="726" t="s">
        <v>575</v>
      </c>
      <c r="F113" s="727" t="s">
        <v>1681</v>
      </c>
      <c r="G113" s="726" t="s">
        <v>583</v>
      </c>
      <c r="H113" s="726" t="s">
        <v>907</v>
      </c>
      <c r="I113" s="726" t="s">
        <v>908</v>
      </c>
      <c r="J113" s="726" t="s">
        <v>909</v>
      </c>
      <c r="K113" s="726" t="s">
        <v>910</v>
      </c>
      <c r="L113" s="728">
        <v>150.93082345574894</v>
      </c>
      <c r="M113" s="728">
        <v>1</v>
      </c>
      <c r="N113" s="729">
        <v>150.93082345574894</v>
      </c>
    </row>
    <row r="114" spans="1:14" ht="14.4" customHeight="1" x14ac:dyDescent="0.3">
      <c r="A114" s="724" t="s">
        <v>552</v>
      </c>
      <c r="B114" s="725" t="s">
        <v>1679</v>
      </c>
      <c r="C114" s="726" t="s">
        <v>563</v>
      </c>
      <c r="D114" s="727" t="s">
        <v>564</v>
      </c>
      <c r="E114" s="726" t="s">
        <v>575</v>
      </c>
      <c r="F114" s="727" t="s">
        <v>1681</v>
      </c>
      <c r="G114" s="726" t="s">
        <v>583</v>
      </c>
      <c r="H114" s="726" t="s">
        <v>648</v>
      </c>
      <c r="I114" s="726" t="s">
        <v>649</v>
      </c>
      <c r="J114" s="726" t="s">
        <v>650</v>
      </c>
      <c r="K114" s="726" t="s">
        <v>651</v>
      </c>
      <c r="L114" s="728">
        <v>60.139999999999986</v>
      </c>
      <c r="M114" s="728">
        <v>3</v>
      </c>
      <c r="N114" s="729">
        <v>180.41999999999996</v>
      </c>
    </row>
    <row r="115" spans="1:14" ht="14.4" customHeight="1" x14ac:dyDescent="0.3">
      <c r="A115" s="724" t="s">
        <v>552</v>
      </c>
      <c r="B115" s="725" t="s">
        <v>1679</v>
      </c>
      <c r="C115" s="726" t="s">
        <v>563</v>
      </c>
      <c r="D115" s="727" t="s">
        <v>564</v>
      </c>
      <c r="E115" s="726" t="s">
        <v>575</v>
      </c>
      <c r="F115" s="727" t="s">
        <v>1681</v>
      </c>
      <c r="G115" s="726" t="s">
        <v>583</v>
      </c>
      <c r="H115" s="726" t="s">
        <v>911</v>
      </c>
      <c r="I115" s="726" t="s">
        <v>912</v>
      </c>
      <c r="J115" s="726" t="s">
        <v>913</v>
      </c>
      <c r="K115" s="726" t="s">
        <v>914</v>
      </c>
      <c r="L115" s="728">
        <v>142.43000000000004</v>
      </c>
      <c r="M115" s="728">
        <v>4</v>
      </c>
      <c r="N115" s="729">
        <v>569.72000000000014</v>
      </c>
    </row>
    <row r="116" spans="1:14" ht="14.4" customHeight="1" x14ac:dyDescent="0.3">
      <c r="A116" s="724" t="s">
        <v>552</v>
      </c>
      <c r="B116" s="725" t="s">
        <v>1679</v>
      </c>
      <c r="C116" s="726" t="s">
        <v>563</v>
      </c>
      <c r="D116" s="727" t="s">
        <v>564</v>
      </c>
      <c r="E116" s="726" t="s">
        <v>575</v>
      </c>
      <c r="F116" s="727" t="s">
        <v>1681</v>
      </c>
      <c r="G116" s="726" t="s">
        <v>583</v>
      </c>
      <c r="H116" s="726" t="s">
        <v>915</v>
      </c>
      <c r="I116" s="726" t="s">
        <v>916</v>
      </c>
      <c r="J116" s="726" t="s">
        <v>917</v>
      </c>
      <c r="K116" s="726" t="s">
        <v>918</v>
      </c>
      <c r="L116" s="728">
        <v>79.28</v>
      </c>
      <c r="M116" s="728">
        <v>5</v>
      </c>
      <c r="N116" s="729">
        <v>396.4</v>
      </c>
    </row>
    <row r="117" spans="1:14" ht="14.4" customHeight="1" x14ac:dyDescent="0.3">
      <c r="A117" s="724" t="s">
        <v>552</v>
      </c>
      <c r="B117" s="725" t="s">
        <v>1679</v>
      </c>
      <c r="C117" s="726" t="s">
        <v>563</v>
      </c>
      <c r="D117" s="727" t="s">
        <v>564</v>
      </c>
      <c r="E117" s="726" t="s">
        <v>575</v>
      </c>
      <c r="F117" s="727" t="s">
        <v>1681</v>
      </c>
      <c r="G117" s="726" t="s">
        <v>583</v>
      </c>
      <c r="H117" s="726" t="s">
        <v>919</v>
      </c>
      <c r="I117" s="726" t="s">
        <v>920</v>
      </c>
      <c r="J117" s="726" t="s">
        <v>882</v>
      </c>
      <c r="K117" s="726" t="s">
        <v>921</v>
      </c>
      <c r="L117" s="728">
        <v>44.96999999999997</v>
      </c>
      <c r="M117" s="728">
        <v>3</v>
      </c>
      <c r="N117" s="729">
        <v>134.90999999999991</v>
      </c>
    </row>
    <row r="118" spans="1:14" ht="14.4" customHeight="1" x14ac:dyDescent="0.3">
      <c r="A118" s="724" t="s">
        <v>552</v>
      </c>
      <c r="B118" s="725" t="s">
        <v>1679</v>
      </c>
      <c r="C118" s="726" t="s">
        <v>563</v>
      </c>
      <c r="D118" s="727" t="s">
        <v>564</v>
      </c>
      <c r="E118" s="726" t="s">
        <v>575</v>
      </c>
      <c r="F118" s="727" t="s">
        <v>1681</v>
      </c>
      <c r="G118" s="726" t="s">
        <v>583</v>
      </c>
      <c r="H118" s="726" t="s">
        <v>652</v>
      </c>
      <c r="I118" s="726" t="s">
        <v>653</v>
      </c>
      <c r="J118" s="726" t="s">
        <v>654</v>
      </c>
      <c r="K118" s="726" t="s">
        <v>655</v>
      </c>
      <c r="L118" s="728">
        <v>47.650000000000006</v>
      </c>
      <c r="M118" s="728">
        <v>1</v>
      </c>
      <c r="N118" s="729">
        <v>47.650000000000006</v>
      </c>
    </row>
    <row r="119" spans="1:14" ht="14.4" customHeight="1" x14ac:dyDescent="0.3">
      <c r="A119" s="724" t="s">
        <v>552</v>
      </c>
      <c r="B119" s="725" t="s">
        <v>1679</v>
      </c>
      <c r="C119" s="726" t="s">
        <v>563</v>
      </c>
      <c r="D119" s="727" t="s">
        <v>564</v>
      </c>
      <c r="E119" s="726" t="s">
        <v>575</v>
      </c>
      <c r="F119" s="727" t="s">
        <v>1681</v>
      </c>
      <c r="G119" s="726" t="s">
        <v>583</v>
      </c>
      <c r="H119" s="726" t="s">
        <v>922</v>
      </c>
      <c r="I119" s="726" t="s">
        <v>923</v>
      </c>
      <c r="J119" s="726" t="s">
        <v>654</v>
      </c>
      <c r="K119" s="726" t="s">
        <v>924</v>
      </c>
      <c r="L119" s="728">
        <v>210.02</v>
      </c>
      <c r="M119" s="728">
        <v>1</v>
      </c>
      <c r="N119" s="729">
        <v>210.02</v>
      </c>
    </row>
    <row r="120" spans="1:14" ht="14.4" customHeight="1" x14ac:dyDescent="0.3">
      <c r="A120" s="724" t="s">
        <v>552</v>
      </c>
      <c r="B120" s="725" t="s">
        <v>1679</v>
      </c>
      <c r="C120" s="726" t="s">
        <v>563</v>
      </c>
      <c r="D120" s="727" t="s">
        <v>564</v>
      </c>
      <c r="E120" s="726" t="s">
        <v>575</v>
      </c>
      <c r="F120" s="727" t="s">
        <v>1681</v>
      </c>
      <c r="G120" s="726" t="s">
        <v>583</v>
      </c>
      <c r="H120" s="726" t="s">
        <v>925</v>
      </c>
      <c r="I120" s="726" t="s">
        <v>926</v>
      </c>
      <c r="J120" s="726" t="s">
        <v>927</v>
      </c>
      <c r="K120" s="726" t="s">
        <v>809</v>
      </c>
      <c r="L120" s="728">
        <v>39.28999955435382</v>
      </c>
      <c r="M120" s="728">
        <v>1</v>
      </c>
      <c r="N120" s="729">
        <v>39.28999955435382</v>
      </c>
    </row>
    <row r="121" spans="1:14" ht="14.4" customHeight="1" x14ac:dyDescent="0.3">
      <c r="A121" s="724" t="s">
        <v>552</v>
      </c>
      <c r="B121" s="725" t="s">
        <v>1679</v>
      </c>
      <c r="C121" s="726" t="s">
        <v>563</v>
      </c>
      <c r="D121" s="727" t="s">
        <v>564</v>
      </c>
      <c r="E121" s="726" t="s">
        <v>575</v>
      </c>
      <c r="F121" s="727" t="s">
        <v>1681</v>
      </c>
      <c r="G121" s="726" t="s">
        <v>583</v>
      </c>
      <c r="H121" s="726" t="s">
        <v>928</v>
      </c>
      <c r="I121" s="726" t="s">
        <v>715</v>
      </c>
      <c r="J121" s="726" t="s">
        <v>929</v>
      </c>
      <c r="K121" s="726"/>
      <c r="L121" s="728">
        <v>218.2</v>
      </c>
      <c r="M121" s="728">
        <v>1</v>
      </c>
      <c r="N121" s="729">
        <v>218.2</v>
      </c>
    </row>
    <row r="122" spans="1:14" ht="14.4" customHeight="1" x14ac:dyDescent="0.3">
      <c r="A122" s="724" t="s">
        <v>552</v>
      </c>
      <c r="B122" s="725" t="s">
        <v>1679</v>
      </c>
      <c r="C122" s="726" t="s">
        <v>563</v>
      </c>
      <c r="D122" s="727" t="s">
        <v>564</v>
      </c>
      <c r="E122" s="726" t="s">
        <v>575</v>
      </c>
      <c r="F122" s="727" t="s">
        <v>1681</v>
      </c>
      <c r="G122" s="726" t="s">
        <v>583</v>
      </c>
      <c r="H122" s="726" t="s">
        <v>660</v>
      </c>
      <c r="I122" s="726" t="s">
        <v>661</v>
      </c>
      <c r="J122" s="726" t="s">
        <v>662</v>
      </c>
      <c r="K122" s="726" t="s">
        <v>663</v>
      </c>
      <c r="L122" s="728">
        <v>67.389999999999986</v>
      </c>
      <c r="M122" s="728">
        <v>5</v>
      </c>
      <c r="N122" s="729">
        <v>336.94999999999993</v>
      </c>
    </row>
    <row r="123" spans="1:14" ht="14.4" customHeight="1" x14ac:dyDescent="0.3">
      <c r="A123" s="724" t="s">
        <v>552</v>
      </c>
      <c r="B123" s="725" t="s">
        <v>1679</v>
      </c>
      <c r="C123" s="726" t="s">
        <v>563</v>
      </c>
      <c r="D123" s="727" t="s">
        <v>564</v>
      </c>
      <c r="E123" s="726" t="s">
        <v>575</v>
      </c>
      <c r="F123" s="727" t="s">
        <v>1681</v>
      </c>
      <c r="G123" s="726" t="s">
        <v>583</v>
      </c>
      <c r="H123" s="726" t="s">
        <v>930</v>
      </c>
      <c r="I123" s="726" t="s">
        <v>931</v>
      </c>
      <c r="J123" s="726" t="s">
        <v>932</v>
      </c>
      <c r="K123" s="726" t="s">
        <v>933</v>
      </c>
      <c r="L123" s="728">
        <v>134.21000000000006</v>
      </c>
      <c r="M123" s="728">
        <v>1</v>
      </c>
      <c r="N123" s="729">
        <v>134.21000000000006</v>
      </c>
    </row>
    <row r="124" spans="1:14" ht="14.4" customHeight="1" x14ac:dyDescent="0.3">
      <c r="A124" s="724" t="s">
        <v>552</v>
      </c>
      <c r="B124" s="725" t="s">
        <v>1679</v>
      </c>
      <c r="C124" s="726" t="s">
        <v>563</v>
      </c>
      <c r="D124" s="727" t="s">
        <v>564</v>
      </c>
      <c r="E124" s="726" t="s">
        <v>575</v>
      </c>
      <c r="F124" s="727" t="s">
        <v>1681</v>
      </c>
      <c r="G124" s="726" t="s">
        <v>583</v>
      </c>
      <c r="H124" s="726" t="s">
        <v>934</v>
      </c>
      <c r="I124" s="726" t="s">
        <v>935</v>
      </c>
      <c r="J124" s="726" t="s">
        <v>936</v>
      </c>
      <c r="K124" s="726" t="s">
        <v>937</v>
      </c>
      <c r="L124" s="728">
        <v>68.549999999999983</v>
      </c>
      <c r="M124" s="728">
        <v>2</v>
      </c>
      <c r="N124" s="729">
        <v>137.09999999999997</v>
      </c>
    </row>
    <row r="125" spans="1:14" ht="14.4" customHeight="1" x14ac:dyDescent="0.3">
      <c r="A125" s="724" t="s">
        <v>552</v>
      </c>
      <c r="B125" s="725" t="s">
        <v>1679</v>
      </c>
      <c r="C125" s="726" t="s">
        <v>563</v>
      </c>
      <c r="D125" s="727" t="s">
        <v>564</v>
      </c>
      <c r="E125" s="726" t="s">
        <v>575</v>
      </c>
      <c r="F125" s="727" t="s">
        <v>1681</v>
      </c>
      <c r="G125" s="726" t="s">
        <v>583</v>
      </c>
      <c r="H125" s="726" t="s">
        <v>938</v>
      </c>
      <c r="I125" s="726" t="s">
        <v>939</v>
      </c>
      <c r="J125" s="726" t="s">
        <v>940</v>
      </c>
      <c r="K125" s="726" t="s">
        <v>809</v>
      </c>
      <c r="L125" s="728">
        <v>82.47</v>
      </c>
      <c r="M125" s="728">
        <v>1</v>
      </c>
      <c r="N125" s="729">
        <v>82.47</v>
      </c>
    </row>
    <row r="126" spans="1:14" ht="14.4" customHeight="1" x14ac:dyDescent="0.3">
      <c r="A126" s="724" t="s">
        <v>552</v>
      </c>
      <c r="B126" s="725" t="s">
        <v>1679</v>
      </c>
      <c r="C126" s="726" t="s">
        <v>563</v>
      </c>
      <c r="D126" s="727" t="s">
        <v>564</v>
      </c>
      <c r="E126" s="726" t="s">
        <v>575</v>
      </c>
      <c r="F126" s="727" t="s">
        <v>1681</v>
      </c>
      <c r="G126" s="726" t="s">
        <v>583</v>
      </c>
      <c r="H126" s="726" t="s">
        <v>941</v>
      </c>
      <c r="I126" s="726" t="s">
        <v>942</v>
      </c>
      <c r="J126" s="726" t="s">
        <v>773</v>
      </c>
      <c r="K126" s="726" t="s">
        <v>943</v>
      </c>
      <c r="L126" s="728">
        <v>257.18</v>
      </c>
      <c r="M126" s="728">
        <v>2</v>
      </c>
      <c r="N126" s="729">
        <v>514.36</v>
      </c>
    </row>
    <row r="127" spans="1:14" ht="14.4" customHeight="1" x14ac:dyDescent="0.3">
      <c r="A127" s="724" t="s">
        <v>552</v>
      </c>
      <c r="B127" s="725" t="s">
        <v>1679</v>
      </c>
      <c r="C127" s="726" t="s">
        <v>563</v>
      </c>
      <c r="D127" s="727" t="s">
        <v>564</v>
      </c>
      <c r="E127" s="726" t="s">
        <v>575</v>
      </c>
      <c r="F127" s="727" t="s">
        <v>1681</v>
      </c>
      <c r="G127" s="726" t="s">
        <v>583</v>
      </c>
      <c r="H127" s="726" t="s">
        <v>672</v>
      </c>
      <c r="I127" s="726" t="s">
        <v>673</v>
      </c>
      <c r="J127" s="726" t="s">
        <v>670</v>
      </c>
      <c r="K127" s="726" t="s">
        <v>674</v>
      </c>
      <c r="L127" s="728">
        <v>28.409969586782779</v>
      </c>
      <c r="M127" s="728">
        <v>2</v>
      </c>
      <c r="N127" s="729">
        <v>56.819939173565558</v>
      </c>
    </row>
    <row r="128" spans="1:14" ht="14.4" customHeight="1" x14ac:dyDescent="0.3">
      <c r="A128" s="724" t="s">
        <v>552</v>
      </c>
      <c r="B128" s="725" t="s">
        <v>1679</v>
      </c>
      <c r="C128" s="726" t="s">
        <v>563</v>
      </c>
      <c r="D128" s="727" t="s">
        <v>564</v>
      </c>
      <c r="E128" s="726" t="s">
        <v>575</v>
      </c>
      <c r="F128" s="727" t="s">
        <v>1681</v>
      </c>
      <c r="G128" s="726" t="s">
        <v>583</v>
      </c>
      <c r="H128" s="726" t="s">
        <v>944</v>
      </c>
      <c r="I128" s="726" t="s">
        <v>945</v>
      </c>
      <c r="J128" s="726" t="s">
        <v>946</v>
      </c>
      <c r="K128" s="726" t="s">
        <v>947</v>
      </c>
      <c r="L128" s="728">
        <v>175.03915422967597</v>
      </c>
      <c r="M128" s="728">
        <v>2</v>
      </c>
      <c r="N128" s="729">
        <v>350.07830845935194</v>
      </c>
    </row>
    <row r="129" spans="1:14" ht="14.4" customHeight="1" x14ac:dyDescent="0.3">
      <c r="A129" s="724" t="s">
        <v>552</v>
      </c>
      <c r="B129" s="725" t="s">
        <v>1679</v>
      </c>
      <c r="C129" s="726" t="s">
        <v>563</v>
      </c>
      <c r="D129" s="727" t="s">
        <v>564</v>
      </c>
      <c r="E129" s="726" t="s">
        <v>575</v>
      </c>
      <c r="F129" s="727" t="s">
        <v>1681</v>
      </c>
      <c r="G129" s="726" t="s">
        <v>583</v>
      </c>
      <c r="H129" s="726" t="s">
        <v>948</v>
      </c>
      <c r="I129" s="726" t="s">
        <v>949</v>
      </c>
      <c r="J129" s="726" t="s">
        <v>950</v>
      </c>
      <c r="K129" s="726" t="s">
        <v>951</v>
      </c>
      <c r="L129" s="728">
        <v>666.52181822608429</v>
      </c>
      <c r="M129" s="728">
        <v>2</v>
      </c>
      <c r="N129" s="729">
        <v>1333.0436364521686</v>
      </c>
    </row>
    <row r="130" spans="1:14" ht="14.4" customHeight="1" x14ac:dyDescent="0.3">
      <c r="A130" s="724" t="s">
        <v>552</v>
      </c>
      <c r="B130" s="725" t="s">
        <v>1679</v>
      </c>
      <c r="C130" s="726" t="s">
        <v>563</v>
      </c>
      <c r="D130" s="727" t="s">
        <v>564</v>
      </c>
      <c r="E130" s="726" t="s">
        <v>575</v>
      </c>
      <c r="F130" s="727" t="s">
        <v>1681</v>
      </c>
      <c r="G130" s="726" t="s">
        <v>583</v>
      </c>
      <c r="H130" s="726" t="s">
        <v>683</v>
      </c>
      <c r="I130" s="726" t="s">
        <v>684</v>
      </c>
      <c r="J130" s="726" t="s">
        <v>685</v>
      </c>
      <c r="K130" s="726" t="s">
        <v>686</v>
      </c>
      <c r="L130" s="728">
        <v>241.99999984893367</v>
      </c>
      <c r="M130" s="728">
        <v>8</v>
      </c>
      <c r="N130" s="729">
        <v>1935.9999987914694</v>
      </c>
    </row>
    <row r="131" spans="1:14" ht="14.4" customHeight="1" x14ac:dyDescent="0.3">
      <c r="A131" s="724" t="s">
        <v>552</v>
      </c>
      <c r="B131" s="725" t="s">
        <v>1679</v>
      </c>
      <c r="C131" s="726" t="s">
        <v>563</v>
      </c>
      <c r="D131" s="727" t="s">
        <v>564</v>
      </c>
      <c r="E131" s="726" t="s">
        <v>575</v>
      </c>
      <c r="F131" s="727" t="s">
        <v>1681</v>
      </c>
      <c r="G131" s="726" t="s">
        <v>583</v>
      </c>
      <c r="H131" s="726" t="s">
        <v>952</v>
      </c>
      <c r="I131" s="726" t="s">
        <v>953</v>
      </c>
      <c r="J131" s="726" t="s">
        <v>954</v>
      </c>
      <c r="K131" s="726" t="s">
        <v>955</v>
      </c>
      <c r="L131" s="728">
        <v>188.87999999999997</v>
      </c>
      <c r="M131" s="728">
        <v>1</v>
      </c>
      <c r="N131" s="729">
        <v>188.87999999999997</v>
      </c>
    </row>
    <row r="132" spans="1:14" ht="14.4" customHeight="1" x14ac:dyDescent="0.3">
      <c r="A132" s="724" t="s">
        <v>552</v>
      </c>
      <c r="B132" s="725" t="s">
        <v>1679</v>
      </c>
      <c r="C132" s="726" t="s">
        <v>563</v>
      </c>
      <c r="D132" s="727" t="s">
        <v>564</v>
      </c>
      <c r="E132" s="726" t="s">
        <v>575</v>
      </c>
      <c r="F132" s="727" t="s">
        <v>1681</v>
      </c>
      <c r="G132" s="726" t="s">
        <v>583</v>
      </c>
      <c r="H132" s="726" t="s">
        <v>956</v>
      </c>
      <c r="I132" s="726" t="s">
        <v>957</v>
      </c>
      <c r="J132" s="726" t="s">
        <v>958</v>
      </c>
      <c r="K132" s="726" t="s">
        <v>959</v>
      </c>
      <c r="L132" s="728">
        <v>75.689999999999984</v>
      </c>
      <c r="M132" s="728">
        <v>1</v>
      </c>
      <c r="N132" s="729">
        <v>75.689999999999984</v>
      </c>
    </row>
    <row r="133" spans="1:14" ht="14.4" customHeight="1" x14ac:dyDescent="0.3">
      <c r="A133" s="724" t="s">
        <v>552</v>
      </c>
      <c r="B133" s="725" t="s">
        <v>1679</v>
      </c>
      <c r="C133" s="726" t="s">
        <v>563</v>
      </c>
      <c r="D133" s="727" t="s">
        <v>564</v>
      </c>
      <c r="E133" s="726" t="s">
        <v>575</v>
      </c>
      <c r="F133" s="727" t="s">
        <v>1681</v>
      </c>
      <c r="G133" s="726" t="s">
        <v>583</v>
      </c>
      <c r="H133" s="726" t="s">
        <v>960</v>
      </c>
      <c r="I133" s="726" t="s">
        <v>961</v>
      </c>
      <c r="J133" s="726" t="s">
        <v>962</v>
      </c>
      <c r="K133" s="726" t="s">
        <v>963</v>
      </c>
      <c r="L133" s="728">
        <v>69.720000000000013</v>
      </c>
      <c r="M133" s="728">
        <v>3</v>
      </c>
      <c r="N133" s="729">
        <v>209.16000000000003</v>
      </c>
    </row>
    <row r="134" spans="1:14" ht="14.4" customHeight="1" x14ac:dyDescent="0.3">
      <c r="A134" s="724" t="s">
        <v>552</v>
      </c>
      <c r="B134" s="725" t="s">
        <v>1679</v>
      </c>
      <c r="C134" s="726" t="s">
        <v>563</v>
      </c>
      <c r="D134" s="727" t="s">
        <v>564</v>
      </c>
      <c r="E134" s="726" t="s">
        <v>575</v>
      </c>
      <c r="F134" s="727" t="s">
        <v>1681</v>
      </c>
      <c r="G134" s="726" t="s">
        <v>583</v>
      </c>
      <c r="H134" s="726" t="s">
        <v>964</v>
      </c>
      <c r="I134" s="726" t="s">
        <v>965</v>
      </c>
      <c r="J134" s="726" t="s">
        <v>966</v>
      </c>
      <c r="K134" s="726" t="s">
        <v>613</v>
      </c>
      <c r="L134" s="728">
        <v>44.22999999999999</v>
      </c>
      <c r="M134" s="728">
        <v>2</v>
      </c>
      <c r="N134" s="729">
        <v>88.45999999999998</v>
      </c>
    </row>
    <row r="135" spans="1:14" ht="14.4" customHeight="1" x14ac:dyDescent="0.3">
      <c r="A135" s="724" t="s">
        <v>552</v>
      </c>
      <c r="B135" s="725" t="s">
        <v>1679</v>
      </c>
      <c r="C135" s="726" t="s">
        <v>563</v>
      </c>
      <c r="D135" s="727" t="s">
        <v>564</v>
      </c>
      <c r="E135" s="726" t="s">
        <v>575</v>
      </c>
      <c r="F135" s="727" t="s">
        <v>1681</v>
      </c>
      <c r="G135" s="726" t="s">
        <v>583</v>
      </c>
      <c r="H135" s="726" t="s">
        <v>695</v>
      </c>
      <c r="I135" s="726" t="s">
        <v>696</v>
      </c>
      <c r="J135" s="726" t="s">
        <v>697</v>
      </c>
      <c r="K135" s="726" t="s">
        <v>698</v>
      </c>
      <c r="L135" s="728">
        <v>290.5</v>
      </c>
      <c r="M135" s="728">
        <v>2</v>
      </c>
      <c r="N135" s="729">
        <v>581</v>
      </c>
    </row>
    <row r="136" spans="1:14" ht="14.4" customHeight="1" x14ac:dyDescent="0.3">
      <c r="A136" s="724" t="s">
        <v>552</v>
      </c>
      <c r="B136" s="725" t="s">
        <v>1679</v>
      </c>
      <c r="C136" s="726" t="s">
        <v>563</v>
      </c>
      <c r="D136" s="727" t="s">
        <v>564</v>
      </c>
      <c r="E136" s="726" t="s">
        <v>575</v>
      </c>
      <c r="F136" s="727" t="s">
        <v>1681</v>
      </c>
      <c r="G136" s="726" t="s">
        <v>583</v>
      </c>
      <c r="H136" s="726" t="s">
        <v>699</v>
      </c>
      <c r="I136" s="726" t="s">
        <v>700</v>
      </c>
      <c r="J136" s="726" t="s">
        <v>701</v>
      </c>
      <c r="K136" s="726" t="s">
        <v>702</v>
      </c>
      <c r="L136" s="728">
        <v>46.2</v>
      </c>
      <c r="M136" s="728">
        <v>1</v>
      </c>
      <c r="N136" s="729">
        <v>46.2</v>
      </c>
    </row>
    <row r="137" spans="1:14" ht="14.4" customHeight="1" x14ac:dyDescent="0.3">
      <c r="A137" s="724" t="s">
        <v>552</v>
      </c>
      <c r="B137" s="725" t="s">
        <v>1679</v>
      </c>
      <c r="C137" s="726" t="s">
        <v>563</v>
      </c>
      <c r="D137" s="727" t="s">
        <v>564</v>
      </c>
      <c r="E137" s="726" t="s">
        <v>575</v>
      </c>
      <c r="F137" s="727" t="s">
        <v>1681</v>
      </c>
      <c r="G137" s="726" t="s">
        <v>583</v>
      </c>
      <c r="H137" s="726" t="s">
        <v>703</v>
      </c>
      <c r="I137" s="726" t="s">
        <v>704</v>
      </c>
      <c r="J137" s="726" t="s">
        <v>705</v>
      </c>
      <c r="K137" s="726" t="s">
        <v>620</v>
      </c>
      <c r="L137" s="728">
        <v>105.49000000000001</v>
      </c>
      <c r="M137" s="728">
        <v>1</v>
      </c>
      <c r="N137" s="729">
        <v>105.49000000000001</v>
      </c>
    </row>
    <row r="138" spans="1:14" ht="14.4" customHeight="1" x14ac:dyDescent="0.3">
      <c r="A138" s="724" t="s">
        <v>552</v>
      </c>
      <c r="B138" s="725" t="s">
        <v>1679</v>
      </c>
      <c r="C138" s="726" t="s">
        <v>563</v>
      </c>
      <c r="D138" s="727" t="s">
        <v>564</v>
      </c>
      <c r="E138" s="726" t="s">
        <v>575</v>
      </c>
      <c r="F138" s="727" t="s">
        <v>1681</v>
      </c>
      <c r="G138" s="726" t="s">
        <v>583</v>
      </c>
      <c r="H138" s="726" t="s">
        <v>706</v>
      </c>
      <c r="I138" s="726" t="s">
        <v>707</v>
      </c>
      <c r="J138" s="726" t="s">
        <v>708</v>
      </c>
      <c r="K138" s="726" t="s">
        <v>709</v>
      </c>
      <c r="L138" s="728">
        <v>111.52</v>
      </c>
      <c r="M138" s="728">
        <v>30</v>
      </c>
      <c r="N138" s="729">
        <v>3345.6</v>
      </c>
    </row>
    <row r="139" spans="1:14" ht="14.4" customHeight="1" x14ac:dyDescent="0.3">
      <c r="A139" s="724" t="s">
        <v>552</v>
      </c>
      <c r="B139" s="725" t="s">
        <v>1679</v>
      </c>
      <c r="C139" s="726" t="s">
        <v>563</v>
      </c>
      <c r="D139" s="727" t="s">
        <v>564</v>
      </c>
      <c r="E139" s="726" t="s">
        <v>575</v>
      </c>
      <c r="F139" s="727" t="s">
        <v>1681</v>
      </c>
      <c r="G139" s="726" t="s">
        <v>583</v>
      </c>
      <c r="H139" s="726" t="s">
        <v>967</v>
      </c>
      <c r="I139" s="726" t="s">
        <v>968</v>
      </c>
      <c r="J139" s="726" t="s">
        <v>969</v>
      </c>
      <c r="K139" s="726" t="s">
        <v>970</v>
      </c>
      <c r="L139" s="728">
        <v>48.580000000000013</v>
      </c>
      <c r="M139" s="728">
        <v>1</v>
      </c>
      <c r="N139" s="729">
        <v>48.580000000000013</v>
      </c>
    </row>
    <row r="140" spans="1:14" ht="14.4" customHeight="1" x14ac:dyDescent="0.3">
      <c r="A140" s="724" t="s">
        <v>552</v>
      </c>
      <c r="B140" s="725" t="s">
        <v>1679</v>
      </c>
      <c r="C140" s="726" t="s">
        <v>563</v>
      </c>
      <c r="D140" s="727" t="s">
        <v>564</v>
      </c>
      <c r="E140" s="726" t="s">
        <v>575</v>
      </c>
      <c r="F140" s="727" t="s">
        <v>1681</v>
      </c>
      <c r="G140" s="726" t="s">
        <v>583</v>
      </c>
      <c r="H140" s="726" t="s">
        <v>971</v>
      </c>
      <c r="I140" s="726" t="s">
        <v>972</v>
      </c>
      <c r="J140" s="726" t="s">
        <v>973</v>
      </c>
      <c r="K140" s="726" t="s">
        <v>974</v>
      </c>
      <c r="L140" s="728">
        <v>63.4</v>
      </c>
      <c r="M140" s="728">
        <v>1</v>
      </c>
      <c r="N140" s="729">
        <v>63.4</v>
      </c>
    </row>
    <row r="141" spans="1:14" ht="14.4" customHeight="1" x14ac:dyDescent="0.3">
      <c r="A141" s="724" t="s">
        <v>552</v>
      </c>
      <c r="B141" s="725" t="s">
        <v>1679</v>
      </c>
      <c r="C141" s="726" t="s">
        <v>563</v>
      </c>
      <c r="D141" s="727" t="s">
        <v>564</v>
      </c>
      <c r="E141" s="726" t="s">
        <v>575</v>
      </c>
      <c r="F141" s="727" t="s">
        <v>1681</v>
      </c>
      <c r="G141" s="726" t="s">
        <v>583</v>
      </c>
      <c r="H141" s="726" t="s">
        <v>975</v>
      </c>
      <c r="I141" s="726" t="s">
        <v>976</v>
      </c>
      <c r="J141" s="726" t="s">
        <v>977</v>
      </c>
      <c r="K141" s="726" t="s">
        <v>978</v>
      </c>
      <c r="L141" s="728">
        <v>33.679999999999993</v>
      </c>
      <c r="M141" s="728">
        <v>50</v>
      </c>
      <c r="N141" s="729">
        <v>1683.9999999999998</v>
      </c>
    </row>
    <row r="142" spans="1:14" ht="14.4" customHeight="1" x14ac:dyDescent="0.3">
      <c r="A142" s="724" t="s">
        <v>552</v>
      </c>
      <c r="B142" s="725" t="s">
        <v>1679</v>
      </c>
      <c r="C142" s="726" t="s">
        <v>563</v>
      </c>
      <c r="D142" s="727" t="s">
        <v>564</v>
      </c>
      <c r="E142" s="726" t="s">
        <v>575</v>
      </c>
      <c r="F142" s="727" t="s">
        <v>1681</v>
      </c>
      <c r="G142" s="726" t="s">
        <v>583</v>
      </c>
      <c r="H142" s="726" t="s">
        <v>979</v>
      </c>
      <c r="I142" s="726" t="s">
        <v>980</v>
      </c>
      <c r="J142" s="726" t="s">
        <v>981</v>
      </c>
      <c r="K142" s="726" t="s">
        <v>982</v>
      </c>
      <c r="L142" s="728">
        <v>839.41999999999962</v>
      </c>
      <c r="M142" s="728">
        <v>1</v>
      </c>
      <c r="N142" s="729">
        <v>839.41999999999962</v>
      </c>
    </row>
    <row r="143" spans="1:14" ht="14.4" customHeight="1" x14ac:dyDescent="0.3">
      <c r="A143" s="724" t="s">
        <v>552</v>
      </c>
      <c r="B143" s="725" t="s">
        <v>1679</v>
      </c>
      <c r="C143" s="726" t="s">
        <v>563</v>
      </c>
      <c r="D143" s="727" t="s">
        <v>564</v>
      </c>
      <c r="E143" s="726" t="s">
        <v>575</v>
      </c>
      <c r="F143" s="727" t="s">
        <v>1681</v>
      </c>
      <c r="G143" s="726" t="s">
        <v>583</v>
      </c>
      <c r="H143" s="726" t="s">
        <v>737</v>
      </c>
      <c r="I143" s="726" t="s">
        <v>715</v>
      </c>
      <c r="J143" s="726" t="s">
        <v>738</v>
      </c>
      <c r="K143" s="726"/>
      <c r="L143" s="728">
        <v>377.295194677908</v>
      </c>
      <c r="M143" s="728">
        <v>4</v>
      </c>
      <c r="N143" s="729">
        <v>1509.180778711632</v>
      </c>
    </row>
    <row r="144" spans="1:14" ht="14.4" customHeight="1" x14ac:dyDescent="0.3">
      <c r="A144" s="724" t="s">
        <v>552</v>
      </c>
      <c r="B144" s="725" t="s">
        <v>1679</v>
      </c>
      <c r="C144" s="726" t="s">
        <v>563</v>
      </c>
      <c r="D144" s="727" t="s">
        <v>564</v>
      </c>
      <c r="E144" s="726" t="s">
        <v>575</v>
      </c>
      <c r="F144" s="727" t="s">
        <v>1681</v>
      </c>
      <c r="G144" s="726" t="s">
        <v>583</v>
      </c>
      <c r="H144" s="726" t="s">
        <v>983</v>
      </c>
      <c r="I144" s="726" t="s">
        <v>715</v>
      </c>
      <c r="J144" s="726" t="s">
        <v>984</v>
      </c>
      <c r="K144" s="726"/>
      <c r="L144" s="728">
        <v>53.460548649553928</v>
      </c>
      <c r="M144" s="728">
        <v>18</v>
      </c>
      <c r="N144" s="729">
        <v>962.28987569197068</v>
      </c>
    </row>
    <row r="145" spans="1:14" ht="14.4" customHeight="1" x14ac:dyDescent="0.3">
      <c r="A145" s="724" t="s">
        <v>552</v>
      </c>
      <c r="B145" s="725" t="s">
        <v>1679</v>
      </c>
      <c r="C145" s="726" t="s">
        <v>563</v>
      </c>
      <c r="D145" s="727" t="s">
        <v>564</v>
      </c>
      <c r="E145" s="726" t="s">
        <v>575</v>
      </c>
      <c r="F145" s="727" t="s">
        <v>1681</v>
      </c>
      <c r="G145" s="726" t="s">
        <v>583</v>
      </c>
      <c r="H145" s="726" t="s">
        <v>985</v>
      </c>
      <c r="I145" s="726" t="s">
        <v>715</v>
      </c>
      <c r="J145" s="726" t="s">
        <v>986</v>
      </c>
      <c r="K145" s="726"/>
      <c r="L145" s="728">
        <v>414.0891374453422</v>
      </c>
      <c r="M145" s="728">
        <v>2</v>
      </c>
      <c r="N145" s="729">
        <v>828.17827489068441</v>
      </c>
    </row>
    <row r="146" spans="1:14" ht="14.4" customHeight="1" x14ac:dyDescent="0.3">
      <c r="A146" s="724" t="s">
        <v>552</v>
      </c>
      <c r="B146" s="725" t="s">
        <v>1679</v>
      </c>
      <c r="C146" s="726" t="s">
        <v>563</v>
      </c>
      <c r="D146" s="727" t="s">
        <v>564</v>
      </c>
      <c r="E146" s="726" t="s">
        <v>575</v>
      </c>
      <c r="F146" s="727" t="s">
        <v>1681</v>
      </c>
      <c r="G146" s="726" t="s">
        <v>583</v>
      </c>
      <c r="H146" s="726" t="s">
        <v>987</v>
      </c>
      <c r="I146" s="726" t="s">
        <v>987</v>
      </c>
      <c r="J146" s="726" t="s">
        <v>988</v>
      </c>
      <c r="K146" s="726" t="s">
        <v>989</v>
      </c>
      <c r="L146" s="728">
        <v>24.719283921730369</v>
      </c>
      <c r="M146" s="728">
        <v>1</v>
      </c>
      <c r="N146" s="729">
        <v>24.719283921730369</v>
      </c>
    </row>
    <row r="147" spans="1:14" ht="14.4" customHeight="1" x14ac:dyDescent="0.3">
      <c r="A147" s="724" t="s">
        <v>552</v>
      </c>
      <c r="B147" s="725" t="s">
        <v>1679</v>
      </c>
      <c r="C147" s="726" t="s">
        <v>563</v>
      </c>
      <c r="D147" s="727" t="s">
        <v>564</v>
      </c>
      <c r="E147" s="726" t="s">
        <v>575</v>
      </c>
      <c r="F147" s="727" t="s">
        <v>1681</v>
      </c>
      <c r="G147" s="726" t="s">
        <v>583</v>
      </c>
      <c r="H147" s="726" t="s">
        <v>750</v>
      </c>
      <c r="I147" s="726" t="s">
        <v>750</v>
      </c>
      <c r="J147" s="726" t="s">
        <v>662</v>
      </c>
      <c r="K147" s="726" t="s">
        <v>751</v>
      </c>
      <c r="L147" s="728">
        <v>131.11000000000007</v>
      </c>
      <c r="M147" s="728">
        <v>1</v>
      </c>
      <c r="N147" s="729">
        <v>131.11000000000007</v>
      </c>
    </row>
    <row r="148" spans="1:14" ht="14.4" customHeight="1" x14ac:dyDescent="0.3">
      <c r="A148" s="724" t="s">
        <v>552</v>
      </c>
      <c r="B148" s="725" t="s">
        <v>1679</v>
      </c>
      <c r="C148" s="726" t="s">
        <v>563</v>
      </c>
      <c r="D148" s="727" t="s">
        <v>564</v>
      </c>
      <c r="E148" s="726" t="s">
        <v>575</v>
      </c>
      <c r="F148" s="727" t="s">
        <v>1681</v>
      </c>
      <c r="G148" s="726" t="s">
        <v>583</v>
      </c>
      <c r="H148" s="726" t="s">
        <v>990</v>
      </c>
      <c r="I148" s="726" t="s">
        <v>990</v>
      </c>
      <c r="J148" s="726" t="s">
        <v>991</v>
      </c>
      <c r="K148" s="726" t="s">
        <v>992</v>
      </c>
      <c r="L148" s="728">
        <v>123.10999999999999</v>
      </c>
      <c r="M148" s="728">
        <v>1</v>
      </c>
      <c r="N148" s="729">
        <v>123.10999999999999</v>
      </c>
    </row>
    <row r="149" spans="1:14" ht="14.4" customHeight="1" x14ac:dyDescent="0.3">
      <c r="A149" s="724" t="s">
        <v>552</v>
      </c>
      <c r="B149" s="725" t="s">
        <v>1679</v>
      </c>
      <c r="C149" s="726" t="s">
        <v>563</v>
      </c>
      <c r="D149" s="727" t="s">
        <v>564</v>
      </c>
      <c r="E149" s="726" t="s">
        <v>575</v>
      </c>
      <c r="F149" s="727" t="s">
        <v>1681</v>
      </c>
      <c r="G149" s="726" t="s">
        <v>583</v>
      </c>
      <c r="H149" s="726" t="s">
        <v>993</v>
      </c>
      <c r="I149" s="726" t="s">
        <v>993</v>
      </c>
      <c r="J149" s="726" t="s">
        <v>994</v>
      </c>
      <c r="K149" s="726" t="s">
        <v>995</v>
      </c>
      <c r="L149" s="728">
        <v>81.960000000000036</v>
      </c>
      <c r="M149" s="728">
        <v>2</v>
      </c>
      <c r="N149" s="729">
        <v>163.92000000000007</v>
      </c>
    </row>
    <row r="150" spans="1:14" ht="14.4" customHeight="1" x14ac:dyDescent="0.3">
      <c r="A150" s="724" t="s">
        <v>552</v>
      </c>
      <c r="B150" s="725" t="s">
        <v>1679</v>
      </c>
      <c r="C150" s="726" t="s">
        <v>563</v>
      </c>
      <c r="D150" s="727" t="s">
        <v>564</v>
      </c>
      <c r="E150" s="726" t="s">
        <v>575</v>
      </c>
      <c r="F150" s="727" t="s">
        <v>1681</v>
      </c>
      <c r="G150" s="726" t="s">
        <v>583</v>
      </c>
      <c r="H150" s="726" t="s">
        <v>757</v>
      </c>
      <c r="I150" s="726" t="s">
        <v>757</v>
      </c>
      <c r="J150" s="726" t="s">
        <v>758</v>
      </c>
      <c r="K150" s="726" t="s">
        <v>759</v>
      </c>
      <c r="L150" s="728">
        <v>104.13499999999999</v>
      </c>
      <c r="M150" s="728">
        <v>4</v>
      </c>
      <c r="N150" s="729">
        <v>416.53999999999996</v>
      </c>
    </row>
    <row r="151" spans="1:14" ht="14.4" customHeight="1" x14ac:dyDescent="0.3">
      <c r="A151" s="724" t="s">
        <v>552</v>
      </c>
      <c r="B151" s="725" t="s">
        <v>1679</v>
      </c>
      <c r="C151" s="726" t="s">
        <v>563</v>
      </c>
      <c r="D151" s="727" t="s">
        <v>564</v>
      </c>
      <c r="E151" s="726" t="s">
        <v>575</v>
      </c>
      <c r="F151" s="727" t="s">
        <v>1681</v>
      </c>
      <c r="G151" s="726" t="s">
        <v>583</v>
      </c>
      <c r="H151" s="726" t="s">
        <v>996</v>
      </c>
      <c r="I151" s="726" t="s">
        <v>996</v>
      </c>
      <c r="J151" s="726" t="s">
        <v>767</v>
      </c>
      <c r="K151" s="726" t="s">
        <v>997</v>
      </c>
      <c r="L151" s="728">
        <v>72.879920747993651</v>
      </c>
      <c r="M151" s="728">
        <v>4</v>
      </c>
      <c r="N151" s="729">
        <v>291.51968299197461</v>
      </c>
    </row>
    <row r="152" spans="1:14" ht="14.4" customHeight="1" x14ac:dyDescent="0.3">
      <c r="A152" s="724" t="s">
        <v>552</v>
      </c>
      <c r="B152" s="725" t="s">
        <v>1679</v>
      </c>
      <c r="C152" s="726" t="s">
        <v>563</v>
      </c>
      <c r="D152" s="727" t="s">
        <v>564</v>
      </c>
      <c r="E152" s="726" t="s">
        <v>575</v>
      </c>
      <c r="F152" s="727" t="s">
        <v>1681</v>
      </c>
      <c r="G152" s="726" t="s">
        <v>583</v>
      </c>
      <c r="H152" s="726" t="s">
        <v>769</v>
      </c>
      <c r="I152" s="726" t="s">
        <v>769</v>
      </c>
      <c r="J152" s="726" t="s">
        <v>770</v>
      </c>
      <c r="K152" s="726" t="s">
        <v>771</v>
      </c>
      <c r="L152" s="728">
        <v>27.497500000000002</v>
      </c>
      <c r="M152" s="728">
        <v>8</v>
      </c>
      <c r="N152" s="729">
        <v>219.98000000000002</v>
      </c>
    </row>
    <row r="153" spans="1:14" ht="14.4" customHeight="1" x14ac:dyDescent="0.3">
      <c r="A153" s="724" t="s">
        <v>552</v>
      </c>
      <c r="B153" s="725" t="s">
        <v>1679</v>
      </c>
      <c r="C153" s="726" t="s">
        <v>563</v>
      </c>
      <c r="D153" s="727" t="s">
        <v>564</v>
      </c>
      <c r="E153" s="726" t="s">
        <v>575</v>
      </c>
      <c r="F153" s="727" t="s">
        <v>1681</v>
      </c>
      <c r="G153" s="726" t="s">
        <v>583</v>
      </c>
      <c r="H153" s="726" t="s">
        <v>998</v>
      </c>
      <c r="I153" s="726" t="s">
        <v>998</v>
      </c>
      <c r="J153" s="726" t="s">
        <v>999</v>
      </c>
      <c r="K153" s="726" t="s">
        <v>1000</v>
      </c>
      <c r="L153" s="728">
        <v>80.23</v>
      </c>
      <c r="M153" s="728">
        <v>1</v>
      </c>
      <c r="N153" s="729">
        <v>80.23</v>
      </c>
    </row>
    <row r="154" spans="1:14" ht="14.4" customHeight="1" x14ac:dyDescent="0.3">
      <c r="A154" s="724" t="s">
        <v>552</v>
      </c>
      <c r="B154" s="725" t="s">
        <v>1679</v>
      </c>
      <c r="C154" s="726" t="s">
        <v>563</v>
      </c>
      <c r="D154" s="727" t="s">
        <v>564</v>
      </c>
      <c r="E154" s="726" t="s">
        <v>575</v>
      </c>
      <c r="F154" s="727" t="s">
        <v>1681</v>
      </c>
      <c r="G154" s="726" t="s">
        <v>583</v>
      </c>
      <c r="H154" s="726" t="s">
        <v>1001</v>
      </c>
      <c r="I154" s="726" t="s">
        <v>715</v>
      </c>
      <c r="J154" s="726" t="s">
        <v>1002</v>
      </c>
      <c r="K154" s="726"/>
      <c r="L154" s="728">
        <v>17.267999999999997</v>
      </c>
      <c r="M154" s="728">
        <v>1</v>
      </c>
      <c r="N154" s="729">
        <v>17.267999999999997</v>
      </c>
    </row>
    <row r="155" spans="1:14" ht="14.4" customHeight="1" x14ac:dyDescent="0.3">
      <c r="A155" s="724" t="s">
        <v>552</v>
      </c>
      <c r="B155" s="725" t="s">
        <v>1679</v>
      </c>
      <c r="C155" s="726" t="s">
        <v>563</v>
      </c>
      <c r="D155" s="727" t="s">
        <v>564</v>
      </c>
      <c r="E155" s="726" t="s">
        <v>575</v>
      </c>
      <c r="F155" s="727" t="s">
        <v>1681</v>
      </c>
      <c r="G155" s="726" t="s">
        <v>583</v>
      </c>
      <c r="H155" s="726" t="s">
        <v>1003</v>
      </c>
      <c r="I155" s="726" t="s">
        <v>1003</v>
      </c>
      <c r="J155" s="726" t="s">
        <v>1004</v>
      </c>
      <c r="K155" s="726" t="s">
        <v>1005</v>
      </c>
      <c r="L155" s="728">
        <v>213.5</v>
      </c>
      <c r="M155" s="728">
        <v>1</v>
      </c>
      <c r="N155" s="729">
        <v>213.5</v>
      </c>
    </row>
    <row r="156" spans="1:14" ht="14.4" customHeight="1" x14ac:dyDescent="0.3">
      <c r="A156" s="724" t="s">
        <v>552</v>
      </c>
      <c r="B156" s="725" t="s">
        <v>1679</v>
      </c>
      <c r="C156" s="726" t="s">
        <v>563</v>
      </c>
      <c r="D156" s="727" t="s">
        <v>564</v>
      </c>
      <c r="E156" s="726" t="s">
        <v>575</v>
      </c>
      <c r="F156" s="727" t="s">
        <v>1681</v>
      </c>
      <c r="G156" s="726" t="s">
        <v>583</v>
      </c>
      <c r="H156" s="726" t="s">
        <v>1006</v>
      </c>
      <c r="I156" s="726" t="s">
        <v>1006</v>
      </c>
      <c r="J156" s="726" t="s">
        <v>1007</v>
      </c>
      <c r="K156" s="726" t="s">
        <v>749</v>
      </c>
      <c r="L156" s="728">
        <v>128.2562846197871</v>
      </c>
      <c r="M156" s="728">
        <v>1</v>
      </c>
      <c r="N156" s="729">
        <v>128.2562846197871</v>
      </c>
    </row>
    <row r="157" spans="1:14" ht="14.4" customHeight="1" x14ac:dyDescent="0.3">
      <c r="A157" s="724" t="s">
        <v>552</v>
      </c>
      <c r="B157" s="725" t="s">
        <v>1679</v>
      </c>
      <c r="C157" s="726" t="s">
        <v>563</v>
      </c>
      <c r="D157" s="727" t="s">
        <v>564</v>
      </c>
      <c r="E157" s="726" t="s">
        <v>575</v>
      </c>
      <c r="F157" s="727" t="s">
        <v>1681</v>
      </c>
      <c r="G157" s="726" t="s">
        <v>777</v>
      </c>
      <c r="H157" s="726" t="s">
        <v>778</v>
      </c>
      <c r="I157" s="726" t="s">
        <v>779</v>
      </c>
      <c r="J157" s="726" t="s">
        <v>780</v>
      </c>
      <c r="K157" s="726" t="s">
        <v>781</v>
      </c>
      <c r="L157" s="728">
        <v>56.88</v>
      </c>
      <c r="M157" s="728">
        <v>33</v>
      </c>
      <c r="N157" s="729">
        <v>1877.0400000000002</v>
      </c>
    </row>
    <row r="158" spans="1:14" ht="14.4" customHeight="1" x14ac:dyDescent="0.3">
      <c r="A158" s="724" t="s">
        <v>552</v>
      </c>
      <c r="B158" s="725" t="s">
        <v>1679</v>
      </c>
      <c r="C158" s="726" t="s">
        <v>563</v>
      </c>
      <c r="D158" s="727" t="s">
        <v>564</v>
      </c>
      <c r="E158" s="726" t="s">
        <v>575</v>
      </c>
      <c r="F158" s="727" t="s">
        <v>1681</v>
      </c>
      <c r="G158" s="726" t="s">
        <v>777</v>
      </c>
      <c r="H158" s="726" t="s">
        <v>1008</v>
      </c>
      <c r="I158" s="726" t="s">
        <v>1009</v>
      </c>
      <c r="J158" s="726" t="s">
        <v>1010</v>
      </c>
      <c r="K158" s="726" t="s">
        <v>1011</v>
      </c>
      <c r="L158" s="728">
        <v>60.430000000000021</v>
      </c>
      <c r="M158" s="728">
        <v>1</v>
      </c>
      <c r="N158" s="729">
        <v>60.430000000000021</v>
      </c>
    </row>
    <row r="159" spans="1:14" ht="14.4" customHeight="1" x14ac:dyDescent="0.3">
      <c r="A159" s="724" t="s">
        <v>552</v>
      </c>
      <c r="B159" s="725" t="s">
        <v>1679</v>
      </c>
      <c r="C159" s="726" t="s">
        <v>563</v>
      </c>
      <c r="D159" s="727" t="s">
        <v>564</v>
      </c>
      <c r="E159" s="726" t="s">
        <v>575</v>
      </c>
      <c r="F159" s="727" t="s">
        <v>1681</v>
      </c>
      <c r="G159" s="726" t="s">
        <v>777</v>
      </c>
      <c r="H159" s="726" t="s">
        <v>1012</v>
      </c>
      <c r="I159" s="726" t="s">
        <v>1013</v>
      </c>
      <c r="J159" s="726" t="s">
        <v>820</v>
      </c>
      <c r="K159" s="726" t="s">
        <v>1014</v>
      </c>
      <c r="L159" s="728">
        <v>721.2</v>
      </c>
      <c r="M159" s="728">
        <v>1</v>
      </c>
      <c r="N159" s="729">
        <v>721.2</v>
      </c>
    </row>
    <row r="160" spans="1:14" ht="14.4" customHeight="1" x14ac:dyDescent="0.3">
      <c r="A160" s="724" t="s">
        <v>552</v>
      </c>
      <c r="B160" s="725" t="s">
        <v>1679</v>
      </c>
      <c r="C160" s="726" t="s">
        <v>563</v>
      </c>
      <c r="D160" s="727" t="s">
        <v>564</v>
      </c>
      <c r="E160" s="726" t="s">
        <v>575</v>
      </c>
      <c r="F160" s="727" t="s">
        <v>1681</v>
      </c>
      <c r="G160" s="726" t="s">
        <v>777</v>
      </c>
      <c r="H160" s="726" t="s">
        <v>1015</v>
      </c>
      <c r="I160" s="726" t="s">
        <v>1016</v>
      </c>
      <c r="J160" s="726" t="s">
        <v>1017</v>
      </c>
      <c r="K160" s="726" t="s">
        <v>1018</v>
      </c>
      <c r="L160" s="728">
        <v>39.479999999999976</v>
      </c>
      <c r="M160" s="728">
        <v>1</v>
      </c>
      <c r="N160" s="729">
        <v>39.479999999999976</v>
      </c>
    </row>
    <row r="161" spans="1:14" ht="14.4" customHeight="1" x14ac:dyDescent="0.3">
      <c r="A161" s="724" t="s">
        <v>552</v>
      </c>
      <c r="B161" s="725" t="s">
        <v>1679</v>
      </c>
      <c r="C161" s="726" t="s">
        <v>563</v>
      </c>
      <c r="D161" s="727" t="s">
        <v>564</v>
      </c>
      <c r="E161" s="726" t="s">
        <v>575</v>
      </c>
      <c r="F161" s="727" t="s">
        <v>1681</v>
      </c>
      <c r="G161" s="726" t="s">
        <v>777</v>
      </c>
      <c r="H161" s="726" t="s">
        <v>790</v>
      </c>
      <c r="I161" s="726" t="s">
        <v>791</v>
      </c>
      <c r="J161" s="726" t="s">
        <v>780</v>
      </c>
      <c r="K161" s="726" t="s">
        <v>792</v>
      </c>
      <c r="L161" s="728">
        <v>44.590044171018569</v>
      </c>
      <c r="M161" s="728">
        <v>95</v>
      </c>
      <c r="N161" s="729">
        <v>4236.0541962467641</v>
      </c>
    </row>
    <row r="162" spans="1:14" ht="14.4" customHeight="1" x14ac:dyDescent="0.3">
      <c r="A162" s="724" t="s">
        <v>552</v>
      </c>
      <c r="B162" s="725" t="s">
        <v>1679</v>
      </c>
      <c r="C162" s="726" t="s">
        <v>563</v>
      </c>
      <c r="D162" s="727" t="s">
        <v>564</v>
      </c>
      <c r="E162" s="726" t="s">
        <v>575</v>
      </c>
      <c r="F162" s="727" t="s">
        <v>1681</v>
      </c>
      <c r="G162" s="726" t="s">
        <v>777</v>
      </c>
      <c r="H162" s="726" t="s">
        <v>1019</v>
      </c>
      <c r="I162" s="726" t="s">
        <v>1020</v>
      </c>
      <c r="J162" s="726" t="s">
        <v>1021</v>
      </c>
      <c r="K162" s="726" t="s">
        <v>1022</v>
      </c>
      <c r="L162" s="728">
        <v>44.120041843707398</v>
      </c>
      <c r="M162" s="728">
        <v>1</v>
      </c>
      <c r="N162" s="729">
        <v>44.120041843707398</v>
      </c>
    </row>
    <row r="163" spans="1:14" ht="14.4" customHeight="1" x14ac:dyDescent="0.3">
      <c r="A163" s="724" t="s">
        <v>552</v>
      </c>
      <c r="B163" s="725" t="s">
        <v>1679</v>
      </c>
      <c r="C163" s="726" t="s">
        <v>563</v>
      </c>
      <c r="D163" s="727" t="s">
        <v>564</v>
      </c>
      <c r="E163" s="726" t="s">
        <v>575</v>
      </c>
      <c r="F163" s="727" t="s">
        <v>1681</v>
      </c>
      <c r="G163" s="726" t="s">
        <v>777</v>
      </c>
      <c r="H163" s="726" t="s">
        <v>1023</v>
      </c>
      <c r="I163" s="726" t="s">
        <v>1024</v>
      </c>
      <c r="J163" s="726" t="s">
        <v>1025</v>
      </c>
      <c r="K163" s="726" t="s">
        <v>663</v>
      </c>
      <c r="L163" s="728">
        <v>107.46000000000002</v>
      </c>
      <c r="M163" s="728">
        <v>1</v>
      </c>
      <c r="N163" s="729">
        <v>107.46000000000002</v>
      </c>
    </row>
    <row r="164" spans="1:14" ht="14.4" customHeight="1" x14ac:dyDescent="0.3">
      <c r="A164" s="724" t="s">
        <v>552</v>
      </c>
      <c r="B164" s="725" t="s">
        <v>1679</v>
      </c>
      <c r="C164" s="726" t="s">
        <v>563</v>
      </c>
      <c r="D164" s="727" t="s">
        <v>564</v>
      </c>
      <c r="E164" s="726" t="s">
        <v>575</v>
      </c>
      <c r="F164" s="727" t="s">
        <v>1681</v>
      </c>
      <c r="G164" s="726" t="s">
        <v>777</v>
      </c>
      <c r="H164" s="726" t="s">
        <v>800</v>
      </c>
      <c r="I164" s="726" t="s">
        <v>801</v>
      </c>
      <c r="J164" s="726" t="s">
        <v>780</v>
      </c>
      <c r="K164" s="726" t="s">
        <v>802</v>
      </c>
      <c r="L164" s="728">
        <v>56.88</v>
      </c>
      <c r="M164" s="728">
        <v>3</v>
      </c>
      <c r="N164" s="729">
        <v>170.64000000000001</v>
      </c>
    </row>
    <row r="165" spans="1:14" ht="14.4" customHeight="1" x14ac:dyDescent="0.3">
      <c r="A165" s="724" t="s">
        <v>552</v>
      </c>
      <c r="B165" s="725" t="s">
        <v>1679</v>
      </c>
      <c r="C165" s="726" t="s">
        <v>563</v>
      </c>
      <c r="D165" s="727" t="s">
        <v>564</v>
      </c>
      <c r="E165" s="726" t="s">
        <v>575</v>
      </c>
      <c r="F165" s="727" t="s">
        <v>1681</v>
      </c>
      <c r="G165" s="726" t="s">
        <v>777</v>
      </c>
      <c r="H165" s="726" t="s">
        <v>1026</v>
      </c>
      <c r="I165" s="726" t="s">
        <v>1026</v>
      </c>
      <c r="J165" s="726" t="s">
        <v>1027</v>
      </c>
      <c r="K165" s="726" t="s">
        <v>1028</v>
      </c>
      <c r="L165" s="728">
        <v>92.839999999999989</v>
      </c>
      <c r="M165" s="728">
        <v>1</v>
      </c>
      <c r="N165" s="729">
        <v>92.839999999999989</v>
      </c>
    </row>
    <row r="166" spans="1:14" ht="14.4" customHeight="1" x14ac:dyDescent="0.3">
      <c r="A166" s="724" t="s">
        <v>552</v>
      </c>
      <c r="B166" s="725" t="s">
        <v>1679</v>
      </c>
      <c r="C166" s="726" t="s">
        <v>563</v>
      </c>
      <c r="D166" s="727" t="s">
        <v>564</v>
      </c>
      <c r="E166" s="726" t="s">
        <v>575</v>
      </c>
      <c r="F166" s="727" t="s">
        <v>1681</v>
      </c>
      <c r="G166" s="726" t="s">
        <v>777</v>
      </c>
      <c r="H166" s="726" t="s">
        <v>1029</v>
      </c>
      <c r="I166" s="726" t="s">
        <v>1030</v>
      </c>
      <c r="J166" s="726" t="s">
        <v>1031</v>
      </c>
      <c r="K166" s="726" t="s">
        <v>1032</v>
      </c>
      <c r="L166" s="728">
        <v>135.89000000000004</v>
      </c>
      <c r="M166" s="728">
        <v>1</v>
      </c>
      <c r="N166" s="729">
        <v>135.89000000000004</v>
      </c>
    </row>
    <row r="167" spans="1:14" ht="14.4" customHeight="1" x14ac:dyDescent="0.3">
      <c r="A167" s="724" t="s">
        <v>552</v>
      </c>
      <c r="B167" s="725" t="s">
        <v>1679</v>
      </c>
      <c r="C167" s="726" t="s">
        <v>563</v>
      </c>
      <c r="D167" s="727" t="s">
        <v>564</v>
      </c>
      <c r="E167" s="726" t="s">
        <v>575</v>
      </c>
      <c r="F167" s="727" t="s">
        <v>1681</v>
      </c>
      <c r="G167" s="726" t="s">
        <v>777</v>
      </c>
      <c r="H167" s="726" t="s">
        <v>1033</v>
      </c>
      <c r="I167" s="726" t="s">
        <v>1034</v>
      </c>
      <c r="J167" s="726" t="s">
        <v>1035</v>
      </c>
      <c r="K167" s="726" t="s">
        <v>1036</v>
      </c>
      <c r="L167" s="728">
        <v>104.49999999999996</v>
      </c>
      <c r="M167" s="728">
        <v>1</v>
      </c>
      <c r="N167" s="729">
        <v>104.49999999999996</v>
      </c>
    </row>
    <row r="168" spans="1:14" ht="14.4" customHeight="1" x14ac:dyDescent="0.3">
      <c r="A168" s="724" t="s">
        <v>552</v>
      </c>
      <c r="B168" s="725" t="s">
        <v>1679</v>
      </c>
      <c r="C168" s="726" t="s">
        <v>563</v>
      </c>
      <c r="D168" s="727" t="s">
        <v>564</v>
      </c>
      <c r="E168" s="726" t="s">
        <v>575</v>
      </c>
      <c r="F168" s="727" t="s">
        <v>1681</v>
      </c>
      <c r="G168" s="726" t="s">
        <v>777</v>
      </c>
      <c r="H168" s="726" t="s">
        <v>1037</v>
      </c>
      <c r="I168" s="726" t="s">
        <v>1037</v>
      </c>
      <c r="J168" s="726" t="s">
        <v>1038</v>
      </c>
      <c r="K168" s="726" t="s">
        <v>1039</v>
      </c>
      <c r="L168" s="728">
        <v>272.86000000000007</v>
      </c>
      <c r="M168" s="728">
        <v>3</v>
      </c>
      <c r="N168" s="729">
        <v>818.58000000000015</v>
      </c>
    </row>
    <row r="169" spans="1:14" ht="14.4" customHeight="1" x14ac:dyDescent="0.3">
      <c r="A169" s="724" t="s">
        <v>552</v>
      </c>
      <c r="B169" s="725" t="s">
        <v>1679</v>
      </c>
      <c r="C169" s="726" t="s">
        <v>563</v>
      </c>
      <c r="D169" s="727" t="s">
        <v>564</v>
      </c>
      <c r="E169" s="726" t="s">
        <v>575</v>
      </c>
      <c r="F169" s="727" t="s">
        <v>1681</v>
      </c>
      <c r="G169" s="726" t="s">
        <v>777</v>
      </c>
      <c r="H169" s="726" t="s">
        <v>1040</v>
      </c>
      <c r="I169" s="726" t="s">
        <v>1041</v>
      </c>
      <c r="J169" s="726" t="s">
        <v>1042</v>
      </c>
      <c r="K169" s="726" t="s">
        <v>1043</v>
      </c>
      <c r="L169" s="728">
        <v>66.729928564801639</v>
      </c>
      <c r="M169" s="728">
        <v>1</v>
      </c>
      <c r="N169" s="729">
        <v>66.729928564801639</v>
      </c>
    </row>
    <row r="170" spans="1:14" ht="14.4" customHeight="1" x14ac:dyDescent="0.3">
      <c r="A170" s="724" t="s">
        <v>552</v>
      </c>
      <c r="B170" s="725" t="s">
        <v>1679</v>
      </c>
      <c r="C170" s="726" t="s">
        <v>563</v>
      </c>
      <c r="D170" s="727" t="s">
        <v>564</v>
      </c>
      <c r="E170" s="726" t="s">
        <v>575</v>
      </c>
      <c r="F170" s="727" t="s">
        <v>1681</v>
      </c>
      <c r="G170" s="726" t="s">
        <v>777</v>
      </c>
      <c r="H170" s="726" t="s">
        <v>1044</v>
      </c>
      <c r="I170" s="726" t="s">
        <v>1045</v>
      </c>
      <c r="J170" s="726" t="s">
        <v>1046</v>
      </c>
      <c r="K170" s="726" t="s">
        <v>1047</v>
      </c>
      <c r="L170" s="728">
        <v>253.51000000000022</v>
      </c>
      <c r="M170" s="728">
        <v>1</v>
      </c>
      <c r="N170" s="729">
        <v>253.51000000000022</v>
      </c>
    </row>
    <row r="171" spans="1:14" ht="14.4" customHeight="1" x14ac:dyDescent="0.3">
      <c r="A171" s="724" t="s">
        <v>552</v>
      </c>
      <c r="B171" s="725" t="s">
        <v>1679</v>
      </c>
      <c r="C171" s="726" t="s">
        <v>563</v>
      </c>
      <c r="D171" s="727" t="s">
        <v>564</v>
      </c>
      <c r="E171" s="726" t="s">
        <v>575</v>
      </c>
      <c r="F171" s="727" t="s">
        <v>1681</v>
      </c>
      <c r="G171" s="726" t="s">
        <v>777</v>
      </c>
      <c r="H171" s="726" t="s">
        <v>1048</v>
      </c>
      <c r="I171" s="726" t="s">
        <v>1049</v>
      </c>
      <c r="J171" s="726" t="s">
        <v>1050</v>
      </c>
      <c r="K171" s="726" t="s">
        <v>1051</v>
      </c>
      <c r="L171" s="728">
        <v>70.039999999999992</v>
      </c>
      <c r="M171" s="728">
        <v>1</v>
      </c>
      <c r="N171" s="729">
        <v>70.039999999999992</v>
      </c>
    </row>
    <row r="172" spans="1:14" ht="14.4" customHeight="1" x14ac:dyDescent="0.3">
      <c r="A172" s="724" t="s">
        <v>552</v>
      </c>
      <c r="B172" s="725" t="s">
        <v>1679</v>
      </c>
      <c r="C172" s="726" t="s">
        <v>563</v>
      </c>
      <c r="D172" s="727" t="s">
        <v>564</v>
      </c>
      <c r="E172" s="726" t="s">
        <v>575</v>
      </c>
      <c r="F172" s="727" t="s">
        <v>1681</v>
      </c>
      <c r="G172" s="726" t="s">
        <v>777</v>
      </c>
      <c r="H172" s="726" t="s">
        <v>1052</v>
      </c>
      <c r="I172" s="726" t="s">
        <v>1052</v>
      </c>
      <c r="J172" s="726" t="s">
        <v>1050</v>
      </c>
      <c r="K172" s="726" t="s">
        <v>1053</v>
      </c>
      <c r="L172" s="728">
        <v>140.08999999999995</v>
      </c>
      <c r="M172" s="728">
        <v>1</v>
      </c>
      <c r="N172" s="729">
        <v>140.08999999999995</v>
      </c>
    </row>
    <row r="173" spans="1:14" ht="14.4" customHeight="1" x14ac:dyDescent="0.3">
      <c r="A173" s="724" t="s">
        <v>552</v>
      </c>
      <c r="B173" s="725" t="s">
        <v>1679</v>
      </c>
      <c r="C173" s="726" t="s">
        <v>563</v>
      </c>
      <c r="D173" s="727" t="s">
        <v>564</v>
      </c>
      <c r="E173" s="726" t="s">
        <v>575</v>
      </c>
      <c r="F173" s="727" t="s">
        <v>1681</v>
      </c>
      <c r="G173" s="726" t="s">
        <v>777</v>
      </c>
      <c r="H173" s="726" t="s">
        <v>813</v>
      </c>
      <c r="I173" s="726" t="s">
        <v>813</v>
      </c>
      <c r="J173" s="726" t="s">
        <v>814</v>
      </c>
      <c r="K173" s="726" t="s">
        <v>815</v>
      </c>
      <c r="L173" s="728">
        <v>3300</v>
      </c>
      <c r="M173" s="728">
        <v>5</v>
      </c>
      <c r="N173" s="729">
        <v>16500</v>
      </c>
    </row>
    <row r="174" spans="1:14" ht="14.4" customHeight="1" x14ac:dyDescent="0.3">
      <c r="A174" s="724" t="s">
        <v>552</v>
      </c>
      <c r="B174" s="725" t="s">
        <v>1679</v>
      </c>
      <c r="C174" s="726" t="s">
        <v>563</v>
      </c>
      <c r="D174" s="727" t="s">
        <v>564</v>
      </c>
      <c r="E174" s="726" t="s">
        <v>575</v>
      </c>
      <c r="F174" s="727" t="s">
        <v>1681</v>
      </c>
      <c r="G174" s="726" t="s">
        <v>777</v>
      </c>
      <c r="H174" s="726" t="s">
        <v>1054</v>
      </c>
      <c r="I174" s="726" t="s">
        <v>1054</v>
      </c>
      <c r="J174" s="726" t="s">
        <v>820</v>
      </c>
      <c r="K174" s="726" t="s">
        <v>1055</v>
      </c>
      <c r="L174" s="728">
        <v>408.94972844459079</v>
      </c>
      <c r="M174" s="728">
        <v>15</v>
      </c>
      <c r="N174" s="729">
        <v>6134.245926668862</v>
      </c>
    </row>
    <row r="175" spans="1:14" ht="14.4" customHeight="1" x14ac:dyDescent="0.3">
      <c r="A175" s="724" t="s">
        <v>552</v>
      </c>
      <c r="B175" s="725" t="s">
        <v>1679</v>
      </c>
      <c r="C175" s="726" t="s">
        <v>563</v>
      </c>
      <c r="D175" s="727" t="s">
        <v>564</v>
      </c>
      <c r="E175" s="726" t="s">
        <v>575</v>
      </c>
      <c r="F175" s="727" t="s">
        <v>1681</v>
      </c>
      <c r="G175" s="726" t="s">
        <v>777</v>
      </c>
      <c r="H175" s="726" t="s">
        <v>1056</v>
      </c>
      <c r="I175" s="726" t="s">
        <v>1056</v>
      </c>
      <c r="J175" s="726" t="s">
        <v>820</v>
      </c>
      <c r="K175" s="726" t="s">
        <v>1057</v>
      </c>
      <c r="L175" s="728">
        <v>630.6594765278935</v>
      </c>
      <c r="M175" s="728">
        <v>3</v>
      </c>
      <c r="N175" s="729">
        <v>1891.9784295836805</v>
      </c>
    </row>
    <row r="176" spans="1:14" ht="14.4" customHeight="1" x14ac:dyDescent="0.3">
      <c r="A176" s="724" t="s">
        <v>552</v>
      </c>
      <c r="B176" s="725" t="s">
        <v>1679</v>
      </c>
      <c r="C176" s="726" t="s">
        <v>563</v>
      </c>
      <c r="D176" s="727" t="s">
        <v>564</v>
      </c>
      <c r="E176" s="726" t="s">
        <v>825</v>
      </c>
      <c r="F176" s="727" t="s">
        <v>1682</v>
      </c>
      <c r="G176" s="726"/>
      <c r="H176" s="726" t="s">
        <v>1058</v>
      </c>
      <c r="I176" s="726" t="s">
        <v>1058</v>
      </c>
      <c r="J176" s="726" t="s">
        <v>1059</v>
      </c>
      <c r="K176" s="726" t="s">
        <v>1060</v>
      </c>
      <c r="L176" s="728">
        <v>26.61</v>
      </c>
      <c r="M176" s="728">
        <v>16</v>
      </c>
      <c r="N176" s="729">
        <v>425.76</v>
      </c>
    </row>
    <row r="177" spans="1:14" ht="14.4" customHeight="1" x14ac:dyDescent="0.3">
      <c r="A177" s="724" t="s">
        <v>552</v>
      </c>
      <c r="B177" s="725" t="s">
        <v>1679</v>
      </c>
      <c r="C177" s="726" t="s">
        <v>563</v>
      </c>
      <c r="D177" s="727" t="s">
        <v>564</v>
      </c>
      <c r="E177" s="726" t="s">
        <v>825</v>
      </c>
      <c r="F177" s="727" t="s">
        <v>1682</v>
      </c>
      <c r="G177" s="726"/>
      <c r="H177" s="726" t="s">
        <v>826</v>
      </c>
      <c r="I177" s="726" t="s">
        <v>826</v>
      </c>
      <c r="J177" s="726" t="s">
        <v>827</v>
      </c>
      <c r="K177" s="726" t="s">
        <v>828</v>
      </c>
      <c r="L177" s="728">
        <v>316.03000000000003</v>
      </c>
      <c r="M177" s="728">
        <v>7.3</v>
      </c>
      <c r="N177" s="729">
        <v>2307.0190000000002</v>
      </c>
    </row>
    <row r="178" spans="1:14" ht="14.4" customHeight="1" x14ac:dyDescent="0.3">
      <c r="A178" s="724" t="s">
        <v>552</v>
      </c>
      <c r="B178" s="725" t="s">
        <v>1679</v>
      </c>
      <c r="C178" s="726" t="s">
        <v>563</v>
      </c>
      <c r="D178" s="727" t="s">
        <v>564</v>
      </c>
      <c r="E178" s="726" t="s">
        <v>825</v>
      </c>
      <c r="F178" s="727" t="s">
        <v>1682</v>
      </c>
      <c r="G178" s="726" t="s">
        <v>583</v>
      </c>
      <c r="H178" s="726" t="s">
        <v>1061</v>
      </c>
      <c r="I178" s="726" t="s">
        <v>1061</v>
      </c>
      <c r="J178" s="726" t="s">
        <v>1062</v>
      </c>
      <c r="K178" s="726" t="s">
        <v>1063</v>
      </c>
      <c r="L178" s="728">
        <v>57.989999999999995</v>
      </c>
      <c r="M178" s="728">
        <v>1</v>
      </c>
      <c r="N178" s="729">
        <v>57.989999999999995</v>
      </c>
    </row>
    <row r="179" spans="1:14" ht="14.4" customHeight="1" x14ac:dyDescent="0.3">
      <c r="A179" s="724" t="s">
        <v>552</v>
      </c>
      <c r="B179" s="725" t="s">
        <v>1679</v>
      </c>
      <c r="C179" s="726" t="s">
        <v>563</v>
      </c>
      <c r="D179" s="727" t="s">
        <v>564</v>
      </c>
      <c r="E179" s="726" t="s">
        <v>825</v>
      </c>
      <c r="F179" s="727" t="s">
        <v>1682</v>
      </c>
      <c r="G179" s="726" t="s">
        <v>583</v>
      </c>
      <c r="H179" s="726" t="s">
        <v>1064</v>
      </c>
      <c r="I179" s="726" t="s">
        <v>1065</v>
      </c>
      <c r="J179" s="726" t="s">
        <v>1066</v>
      </c>
      <c r="K179" s="726" t="s">
        <v>1067</v>
      </c>
      <c r="L179" s="728">
        <v>23.56</v>
      </c>
      <c r="M179" s="728">
        <v>10</v>
      </c>
      <c r="N179" s="729">
        <v>235.6</v>
      </c>
    </row>
    <row r="180" spans="1:14" ht="14.4" customHeight="1" x14ac:dyDescent="0.3">
      <c r="A180" s="724" t="s">
        <v>552</v>
      </c>
      <c r="B180" s="725" t="s">
        <v>1679</v>
      </c>
      <c r="C180" s="726" t="s">
        <v>563</v>
      </c>
      <c r="D180" s="727" t="s">
        <v>564</v>
      </c>
      <c r="E180" s="726" t="s">
        <v>825</v>
      </c>
      <c r="F180" s="727" t="s">
        <v>1682</v>
      </c>
      <c r="G180" s="726" t="s">
        <v>583</v>
      </c>
      <c r="H180" s="726" t="s">
        <v>1068</v>
      </c>
      <c r="I180" s="726" t="s">
        <v>1069</v>
      </c>
      <c r="J180" s="726" t="s">
        <v>1070</v>
      </c>
      <c r="K180" s="726" t="s">
        <v>1071</v>
      </c>
      <c r="L180" s="728">
        <v>127.83</v>
      </c>
      <c r="M180" s="728">
        <v>1</v>
      </c>
      <c r="N180" s="729">
        <v>127.83</v>
      </c>
    </row>
    <row r="181" spans="1:14" ht="14.4" customHeight="1" x14ac:dyDescent="0.3">
      <c r="A181" s="724" t="s">
        <v>552</v>
      </c>
      <c r="B181" s="725" t="s">
        <v>1679</v>
      </c>
      <c r="C181" s="726" t="s">
        <v>563</v>
      </c>
      <c r="D181" s="727" t="s">
        <v>564</v>
      </c>
      <c r="E181" s="726" t="s">
        <v>825</v>
      </c>
      <c r="F181" s="727" t="s">
        <v>1682</v>
      </c>
      <c r="G181" s="726" t="s">
        <v>583</v>
      </c>
      <c r="H181" s="726" t="s">
        <v>1072</v>
      </c>
      <c r="I181" s="726" t="s">
        <v>1073</v>
      </c>
      <c r="J181" s="726" t="s">
        <v>1074</v>
      </c>
      <c r="K181" s="726" t="s">
        <v>1075</v>
      </c>
      <c r="L181" s="728">
        <v>313.43833333333333</v>
      </c>
      <c r="M181" s="728">
        <v>7.2</v>
      </c>
      <c r="N181" s="729">
        <v>2256.7559999999999</v>
      </c>
    </row>
    <row r="182" spans="1:14" ht="14.4" customHeight="1" x14ac:dyDescent="0.3">
      <c r="A182" s="724" t="s">
        <v>552</v>
      </c>
      <c r="B182" s="725" t="s">
        <v>1679</v>
      </c>
      <c r="C182" s="726" t="s">
        <v>563</v>
      </c>
      <c r="D182" s="727" t="s">
        <v>564</v>
      </c>
      <c r="E182" s="726" t="s">
        <v>825</v>
      </c>
      <c r="F182" s="727" t="s">
        <v>1682</v>
      </c>
      <c r="G182" s="726" t="s">
        <v>583</v>
      </c>
      <c r="H182" s="726" t="s">
        <v>1076</v>
      </c>
      <c r="I182" s="726" t="s">
        <v>1077</v>
      </c>
      <c r="J182" s="726" t="s">
        <v>1078</v>
      </c>
      <c r="K182" s="726" t="s">
        <v>1079</v>
      </c>
      <c r="L182" s="728">
        <v>61.049999999999962</v>
      </c>
      <c r="M182" s="728">
        <v>1</v>
      </c>
      <c r="N182" s="729">
        <v>61.049999999999962</v>
      </c>
    </row>
    <row r="183" spans="1:14" ht="14.4" customHeight="1" x14ac:dyDescent="0.3">
      <c r="A183" s="724" t="s">
        <v>552</v>
      </c>
      <c r="B183" s="725" t="s">
        <v>1679</v>
      </c>
      <c r="C183" s="726" t="s">
        <v>563</v>
      </c>
      <c r="D183" s="727" t="s">
        <v>564</v>
      </c>
      <c r="E183" s="726" t="s">
        <v>825</v>
      </c>
      <c r="F183" s="727" t="s">
        <v>1682</v>
      </c>
      <c r="G183" s="726" t="s">
        <v>583</v>
      </c>
      <c r="H183" s="726" t="s">
        <v>836</v>
      </c>
      <c r="I183" s="726" t="s">
        <v>836</v>
      </c>
      <c r="J183" s="726" t="s">
        <v>837</v>
      </c>
      <c r="K183" s="726" t="s">
        <v>838</v>
      </c>
      <c r="L183" s="728">
        <v>217.80000000000032</v>
      </c>
      <c r="M183" s="728">
        <v>17.399999999999995</v>
      </c>
      <c r="N183" s="729">
        <v>3789.7200000000043</v>
      </c>
    </row>
    <row r="184" spans="1:14" ht="14.4" customHeight="1" x14ac:dyDescent="0.3">
      <c r="A184" s="724" t="s">
        <v>552</v>
      </c>
      <c r="B184" s="725" t="s">
        <v>1679</v>
      </c>
      <c r="C184" s="726" t="s">
        <v>563</v>
      </c>
      <c r="D184" s="727" t="s">
        <v>564</v>
      </c>
      <c r="E184" s="726" t="s">
        <v>825</v>
      </c>
      <c r="F184" s="727" t="s">
        <v>1682</v>
      </c>
      <c r="G184" s="726" t="s">
        <v>583</v>
      </c>
      <c r="H184" s="726" t="s">
        <v>839</v>
      </c>
      <c r="I184" s="726" t="s">
        <v>840</v>
      </c>
      <c r="J184" s="726" t="s">
        <v>841</v>
      </c>
      <c r="K184" s="726" t="s">
        <v>842</v>
      </c>
      <c r="L184" s="728">
        <v>263.99999999999994</v>
      </c>
      <c r="M184" s="728">
        <v>1.9000000000000001</v>
      </c>
      <c r="N184" s="729">
        <v>501.59999999999997</v>
      </c>
    </row>
    <row r="185" spans="1:14" ht="14.4" customHeight="1" x14ac:dyDescent="0.3">
      <c r="A185" s="724" t="s">
        <v>552</v>
      </c>
      <c r="B185" s="725" t="s">
        <v>1679</v>
      </c>
      <c r="C185" s="726" t="s">
        <v>563</v>
      </c>
      <c r="D185" s="727" t="s">
        <v>564</v>
      </c>
      <c r="E185" s="726" t="s">
        <v>825</v>
      </c>
      <c r="F185" s="727" t="s">
        <v>1682</v>
      </c>
      <c r="G185" s="726" t="s">
        <v>583</v>
      </c>
      <c r="H185" s="726" t="s">
        <v>1080</v>
      </c>
      <c r="I185" s="726" t="s">
        <v>1080</v>
      </c>
      <c r="J185" s="726" t="s">
        <v>1081</v>
      </c>
      <c r="K185" s="726" t="s">
        <v>1082</v>
      </c>
      <c r="L185" s="728">
        <v>6649.83</v>
      </c>
      <c r="M185" s="728">
        <v>5</v>
      </c>
      <c r="N185" s="729">
        <v>33249.15</v>
      </c>
    </row>
    <row r="186" spans="1:14" ht="14.4" customHeight="1" x14ac:dyDescent="0.3">
      <c r="A186" s="724" t="s">
        <v>552</v>
      </c>
      <c r="B186" s="725" t="s">
        <v>1679</v>
      </c>
      <c r="C186" s="726" t="s">
        <v>563</v>
      </c>
      <c r="D186" s="727" t="s">
        <v>564</v>
      </c>
      <c r="E186" s="726" t="s">
        <v>825</v>
      </c>
      <c r="F186" s="727" t="s">
        <v>1682</v>
      </c>
      <c r="G186" s="726" t="s">
        <v>777</v>
      </c>
      <c r="H186" s="726" t="s">
        <v>1083</v>
      </c>
      <c r="I186" s="726" t="s">
        <v>1084</v>
      </c>
      <c r="J186" s="726" t="s">
        <v>1085</v>
      </c>
      <c r="K186" s="726" t="s">
        <v>1086</v>
      </c>
      <c r="L186" s="728">
        <v>29.37</v>
      </c>
      <c r="M186" s="728">
        <v>33</v>
      </c>
      <c r="N186" s="729">
        <v>969.21</v>
      </c>
    </row>
    <row r="187" spans="1:14" ht="14.4" customHeight="1" x14ac:dyDescent="0.3">
      <c r="A187" s="724" t="s">
        <v>552</v>
      </c>
      <c r="B187" s="725" t="s">
        <v>1679</v>
      </c>
      <c r="C187" s="726" t="s">
        <v>563</v>
      </c>
      <c r="D187" s="727" t="s">
        <v>564</v>
      </c>
      <c r="E187" s="726" t="s">
        <v>825</v>
      </c>
      <c r="F187" s="727" t="s">
        <v>1682</v>
      </c>
      <c r="G187" s="726" t="s">
        <v>777</v>
      </c>
      <c r="H187" s="726" t="s">
        <v>1087</v>
      </c>
      <c r="I187" s="726" t="s">
        <v>1087</v>
      </c>
      <c r="J187" s="726" t="s">
        <v>1088</v>
      </c>
      <c r="K187" s="726" t="s">
        <v>1089</v>
      </c>
      <c r="L187" s="728">
        <v>56.1</v>
      </c>
      <c r="M187" s="728">
        <v>10</v>
      </c>
      <c r="N187" s="729">
        <v>561</v>
      </c>
    </row>
    <row r="188" spans="1:14" ht="14.4" customHeight="1" x14ac:dyDescent="0.3">
      <c r="A188" s="724" t="s">
        <v>552</v>
      </c>
      <c r="B188" s="725" t="s">
        <v>1679</v>
      </c>
      <c r="C188" s="726" t="s">
        <v>566</v>
      </c>
      <c r="D188" s="727" t="s">
        <v>567</v>
      </c>
      <c r="E188" s="726" t="s">
        <v>575</v>
      </c>
      <c r="F188" s="727" t="s">
        <v>1681</v>
      </c>
      <c r="G188" s="726" t="s">
        <v>583</v>
      </c>
      <c r="H188" s="726" t="s">
        <v>1090</v>
      </c>
      <c r="I188" s="726" t="s">
        <v>1090</v>
      </c>
      <c r="J188" s="726" t="s">
        <v>1091</v>
      </c>
      <c r="K188" s="726" t="s">
        <v>1092</v>
      </c>
      <c r="L188" s="728">
        <v>216.07999999999987</v>
      </c>
      <c r="M188" s="728">
        <v>1</v>
      </c>
      <c r="N188" s="729">
        <v>216.07999999999987</v>
      </c>
    </row>
    <row r="189" spans="1:14" ht="14.4" customHeight="1" x14ac:dyDescent="0.3">
      <c r="A189" s="724" t="s">
        <v>552</v>
      </c>
      <c r="B189" s="725" t="s">
        <v>1679</v>
      </c>
      <c r="C189" s="726" t="s">
        <v>569</v>
      </c>
      <c r="D189" s="727" t="s">
        <v>1680</v>
      </c>
      <c r="E189" s="726" t="s">
        <v>575</v>
      </c>
      <c r="F189" s="727" t="s">
        <v>1681</v>
      </c>
      <c r="G189" s="726"/>
      <c r="H189" s="726" t="s">
        <v>1093</v>
      </c>
      <c r="I189" s="726" t="s">
        <v>1094</v>
      </c>
      <c r="J189" s="726" t="s">
        <v>1095</v>
      </c>
      <c r="K189" s="726" t="s">
        <v>1096</v>
      </c>
      <c r="L189" s="728">
        <v>107.45</v>
      </c>
      <c r="M189" s="728">
        <v>1</v>
      </c>
      <c r="N189" s="729">
        <v>107.45</v>
      </c>
    </row>
    <row r="190" spans="1:14" ht="14.4" customHeight="1" x14ac:dyDescent="0.3">
      <c r="A190" s="724" t="s">
        <v>552</v>
      </c>
      <c r="B190" s="725" t="s">
        <v>1679</v>
      </c>
      <c r="C190" s="726" t="s">
        <v>569</v>
      </c>
      <c r="D190" s="727" t="s">
        <v>1680</v>
      </c>
      <c r="E190" s="726" t="s">
        <v>575</v>
      </c>
      <c r="F190" s="727" t="s">
        <v>1681</v>
      </c>
      <c r="G190" s="726"/>
      <c r="H190" s="726" t="s">
        <v>1097</v>
      </c>
      <c r="I190" s="726" t="s">
        <v>1098</v>
      </c>
      <c r="J190" s="726" t="s">
        <v>1099</v>
      </c>
      <c r="K190" s="726" t="s">
        <v>1100</v>
      </c>
      <c r="L190" s="728">
        <v>851.4</v>
      </c>
      <c r="M190" s="728">
        <v>2</v>
      </c>
      <c r="N190" s="729">
        <v>1702.8</v>
      </c>
    </row>
    <row r="191" spans="1:14" ht="14.4" customHeight="1" x14ac:dyDescent="0.3">
      <c r="A191" s="724" t="s">
        <v>552</v>
      </c>
      <c r="B191" s="725" t="s">
        <v>1679</v>
      </c>
      <c r="C191" s="726" t="s">
        <v>569</v>
      </c>
      <c r="D191" s="727" t="s">
        <v>1680</v>
      </c>
      <c r="E191" s="726" t="s">
        <v>575</v>
      </c>
      <c r="F191" s="727" t="s">
        <v>1681</v>
      </c>
      <c r="G191" s="726"/>
      <c r="H191" s="726" t="s">
        <v>576</v>
      </c>
      <c r="I191" s="726" t="s">
        <v>577</v>
      </c>
      <c r="J191" s="726" t="s">
        <v>578</v>
      </c>
      <c r="K191" s="726" t="s">
        <v>579</v>
      </c>
      <c r="L191" s="728">
        <v>46.539999999999992</v>
      </c>
      <c r="M191" s="728">
        <v>3</v>
      </c>
      <c r="N191" s="729">
        <v>139.61999999999998</v>
      </c>
    </row>
    <row r="192" spans="1:14" ht="14.4" customHeight="1" x14ac:dyDescent="0.3">
      <c r="A192" s="724" t="s">
        <v>552</v>
      </c>
      <c r="B192" s="725" t="s">
        <v>1679</v>
      </c>
      <c r="C192" s="726" t="s">
        <v>569</v>
      </c>
      <c r="D192" s="727" t="s">
        <v>1680</v>
      </c>
      <c r="E192" s="726" t="s">
        <v>575</v>
      </c>
      <c r="F192" s="727" t="s">
        <v>1681</v>
      </c>
      <c r="G192" s="726"/>
      <c r="H192" s="726" t="s">
        <v>1101</v>
      </c>
      <c r="I192" s="726" t="s">
        <v>1102</v>
      </c>
      <c r="J192" s="726" t="s">
        <v>1103</v>
      </c>
      <c r="K192" s="726" t="s">
        <v>1060</v>
      </c>
      <c r="L192" s="728">
        <v>68.14988419591397</v>
      </c>
      <c r="M192" s="728">
        <v>20</v>
      </c>
      <c r="N192" s="729">
        <v>1362.9976839182793</v>
      </c>
    </row>
    <row r="193" spans="1:14" ht="14.4" customHeight="1" x14ac:dyDescent="0.3">
      <c r="A193" s="724" t="s">
        <v>552</v>
      </c>
      <c r="B193" s="725" t="s">
        <v>1679</v>
      </c>
      <c r="C193" s="726" t="s">
        <v>569</v>
      </c>
      <c r="D193" s="727" t="s">
        <v>1680</v>
      </c>
      <c r="E193" s="726" t="s">
        <v>575</v>
      </c>
      <c r="F193" s="727" t="s">
        <v>1681</v>
      </c>
      <c r="G193" s="726"/>
      <c r="H193" s="726" t="s">
        <v>580</v>
      </c>
      <c r="I193" s="726" t="s">
        <v>580</v>
      </c>
      <c r="J193" s="726" t="s">
        <v>581</v>
      </c>
      <c r="K193" s="726" t="s">
        <v>582</v>
      </c>
      <c r="L193" s="728">
        <v>103.31999999999996</v>
      </c>
      <c r="M193" s="728">
        <v>4</v>
      </c>
      <c r="N193" s="729">
        <v>413.27999999999986</v>
      </c>
    </row>
    <row r="194" spans="1:14" ht="14.4" customHeight="1" x14ac:dyDescent="0.3">
      <c r="A194" s="724" t="s">
        <v>552</v>
      </c>
      <c r="B194" s="725" t="s">
        <v>1679</v>
      </c>
      <c r="C194" s="726" t="s">
        <v>569</v>
      </c>
      <c r="D194" s="727" t="s">
        <v>1680</v>
      </c>
      <c r="E194" s="726" t="s">
        <v>575</v>
      </c>
      <c r="F194" s="727" t="s">
        <v>1681</v>
      </c>
      <c r="G194" s="726" t="s">
        <v>583</v>
      </c>
      <c r="H194" s="726" t="s">
        <v>584</v>
      </c>
      <c r="I194" s="726" t="s">
        <v>584</v>
      </c>
      <c r="J194" s="726" t="s">
        <v>585</v>
      </c>
      <c r="K194" s="726" t="s">
        <v>586</v>
      </c>
      <c r="L194" s="728">
        <v>171.5999993782734</v>
      </c>
      <c r="M194" s="728">
        <v>60</v>
      </c>
      <c r="N194" s="729">
        <v>10295.999962696404</v>
      </c>
    </row>
    <row r="195" spans="1:14" ht="14.4" customHeight="1" x14ac:dyDescent="0.3">
      <c r="A195" s="724" t="s">
        <v>552</v>
      </c>
      <c r="B195" s="725" t="s">
        <v>1679</v>
      </c>
      <c r="C195" s="726" t="s">
        <v>569</v>
      </c>
      <c r="D195" s="727" t="s">
        <v>1680</v>
      </c>
      <c r="E195" s="726" t="s">
        <v>575</v>
      </c>
      <c r="F195" s="727" t="s">
        <v>1681</v>
      </c>
      <c r="G195" s="726" t="s">
        <v>583</v>
      </c>
      <c r="H195" s="726" t="s">
        <v>587</v>
      </c>
      <c r="I195" s="726" t="s">
        <v>587</v>
      </c>
      <c r="J195" s="726" t="s">
        <v>588</v>
      </c>
      <c r="K195" s="726" t="s">
        <v>589</v>
      </c>
      <c r="L195" s="728">
        <v>173.68999991794905</v>
      </c>
      <c r="M195" s="728">
        <v>37</v>
      </c>
      <c r="N195" s="729">
        <v>6426.5299969641146</v>
      </c>
    </row>
    <row r="196" spans="1:14" ht="14.4" customHeight="1" x14ac:dyDescent="0.3">
      <c r="A196" s="724" t="s">
        <v>552</v>
      </c>
      <c r="B196" s="725" t="s">
        <v>1679</v>
      </c>
      <c r="C196" s="726" t="s">
        <v>569</v>
      </c>
      <c r="D196" s="727" t="s">
        <v>1680</v>
      </c>
      <c r="E196" s="726" t="s">
        <v>575</v>
      </c>
      <c r="F196" s="727" t="s">
        <v>1681</v>
      </c>
      <c r="G196" s="726" t="s">
        <v>583</v>
      </c>
      <c r="H196" s="726" t="s">
        <v>1104</v>
      </c>
      <c r="I196" s="726" t="s">
        <v>1104</v>
      </c>
      <c r="J196" s="726" t="s">
        <v>1105</v>
      </c>
      <c r="K196" s="726" t="s">
        <v>1106</v>
      </c>
      <c r="L196" s="728">
        <v>297.54999999999995</v>
      </c>
      <c r="M196" s="728">
        <v>2</v>
      </c>
      <c r="N196" s="729">
        <v>595.09999999999991</v>
      </c>
    </row>
    <row r="197" spans="1:14" ht="14.4" customHeight="1" x14ac:dyDescent="0.3">
      <c r="A197" s="724" t="s">
        <v>552</v>
      </c>
      <c r="B197" s="725" t="s">
        <v>1679</v>
      </c>
      <c r="C197" s="726" t="s">
        <v>569</v>
      </c>
      <c r="D197" s="727" t="s">
        <v>1680</v>
      </c>
      <c r="E197" s="726" t="s">
        <v>575</v>
      </c>
      <c r="F197" s="727" t="s">
        <v>1681</v>
      </c>
      <c r="G197" s="726" t="s">
        <v>583</v>
      </c>
      <c r="H197" s="726" t="s">
        <v>862</v>
      </c>
      <c r="I197" s="726" t="s">
        <v>862</v>
      </c>
      <c r="J197" s="726" t="s">
        <v>585</v>
      </c>
      <c r="K197" s="726" t="s">
        <v>863</v>
      </c>
      <c r="L197" s="728">
        <v>92.949999605471476</v>
      </c>
      <c r="M197" s="728">
        <v>50</v>
      </c>
      <c r="N197" s="729">
        <v>4647.4999802735738</v>
      </c>
    </row>
    <row r="198" spans="1:14" ht="14.4" customHeight="1" x14ac:dyDescent="0.3">
      <c r="A198" s="724" t="s">
        <v>552</v>
      </c>
      <c r="B198" s="725" t="s">
        <v>1679</v>
      </c>
      <c r="C198" s="726" t="s">
        <v>569</v>
      </c>
      <c r="D198" s="727" t="s">
        <v>1680</v>
      </c>
      <c r="E198" s="726" t="s">
        <v>575</v>
      </c>
      <c r="F198" s="727" t="s">
        <v>1681</v>
      </c>
      <c r="G198" s="726" t="s">
        <v>583</v>
      </c>
      <c r="H198" s="726" t="s">
        <v>592</v>
      </c>
      <c r="I198" s="726" t="s">
        <v>592</v>
      </c>
      <c r="J198" s="726" t="s">
        <v>585</v>
      </c>
      <c r="K198" s="726" t="s">
        <v>593</v>
      </c>
      <c r="L198" s="728">
        <v>93.5</v>
      </c>
      <c r="M198" s="728">
        <v>4</v>
      </c>
      <c r="N198" s="729">
        <v>374</v>
      </c>
    </row>
    <row r="199" spans="1:14" ht="14.4" customHeight="1" x14ac:dyDescent="0.3">
      <c r="A199" s="724" t="s">
        <v>552</v>
      </c>
      <c r="B199" s="725" t="s">
        <v>1679</v>
      </c>
      <c r="C199" s="726" t="s">
        <v>569</v>
      </c>
      <c r="D199" s="727" t="s">
        <v>1680</v>
      </c>
      <c r="E199" s="726" t="s">
        <v>575</v>
      </c>
      <c r="F199" s="727" t="s">
        <v>1681</v>
      </c>
      <c r="G199" s="726" t="s">
        <v>583</v>
      </c>
      <c r="H199" s="726" t="s">
        <v>598</v>
      </c>
      <c r="I199" s="726" t="s">
        <v>599</v>
      </c>
      <c r="J199" s="726" t="s">
        <v>600</v>
      </c>
      <c r="K199" s="726" t="s">
        <v>601</v>
      </c>
      <c r="L199" s="728">
        <v>96.819949858741253</v>
      </c>
      <c r="M199" s="728">
        <v>12</v>
      </c>
      <c r="N199" s="729">
        <v>1161.839398304895</v>
      </c>
    </row>
    <row r="200" spans="1:14" ht="14.4" customHeight="1" x14ac:dyDescent="0.3">
      <c r="A200" s="724" t="s">
        <v>552</v>
      </c>
      <c r="B200" s="725" t="s">
        <v>1679</v>
      </c>
      <c r="C200" s="726" t="s">
        <v>569</v>
      </c>
      <c r="D200" s="727" t="s">
        <v>1680</v>
      </c>
      <c r="E200" s="726" t="s">
        <v>575</v>
      </c>
      <c r="F200" s="727" t="s">
        <v>1681</v>
      </c>
      <c r="G200" s="726" t="s">
        <v>583</v>
      </c>
      <c r="H200" s="726" t="s">
        <v>1107</v>
      </c>
      <c r="I200" s="726" t="s">
        <v>1108</v>
      </c>
      <c r="J200" s="726" t="s">
        <v>962</v>
      </c>
      <c r="K200" s="726" t="s">
        <v>1109</v>
      </c>
      <c r="L200" s="728">
        <v>177.21000000000004</v>
      </c>
      <c r="M200" s="728">
        <v>5</v>
      </c>
      <c r="N200" s="729">
        <v>886.05000000000018</v>
      </c>
    </row>
    <row r="201" spans="1:14" ht="14.4" customHeight="1" x14ac:dyDescent="0.3">
      <c r="A201" s="724" t="s">
        <v>552</v>
      </c>
      <c r="B201" s="725" t="s">
        <v>1679</v>
      </c>
      <c r="C201" s="726" t="s">
        <v>569</v>
      </c>
      <c r="D201" s="727" t="s">
        <v>1680</v>
      </c>
      <c r="E201" s="726" t="s">
        <v>575</v>
      </c>
      <c r="F201" s="727" t="s">
        <v>1681</v>
      </c>
      <c r="G201" s="726" t="s">
        <v>583</v>
      </c>
      <c r="H201" s="726" t="s">
        <v>602</v>
      </c>
      <c r="I201" s="726" t="s">
        <v>603</v>
      </c>
      <c r="J201" s="726" t="s">
        <v>604</v>
      </c>
      <c r="K201" s="726" t="s">
        <v>605</v>
      </c>
      <c r="L201" s="728">
        <v>64.54000000000002</v>
      </c>
      <c r="M201" s="728">
        <v>4</v>
      </c>
      <c r="N201" s="729">
        <v>258.16000000000008</v>
      </c>
    </row>
    <row r="202" spans="1:14" ht="14.4" customHeight="1" x14ac:dyDescent="0.3">
      <c r="A202" s="724" t="s">
        <v>552</v>
      </c>
      <c r="B202" s="725" t="s">
        <v>1679</v>
      </c>
      <c r="C202" s="726" t="s">
        <v>569</v>
      </c>
      <c r="D202" s="727" t="s">
        <v>1680</v>
      </c>
      <c r="E202" s="726" t="s">
        <v>575</v>
      </c>
      <c r="F202" s="727" t="s">
        <v>1681</v>
      </c>
      <c r="G202" s="726" t="s">
        <v>583</v>
      </c>
      <c r="H202" s="726" t="s">
        <v>868</v>
      </c>
      <c r="I202" s="726" t="s">
        <v>869</v>
      </c>
      <c r="J202" s="726" t="s">
        <v>870</v>
      </c>
      <c r="K202" s="726" t="s">
        <v>871</v>
      </c>
      <c r="L202" s="728">
        <v>43.62</v>
      </c>
      <c r="M202" s="728">
        <v>6</v>
      </c>
      <c r="N202" s="729">
        <v>261.71999999999997</v>
      </c>
    </row>
    <row r="203" spans="1:14" ht="14.4" customHeight="1" x14ac:dyDescent="0.3">
      <c r="A203" s="724" t="s">
        <v>552</v>
      </c>
      <c r="B203" s="725" t="s">
        <v>1679</v>
      </c>
      <c r="C203" s="726" t="s">
        <v>569</v>
      </c>
      <c r="D203" s="727" t="s">
        <v>1680</v>
      </c>
      <c r="E203" s="726" t="s">
        <v>575</v>
      </c>
      <c r="F203" s="727" t="s">
        <v>1681</v>
      </c>
      <c r="G203" s="726" t="s">
        <v>583</v>
      </c>
      <c r="H203" s="726" t="s">
        <v>606</v>
      </c>
      <c r="I203" s="726" t="s">
        <v>607</v>
      </c>
      <c r="J203" s="726" t="s">
        <v>608</v>
      </c>
      <c r="K203" s="726" t="s">
        <v>609</v>
      </c>
      <c r="L203" s="728">
        <v>75.07099932477152</v>
      </c>
      <c r="M203" s="728">
        <v>79</v>
      </c>
      <c r="N203" s="729">
        <v>5930.6089466569501</v>
      </c>
    </row>
    <row r="204" spans="1:14" ht="14.4" customHeight="1" x14ac:dyDescent="0.3">
      <c r="A204" s="724" t="s">
        <v>552</v>
      </c>
      <c r="B204" s="725" t="s">
        <v>1679</v>
      </c>
      <c r="C204" s="726" t="s">
        <v>569</v>
      </c>
      <c r="D204" s="727" t="s">
        <v>1680</v>
      </c>
      <c r="E204" s="726" t="s">
        <v>575</v>
      </c>
      <c r="F204" s="727" t="s">
        <v>1681</v>
      </c>
      <c r="G204" s="726" t="s">
        <v>583</v>
      </c>
      <c r="H204" s="726" t="s">
        <v>1110</v>
      </c>
      <c r="I204" s="726" t="s">
        <v>1111</v>
      </c>
      <c r="J204" s="726" t="s">
        <v>1112</v>
      </c>
      <c r="K204" s="726" t="s">
        <v>1113</v>
      </c>
      <c r="L204" s="728">
        <v>65.91</v>
      </c>
      <c r="M204" s="728">
        <v>2</v>
      </c>
      <c r="N204" s="729">
        <v>131.82</v>
      </c>
    </row>
    <row r="205" spans="1:14" ht="14.4" customHeight="1" x14ac:dyDescent="0.3">
      <c r="A205" s="724" t="s">
        <v>552</v>
      </c>
      <c r="B205" s="725" t="s">
        <v>1679</v>
      </c>
      <c r="C205" s="726" t="s">
        <v>569</v>
      </c>
      <c r="D205" s="727" t="s">
        <v>1680</v>
      </c>
      <c r="E205" s="726" t="s">
        <v>575</v>
      </c>
      <c r="F205" s="727" t="s">
        <v>1681</v>
      </c>
      <c r="G205" s="726" t="s">
        <v>583</v>
      </c>
      <c r="H205" s="726" t="s">
        <v>1114</v>
      </c>
      <c r="I205" s="726" t="s">
        <v>1115</v>
      </c>
      <c r="J205" s="726" t="s">
        <v>1116</v>
      </c>
      <c r="K205" s="726" t="s">
        <v>1117</v>
      </c>
      <c r="L205" s="728">
        <v>28.189924234066769</v>
      </c>
      <c r="M205" s="728">
        <v>33</v>
      </c>
      <c r="N205" s="729">
        <v>930.26749972420339</v>
      </c>
    </row>
    <row r="206" spans="1:14" ht="14.4" customHeight="1" x14ac:dyDescent="0.3">
      <c r="A206" s="724" t="s">
        <v>552</v>
      </c>
      <c r="B206" s="725" t="s">
        <v>1679</v>
      </c>
      <c r="C206" s="726" t="s">
        <v>569</v>
      </c>
      <c r="D206" s="727" t="s">
        <v>1680</v>
      </c>
      <c r="E206" s="726" t="s">
        <v>575</v>
      </c>
      <c r="F206" s="727" t="s">
        <v>1681</v>
      </c>
      <c r="G206" s="726" t="s">
        <v>583</v>
      </c>
      <c r="H206" s="726" t="s">
        <v>1118</v>
      </c>
      <c r="I206" s="726" t="s">
        <v>1119</v>
      </c>
      <c r="J206" s="726" t="s">
        <v>1120</v>
      </c>
      <c r="K206" s="726" t="s">
        <v>1121</v>
      </c>
      <c r="L206" s="728">
        <v>63.049999999999969</v>
      </c>
      <c r="M206" s="728">
        <v>1</v>
      </c>
      <c r="N206" s="729">
        <v>63.049999999999969</v>
      </c>
    </row>
    <row r="207" spans="1:14" ht="14.4" customHeight="1" x14ac:dyDescent="0.3">
      <c r="A207" s="724" t="s">
        <v>552</v>
      </c>
      <c r="B207" s="725" t="s">
        <v>1679</v>
      </c>
      <c r="C207" s="726" t="s">
        <v>569</v>
      </c>
      <c r="D207" s="727" t="s">
        <v>1680</v>
      </c>
      <c r="E207" s="726" t="s">
        <v>575</v>
      </c>
      <c r="F207" s="727" t="s">
        <v>1681</v>
      </c>
      <c r="G207" s="726" t="s">
        <v>583</v>
      </c>
      <c r="H207" s="726" t="s">
        <v>1122</v>
      </c>
      <c r="I207" s="726" t="s">
        <v>1123</v>
      </c>
      <c r="J207" s="726" t="s">
        <v>1124</v>
      </c>
      <c r="K207" s="726" t="s">
        <v>1125</v>
      </c>
      <c r="L207" s="728">
        <v>87.96999999999997</v>
      </c>
      <c r="M207" s="728">
        <v>1</v>
      </c>
      <c r="N207" s="729">
        <v>87.96999999999997</v>
      </c>
    </row>
    <row r="208" spans="1:14" ht="14.4" customHeight="1" x14ac:dyDescent="0.3">
      <c r="A208" s="724" t="s">
        <v>552</v>
      </c>
      <c r="B208" s="725" t="s">
        <v>1679</v>
      </c>
      <c r="C208" s="726" t="s">
        <v>569</v>
      </c>
      <c r="D208" s="727" t="s">
        <v>1680</v>
      </c>
      <c r="E208" s="726" t="s">
        <v>575</v>
      </c>
      <c r="F208" s="727" t="s">
        <v>1681</v>
      </c>
      <c r="G208" s="726" t="s">
        <v>583</v>
      </c>
      <c r="H208" s="726" t="s">
        <v>1126</v>
      </c>
      <c r="I208" s="726" t="s">
        <v>1127</v>
      </c>
      <c r="J208" s="726" t="s">
        <v>1128</v>
      </c>
      <c r="K208" s="726" t="s">
        <v>1129</v>
      </c>
      <c r="L208" s="728">
        <v>35.569999999999993</v>
      </c>
      <c r="M208" s="728">
        <v>3</v>
      </c>
      <c r="N208" s="729">
        <v>106.70999999999998</v>
      </c>
    </row>
    <row r="209" spans="1:14" ht="14.4" customHeight="1" x14ac:dyDescent="0.3">
      <c r="A209" s="724" t="s">
        <v>552</v>
      </c>
      <c r="B209" s="725" t="s">
        <v>1679</v>
      </c>
      <c r="C209" s="726" t="s">
        <v>569</v>
      </c>
      <c r="D209" s="727" t="s">
        <v>1680</v>
      </c>
      <c r="E209" s="726" t="s">
        <v>575</v>
      </c>
      <c r="F209" s="727" t="s">
        <v>1681</v>
      </c>
      <c r="G209" s="726" t="s">
        <v>583</v>
      </c>
      <c r="H209" s="726" t="s">
        <v>1130</v>
      </c>
      <c r="I209" s="726" t="s">
        <v>1131</v>
      </c>
      <c r="J209" s="726" t="s">
        <v>1132</v>
      </c>
      <c r="K209" s="726" t="s">
        <v>1133</v>
      </c>
      <c r="L209" s="728">
        <v>353.63</v>
      </c>
      <c r="M209" s="728">
        <v>37</v>
      </c>
      <c r="N209" s="729">
        <v>13084.31</v>
      </c>
    </row>
    <row r="210" spans="1:14" ht="14.4" customHeight="1" x14ac:dyDescent="0.3">
      <c r="A210" s="724" t="s">
        <v>552</v>
      </c>
      <c r="B210" s="725" t="s">
        <v>1679</v>
      </c>
      <c r="C210" s="726" t="s">
        <v>569</v>
      </c>
      <c r="D210" s="727" t="s">
        <v>1680</v>
      </c>
      <c r="E210" s="726" t="s">
        <v>575</v>
      </c>
      <c r="F210" s="727" t="s">
        <v>1681</v>
      </c>
      <c r="G210" s="726" t="s">
        <v>583</v>
      </c>
      <c r="H210" s="726" t="s">
        <v>880</v>
      </c>
      <c r="I210" s="726" t="s">
        <v>881</v>
      </c>
      <c r="J210" s="726" t="s">
        <v>882</v>
      </c>
      <c r="K210" s="726" t="s">
        <v>883</v>
      </c>
      <c r="L210" s="728">
        <v>41.349999999999994</v>
      </c>
      <c r="M210" s="728">
        <v>2</v>
      </c>
      <c r="N210" s="729">
        <v>82.699999999999989</v>
      </c>
    </row>
    <row r="211" spans="1:14" ht="14.4" customHeight="1" x14ac:dyDescent="0.3">
      <c r="A211" s="724" t="s">
        <v>552</v>
      </c>
      <c r="B211" s="725" t="s">
        <v>1679</v>
      </c>
      <c r="C211" s="726" t="s">
        <v>569</v>
      </c>
      <c r="D211" s="727" t="s">
        <v>1680</v>
      </c>
      <c r="E211" s="726" t="s">
        <v>575</v>
      </c>
      <c r="F211" s="727" t="s">
        <v>1681</v>
      </c>
      <c r="G211" s="726" t="s">
        <v>583</v>
      </c>
      <c r="H211" s="726" t="s">
        <v>884</v>
      </c>
      <c r="I211" s="726" t="s">
        <v>885</v>
      </c>
      <c r="J211" s="726" t="s">
        <v>886</v>
      </c>
      <c r="K211" s="726" t="s">
        <v>887</v>
      </c>
      <c r="L211" s="728">
        <v>41.139999999999993</v>
      </c>
      <c r="M211" s="728">
        <v>1</v>
      </c>
      <c r="N211" s="729">
        <v>41.139999999999993</v>
      </c>
    </row>
    <row r="212" spans="1:14" ht="14.4" customHeight="1" x14ac:dyDescent="0.3">
      <c r="A212" s="724" t="s">
        <v>552</v>
      </c>
      <c r="B212" s="725" t="s">
        <v>1679</v>
      </c>
      <c r="C212" s="726" t="s">
        <v>569</v>
      </c>
      <c r="D212" s="727" t="s">
        <v>1680</v>
      </c>
      <c r="E212" s="726" t="s">
        <v>575</v>
      </c>
      <c r="F212" s="727" t="s">
        <v>1681</v>
      </c>
      <c r="G212" s="726" t="s">
        <v>583</v>
      </c>
      <c r="H212" s="726" t="s">
        <v>888</v>
      </c>
      <c r="I212" s="726" t="s">
        <v>889</v>
      </c>
      <c r="J212" s="726" t="s">
        <v>890</v>
      </c>
      <c r="K212" s="726" t="s">
        <v>891</v>
      </c>
      <c r="L212" s="728">
        <v>93.759999999999991</v>
      </c>
      <c r="M212" s="728">
        <v>2</v>
      </c>
      <c r="N212" s="729">
        <v>187.51999999999998</v>
      </c>
    </row>
    <row r="213" spans="1:14" ht="14.4" customHeight="1" x14ac:dyDescent="0.3">
      <c r="A213" s="724" t="s">
        <v>552</v>
      </c>
      <c r="B213" s="725" t="s">
        <v>1679</v>
      </c>
      <c r="C213" s="726" t="s">
        <v>569</v>
      </c>
      <c r="D213" s="727" t="s">
        <v>1680</v>
      </c>
      <c r="E213" s="726" t="s">
        <v>575</v>
      </c>
      <c r="F213" s="727" t="s">
        <v>1681</v>
      </c>
      <c r="G213" s="726" t="s">
        <v>583</v>
      </c>
      <c r="H213" s="726" t="s">
        <v>1134</v>
      </c>
      <c r="I213" s="726" t="s">
        <v>1135</v>
      </c>
      <c r="J213" s="726" t="s">
        <v>685</v>
      </c>
      <c r="K213" s="726" t="s">
        <v>1136</v>
      </c>
      <c r="L213" s="728">
        <v>185.61</v>
      </c>
      <c r="M213" s="728">
        <v>6</v>
      </c>
      <c r="N213" s="729">
        <v>1113.6600000000001</v>
      </c>
    </row>
    <row r="214" spans="1:14" ht="14.4" customHeight="1" x14ac:dyDescent="0.3">
      <c r="A214" s="724" t="s">
        <v>552</v>
      </c>
      <c r="B214" s="725" t="s">
        <v>1679</v>
      </c>
      <c r="C214" s="726" t="s">
        <v>569</v>
      </c>
      <c r="D214" s="727" t="s">
        <v>1680</v>
      </c>
      <c r="E214" s="726" t="s">
        <v>575</v>
      </c>
      <c r="F214" s="727" t="s">
        <v>1681</v>
      </c>
      <c r="G214" s="726" t="s">
        <v>583</v>
      </c>
      <c r="H214" s="726" t="s">
        <v>625</v>
      </c>
      <c r="I214" s="726" t="s">
        <v>625</v>
      </c>
      <c r="J214" s="726" t="s">
        <v>626</v>
      </c>
      <c r="K214" s="726" t="s">
        <v>627</v>
      </c>
      <c r="L214" s="728">
        <v>36.53</v>
      </c>
      <c r="M214" s="728">
        <v>30</v>
      </c>
      <c r="N214" s="729">
        <v>1095.9000000000001</v>
      </c>
    </row>
    <row r="215" spans="1:14" ht="14.4" customHeight="1" x14ac:dyDescent="0.3">
      <c r="A215" s="724" t="s">
        <v>552</v>
      </c>
      <c r="B215" s="725" t="s">
        <v>1679</v>
      </c>
      <c r="C215" s="726" t="s">
        <v>569</v>
      </c>
      <c r="D215" s="727" t="s">
        <v>1680</v>
      </c>
      <c r="E215" s="726" t="s">
        <v>575</v>
      </c>
      <c r="F215" s="727" t="s">
        <v>1681</v>
      </c>
      <c r="G215" s="726" t="s">
        <v>583</v>
      </c>
      <c r="H215" s="726" t="s">
        <v>1137</v>
      </c>
      <c r="I215" s="726" t="s">
        <v>1138</v>
      </c>
      <c r="J215" s="726" t="s">
        <v>1139</v>
      </c>
      <c r="K215" s="726" t="s">
        <v>1140</v>
      </c>
      <c r="L215" s="728">
        <v>108.39000000000003</v>
      </c>
      <c r="M215" s="728">
        <v>1</v>
      </c>
      <c r="N215" s="729">
        <v>108.39000000000003</v>
      </c>
    </row>
    <row r="216" spans="1:14" ht="14.4" customHeight="1" x14ac:dyDescent="0.3">
      <c r="A216" s="724" t="s">
        <v>552</v>
      </c>
      <c r="B216" s="725" t="s">
        <v>1679</v>
      </c>
      <c r="C216" s="726" t="s">
        <v>569</v>
      </c>
      <c r="D216" s="727" t="s">
        <v>1680</v>
      </c>
      <c r="E216" s="726" t="s">
        <v>575</v>
      </c>
      <c r="F216" s="727" t="s">
        <v>1681</v>
      </c>
      <c r="G216" s="726" t="s">
        <v>583</v>
      </c>
      <c r="H216" s="726" t="s">
        <v>1141</v>
      </c>
      <c r="I216" s="726" t="s">
        <v>1142</v>
      </c>
      <c r="J216" s="726" t="s">
        <v>1105</v>
      </c>
      <c r="K216" s="726" t="s">
        <v>1143</v>
      </c>
      <c r="L216" s="728">
        <v>103.98</v>
      </c>
      <c r="M216" s="728">
        <v>1</v>
      </c>
      <c r="N216" s="729">
        <v>103.98</v>
      </c>
    </row>
    <row r="217" spans="1:14" ht="14.4" customHeight="1" x14ac:dyDescent="0.3">
      <c r="A217" s="724" t="s">
        <v>552</v>
      </c>
      <c r="B217" s="725" t="s">
        <v>1679</v>
      </c>
      <c r="C217" s="726" t="s">
        <v>569</v>
      </c>
      <c r="D217" s="727" t="s">
        <v>1680</v>
      </c>
      <c r="E217" s="726" t="s">
        <v>575</v>
      </c>
      <c r="F217" s="727" t="s">
        <v>1681</v>
      </c>
      <c r="G217" s="726" t="s">
        <v>583</v>
      </c>
      <c r="H217" s="726" t="s">
        <v>632</v>
      </c>
      <c r="I217" s="726" t="s">
        <v>633</v>
      </c>
      <c r="J217" s="726" t="s">
        <v>634</v>
      </c>
      <c r="K217" s="726" t="s">
        <v>635</v>
      </c>
      <c r="L217" s="728">
        <v>216.68000000000009</v>
      </c>
      <c r="M217" s="728">
        <v>6</v>
      </c>
      <c r="N217" s="729">
        <v>1300.0800000000006</v>
      </c>
    </row>
    <row r="218" spans="1:14" ht="14.4" customHeight="1" x14ac:dyDescent="0.3">
      <c r="A218" s="724" t="s">
        <v>552</v>
      </c>
      <c r="B218" s="725" t="s">
        <v>1679</v>
      </c>
      <c r="C218" s="726" t="s">
        <v>569</v>
      </c>
      <c r="D218" s="727" t="s">
        <v>1680</v>
      </c>
      <c r="E218" s="726" t="s">
        <v>575</v>
      </c>
      <c r="F218" s="727" t="s">
        <v>1681</v>
      </c>
      <c r="G218" s="726" t="s">
        <v>583</v>
      </c>
      <c r="H218" s="726" t="s">
        <v>636</v>
      </c>
      <c r="I218" s="726" t="s">
        <v>637</v>
      </c>
      <c r="J218" s="726" t="s">
        <v>638</v>
      </c>
      <c r="K218" s="726" t="s">
        <v>639</v>
      </c>
      <c r="L218" s="728">
        <v>54.98</v>
      </c>
      <c r="M218" s="728">
        <v>1</v>
      </c>
      <c r="N218" s="729">
        <v>54.98</v>
      </c>
    </row>
    <row r="219" spans="1:14" ht="14.4" customHeight="1" x14ac:dyDescent="0.3">
      <c r="A219" s="724" t="s">
        <v>552</v>
      </c>
      <c r="B219" s="725" t="s">
        <v>1679</v>
      </c>
      <c r="C219" s="726" t="s">
        <v>569</v>
      </c>
      <c r="D219" s="727" t="s">
        <v>1680</v>
      </c>
      <c r="E219" s="726" t="s">
        <v>575</v>
      </c>
      <c r="F219" s="727" t="s">
        <v>1681</v>
      </c>
      <c r="G219" s="726" t="s">
        <v>583</v>
      </c>
      <c r="H219" s="726" t="s">
        <v>1144</v>
      </c>
      <c r="I219" s="726" t="s">
        <v>1145</v>
      </c>
      <c r="J219" s="726" t="s">
        <v>1146</v>
      </c>
      <c r="K219" s="726" t="s">
        <v>1147</v>
      </c>
      <c r="L219" s="728">
        <v>98.210000000000036</v>
      </c>
      <c r="M219" s="728">
        <v>2</v>
      </c>
      <c r="N219" s="729">
        <v>196.42000000000007</v>
      </c>
    </row>
    <row r="220" spans="1:14" ht="14.4" customHeight="1" x14ac:dyDescent="0.3">
      <c r="A220" s="724" t="s">
        <v>552</v>
      </c>
      <c r="B220" s="725" t="s">
        <v>1679</v>
      </c>
      <c r="C220" s="726" t="s">
        <v>569</v>
      </c>
      <c r="D220" s="727" t="s">
        <v>1680</v>
      </c>
      <c r="E220" s="726" t="s">
        <v>575</v>
      </c>
      <c r="F220" s="727" t="s">
        <v>1681</v>
      </c>
      <c r="G220" s="726" t="s">
        <v>583</v>
      </c>
      <c r="H220" s="726" t="s">
        <v>896</v>
      </c>
      <c r="I220" s="726" t="s">
        <v>897</v>
      </c>
      <c r="J220" s="726" t="s">
        <v>898</v>
      </c>
      <c r="K220" s="726" t="s">
        <v>899</v>
      </c>
      <c r="L220" s="728">
        <v>74.22</v>
      </c>
      <c r="M220" s="728">
        <v>2</v>
      </c>
      <c r="N220" s="729">
        <v>148.44</v>
      </c>
    </row>
    <row r="221" spans="1:14" ht="14.4" customHeight="1" x14ac:dyDescent="0.3">
      <c r="A221" s="724" t="s">
        <v>552</v>
      </c>
      <c r="B221" s="725" t="s">
        <v>1679</v>
      </c>
      <c r="C221" s="726" t="s">
        <v>569</v>
      </c>
      <c r="D221" s="727" t="s">
        <v>1680</v>
      </c>
      <c r="E221" s="726" t="s">
        <v>575</v>
      </c>
      <c r="F221" s="727" t="s">
        <v>1681</v>
      </c>
      <c r="G221" s="726" t="s">
        <v>583</v>
      </c>
      <c r="H221" s="726" t="s">
        <v>1148</v>
      </c>
      <c r="I221" s="726" t="s">
        <v>1149</v>
      </c>
      <c r="J221" s="726" t="s">
        <v>1150</v>
      </c>
      <c r="K221" s="726" t="s">
        <v>1151</v>
      </c>
      <c r="L221" s="728">
        <v>58.930000000000007</v>
      </c>
      <c r="M221" s="728">
        <v>1</v>
      </c>
      <c r="N221" s="729">
        <v>58.930000000000007</v>
      </c>
    </row>
    <row r="222" spans="1:14" ht="14.4" customHeight="1" x14ac:dyDescent="0.3">
      <c r="A222" s="724" t="s">
        <v>552</v>
      </c>
      <c r="B222" s="725" t="s">
        <v>1679</v>
      </c>
      <c r="C222" s="726" t="s">
        <v>569</v>
      </c>
      <c r="D222" s="727" t="s">
        <v>1680</v>
      </c>
      <c r="E222" s="726" t="s">
        <v>575</v>
      </c>
      <c r="F222" s="727" t="s">
        <v>1681</v>
      </c>
      <c r="G222" s="726" t="s">
        <v>583</v>
      </c>
      <c r="H222" s="726" t="s">
        <v>903</v>
      </c>
      <c r="I222" s="726" t="s">
        <v>904</v>
      </c>
      <c r="J222" s="726" t="s">
        <v>905</v>
      </c>
      <c r="K222" s="726" t="s">
        <v>906</v>
      </c>
      <c r="L222" s="728">
        <v>117.41000000000003</v>
      </c>
      <c r="M222" s="728">
        <v>1</v>
      </c>
      <c r="N222" s="729">
        <v>117.41000000000003</v>
      </c>
    </row>
    <row r="223" spans="1:14" ht="14.4" customHeight="1" x14ac:dyDescent="0.3">
      <c r="A223" s="724" t="s">
        <v>552</v>
      </c>
      <c r="B223" s="725" t="s">
        <v>1679</v>
      </c>
      <c r="C223" s="726" t="s">
        <v>569</v>
      </c>
      <c r="D223" s="727" t="s">
        <v>1680</v>
      </c>
      <c r="E223" s="726" t="s">
        <v>575</v>
      </c>
      <c r="F223" s="727" t="s">
        <v>1681</v>
      </c>
      <c r="G223" s="726" t="s">
        <v>583</v>
      </c>
      <c r="H223" s="726" t="s">
        <v>1152</v>
      </c>
      <c r="I223" s="726" t="s">
        <v>1152</v>
      </c>
      <c r="J223" s="726" t="s">
        <v>1153</v>
      </c>
      <c r="K223" s="726" t="s">
        <v>1018</v>
      </c>
      <c r="L223" s="728">
        <v>90.019999999999968</v>
      </c>
      <c r="M223" s="728">
        <v>1</v>
      </c>
      <c r="N223" s="729">
        <v>90.019999999999968</v>
      </c>
    </row>
    <row r="224" spans="1:14" ht="14.4" customHeight="1" x14ac:dyDescent="0.3">
      <c r="A224" s="724" t="s">
        <v>552</v>
      </c>
      <c r="B224" s="725" t="s">
        <v>1679</v>
      </c>
      <c r="C224" s="726" t="s">
        <v>569</v>
      </c>
      <c r="D224" s="727" t="s">
        <v>1680</v>
      </c>
      <c r="E224" s="726" t="s">
        <v>575</v>
      </c>
      <c r="F224" s="727" t="s">
        <v>1681</v>
      </c>
      <c r="G224" s="726" t="s">
        <v>583</v>
      </c>
      <c r="H224" s="726" t="s">
        <v>1154</v>
      </c>
      <c r="I224" s="726" t="s">
        <v>1155</v>
      </c>
      <c r="J224" s="726" t="s">
        <v>1156</v>
      </c>
      <c r="K224" s="726" t="s">
        <v>1157</v>
      </c>
      <c r="L224" s="728">
        <v>61.960000000000015</v>
      </c>
      <c r="M224" s="728">
        <v>1</v>
      </c>
      <c r="N224" s="729">
        <v>61.960000000000015</v>
      </c>
    </row>
    <row r="225" spans="1:14" ht="14.4" customHeight="1" x14ac:dyDescent="0.3">
      <c r="A225" s="724" t="s">
        <v>552</v>
      </c>
      <c r="B225" s="725" t="s">
        <v>1679</v>
      </c>
      <c r="C225" s="726" t="s">
        <v>569</v>
      </c>
      <c r="D225" s="727" t="s">
        <v>1680</v>
      </c>
      <c r="E225" s="726" t="s">
        <v>575</v>
      </c>
      <c r="F225" s="727" t="s">
        <v>1681</v>
      </c>
      <c r="G225" s="726" t="s">
        <v>583</v>
      </c>
      <c r="H225" s="726" t="s">
        <v>1158</v>
      </c>
      <c r="I225" s="726" t="s">
        <v>1159</v>
      </c>
      <c r="J225" s="726" t="s">
        <v>1160</v>
      </c>
      <c r="K225" s="726" t="s">
        <v>1161</v>
      </c>
      <c r="L225" s="728">
        <v>174.68999999999997</v>
      </c>
      <c r="M225" s="728">
        <v>1</v>
      </c>
      <c r="N225" s="729">
        <v>174.68999999999997</v>
      </c>
    </row>
    <row r="226" spans="1:14" ht="14.4" customHeight="1" x14ac:dyDescent="0.3">
      <c r="A226" s="724" t="s">
        <v>552</v>
      </c>
      <c r="B226" s="725" t="s">
        <v>1679</v>
      </c>
      <c r="C226" s="726" t="s">
        <v>569</v>
      </c>
      <c r="D226" s="727" t="s">
        <v>1680</v>
      </c>
      <c r="E226" s="726" t="s">
        <v>575</v>
      </c>
      <c r="F226" s="727" t="s">
        <v>1681</v>
      </c>
      <c r="G226" s="726" t="s">
        <v>583</v>
      </c>
      <c r="H226" s="726" t="s">
        <v>648</v>
      </c>
      <c r="I226" s="726" t="s">
        <v>649</v>
      </c>
      <c r="J226" s="726" t="s">
        <v>650</v>
      </c>
      <c r="K226" s="726" t="s">
        <v>651</v>
      </c>
      <c r="L226" s="728">
        <v>60.14</v>
      </c>
      <c r="M226" s="728">
        <v>28</v>
      </c>
      <c r="N226" s="729">
        <v>1683.92</v>
      </c>
    </row>
    <row r="227" spans="1:14" ht="14.4" customHeight="1" x14ac:dyDescent="0.3">
      <c r="A227" s="724" t="s">
        <v>552</v>
      </c>
      <c r="B227" s="725" t="s">
        <v>1679</v>
      </c>
      <c r="C227" s="726" t="s">
        <v>569</v>
      </c>
      <c r="D227" s="727" t="s">
        <v>1680</v>
      </c>
      <c r="E227" s="726" t="s">
        <v>575</v>
      </c>
      <c r="F227" s="727" t="s">
        <v>1681</v>
      </c>
      <c r="G227" s="726" t="s">
        <v>583</v>
      </c>
      <c r="H227" s="726" t="s">
        <v>1162</v>
      </c>
      <c r="I227" s="726" t="s">
        <v>1163</v>
      </c>
      <c r="J227" s="726" t="s">
        <v>1164</v>
      </c>
      <c r="K227" s="726" t="s">
        <v>1165</v>
      </c>
      <c r="L227" s="728">
        <v>112.28000000000003</v>
      </c>
      <c r="M227" s="728">
        <v>1</v>
      </c>
      <c r="N227" s="729">
        <v>112.28000000000003</v>
      </c>
    </row>
    <row r="228" spans="1:14" ht="14.4" customHeight="1" x14ac:dyDescent="0.3">
      <c r="A228" s="724" t="s">
        <v>552</v>
      </c>
      <c r="B228" s="725" t="s">
        <v>1679</v>
      </c>
      <c r="C228" s="726" t="s">
        <v>569</v>
      </c>
      <c r="D228" s="727" t="s">
        <v>1680</v>
      </c>
      <c r="E228" s="726" t="s">
        <v>575</v>
      </c>
      <c r="F228" s="727" t="s">
        <v>1681</v>
      </c>
      <c r="G228" s="726" t="s">
        <v>583</v>
      </c>
      <c r="H228" s="726" t="s">
        <v>1166</v>
      </c>
      <c r="I228" s="726" t="s">
        <v>1167</v>
      </c>
      <c r="J228" s="726" t="s">
        <v>1168</v>
      </c>
      <c r="K228" s="726" t="s">
        <v>1169</v>
      </c>
      <c r="L228" s="728">
        <v>125.31499999999998</v>
      </c>
      <c r="M228" s="728">
        <v>2</v>
      </c>
      <c r="N228" s="729">
        <v>250.62999999999997</v>
      </c>
    </row>
    <row r="229" spans="1:14" ht="14.4" customHeight="1" x14ac:dyDescent="0.3">
      <c r="A229" s="724" t="s">
        <v>552</v>
      </c>
      <c r="B229" s="725" t="s">
        <v>1679</v>
      </c>
      <c r="C229" s="726" t="s">
        <v>569</v>
      </c>
      <c r="D229" s="727" t="s">
        <v>1680</v>
      </c>
      <c r="E229" s="726" t="s">
        <v>575</v>
      </c>
      <c r="F229" s="727" t="s">
        <v>1681</v>
      </c>
      <c r="G229" s="726" t="s">
        <v>583</v>
      </c>
      <c r="H229" s="726" t="s">
        <v>1170</v>
      </c>
      <c r="I229" s="726" t="s">
        <v>1171</v>
      </c>
      <c r="J229" s="726" t="s">
        <v>1172</v>
      </c>
      <c r="K229" s="726" t="s">
        <v>1173</v>
      </c>
      <c r="L229" s="728">
        <v>127.44986356337434</v>
      </c>
      <c r="M229" s="728">
        <v>2</v>
      </c>
      <c r="N229" s="729">
        <v>254.89972712674867</v>
      </c>
    </row>
    <row r="230" spans="1:14" ht="14.4" customHeight="1" x14ac:dyDescent="0.3">
      <c r="A230" s="724" t="s">
        <v>552</v>
      </c>
      <c r="B230" s="725" t="s">
        <v>1679</v>
      </c>
      <c r="C230" s="726" t="s">
        <v>569</v>
      </c>
      <c r="D230" s="727" t="s">
        <v>1680</v>
      </c>
      <c r="E230" s="726" t="s">
        <v>575</v>
      </c>
      <c r="F230" s="727" t="s">
        <v>1681</v>
      </c>
      <c r="G230" s="726" t="s">
        <v>583</v>
      </c>
      <c r="H230" s="726" t="s">
        <v>911</v>
      </c>
      <c r="I230" s="726" t="s">
        <v>912</v>
      </c>
      <c r="J230" s="726" t="s">
        <v>913</v>
      </c>
      <c r="K230" s="726" t="s">
        <v>914</v>
      </c>
      <c r="L230" s="728">
        <v>142.43000000000004</v>
      </c>
      <c r="M230" s="728">
        <v>3</v>
      </c>
      <c r="N230" s="729">
        <v>427.29000000000008</v>
      </c>
    </row>
    <row r="231" spans="1:14" ht="14.4" customHeight="1" x14ac:dyDescent="0.3">
      <c r="A231" s="724" t="s">
        <v>552</v>
      </c>
      <c r="B231" s="725" t="s">
        <v>1679</v>
      </c>
      <c r="C231" s="726" t="s">
        <v>569</v>
      </c>
      <c r="D231" s="727" t="s">
        <v>1680</v>
      </c>
      <c r="E231" s="726" t="s">
        <v>575</v>
      </c>
      <c r="F231" s="727" t="s">
        <v>1681</v>
      </c>
      <c r="G231" s="726" t="s">
        <v>583</v>
      </c>
      <c r="H231" s="726" t="s">
        <v>919</v>
      </c>
      <c r="I231" s="726" t="s">
        <v>920</v>
      </c>
      <c r="J231" s="726" t="s">
        <v>882</v>
      </c>
      <c r="K231" s="726" t="s">
        <v>921</v>
      </c>
      <c r="L231" s="728">
        <v>44.97000000000002</v>
      </c>
      <c r="M231" s="728">
        <v>5</v>
      </c>
      <c r="N231" s="729">
        <v>224.85000000000011</v>
      </c>
    </row>
    <row r="232" spans="1:14" ht="14.4" customHeight="1" x14ac:dyDescent="0.3">
      <c r="A232" s="724" t="s">
        <v>552</v>
      </c>
      <c r="B232" s="725" t="s">
        <v>1679</v>
      </c>
      <c r="C232" s="726" t="s">
        <v>569</v>
      </c>
      <c r="D232" s="727" t="s">
        <v>1680</v>
      </c>
      <c r="E232" s="726" t="s">
        <v>575</v>
      </c>
      <c r="F232" s="727" t="s">
        <v>1681</v>
      </c>
      <c r="G232" s="726" t="s">
        <v>583</v>
      </c>
      <c r="H232" s="726" t="s">
        <v>922</v>
      </c>
      <c r="I232" s="726" t="s">
        <v>923</v>
      </c>
      <c r="J232" s="726" t="s">
        <v>654</v>
      </c>
      <c r="K232" s="726" t="s">
        <v>924</v>
      </c>
      <c r="L232" s="728">
        <v>210.01940284861345</v>
      </c>
      <c r="M232" s="728">
        <v>22</v>
      </c>
      <c r="N232" s="729">
        <v>4620.4268626694957</v>
      </c>
    </row>
    <row r="233" spans="1:14" ht="14.4" customHeight="1" x14ac:dyDescent="0.3">
      <c r="A233" s="724" t="s">
        <v>552</v>
      </c>
      <c r="B233" s="725" t="s">
        <v>1679</v>
      </c>
      <c r="C233" s="726" t="s">
        <v>569</v>
      </c>
      <c r="D233" s="727" t="s">
        <v>1680</v>
      </c>
      <c r="E233" s="726" t="s">
        <v>575</v>
      </c>
      <c r="F233" s="727" t="s">
        <v>1681</v>
      </c>
      <c r="G233" s="726" t="s">
        <v>583</v>
      </c>
      <c r="H233" s="726" t="s">
        <v>1174</v>
      </c>
      <c r="I233" s="726" t="s">
        <v>1175</v>
      </c>
      <c r="J233" s="726" t="s">
        <v>1176</v>
      </c>
      <c r="K233" s="726" t="s">
        <v>1177</v>
      </c>
      <c r="L233" s="728">
        <v>375.797933088224</v>
      </c>
      <c r="M233" s="728">
        <v>6</v>
      </c>
      <c r="N233" s="729">
        <v>2254.787598529344</v>
      </c>
    </row>
    <row r="234" spans="1:14" ht="14.4" customHeight="1" x14ac:dyDescent="0.3">
      <c r="A234" s="724" t="s">
        <v>552</v>
      </c>
      <c r="B234" s="725" t="s">
        <v>1679</v>
      </c>
      <c r="C234" s="726" t="s">
        <v>569</v>
      </c>
      <c r="D234" s="727" t="s">
        <v>1680</v>
      </c>
      <c r="E234" s="726" t="s">
        <v>575</v>
      </c>
      <c r="F234" s="727" t="s">
        <v>1681</v>
      </c>
      <c r="G234" s="726" t="s">
        <v>583</v>
      </c>
      <c r="H234" s="726" t="s">
        <v>1178</v>
      </c>
      <c r="I234" s="726" t="s">
        <v>1179</v>
      </c>
      <c r="J234" s="726" t="s">
        <v>1180</v>
      </c>
      <c r="K234" s="726" t="s">
        <v>1181</v>
      </c>
      <c r="L234" s="728">
        <v>60.299999999999969</v>
      </c>
      <c r="M234" s="728">
        <v>2</v>
      </c>
      <c r="N234" s="729">
        <v>120.59999999999994</v>
      </c>
    </row>
    <row r="235" spans="1:14" ht="14.4" customHeight="1" x14ac:dyDescent="0.3">
      <c r="A235" s="724" t="s">
        <v>552</v>
      </c>
      <c r="B235" s="725" t="s">
        <v>1679</v>
      </c>
      <c r="C235" s="726" t="s">
        <v>569</v>
      </c>
      <c r="D235" s="727" t="s">
        <v>1680</v>
      </c>
      <c r="E235" s="726" t="s">
        <v>575</v>
      </c>
      <c r="F235" s="727" t="s">
        <v>1681</v>
      </c>
      <c r="G235" s="726" t="s">
        <v>583</v>
      </c>
      <c r="H235" s="726" t="s">
        <v>1182</v>
      </c>
      <c r="I235" s="726" t="s">
        <v>1183</v>
      </c>
      <c r="J235" s="726" t="s">
        <v>1184</v>
      </c>
      <c r="K235" s="726" t="s">
        <v>1185</v>
      </c>
      <c r="L235" s="728">
        <v>26.320000000000007</v>
      </c>
      <c r="M235" s="728">
        <v>1</v>
      </c>
      <c r="N235" s="729">
        <v>26.320000000000007</v>
      </c>
    </row>
    <row r="236" spans="1:14" ht="14.4" customHeight="1" x14ac:dyDescent="0.3">
      <c r="A236" s="724" t="s">
        <v>552</v>
      </c>
      <c r="B236" s="725" t="s">
        <v>1679</v>
      </c>
      <c r="C236" s="726" t="s">
        <v>569</v>
      </c>
      <c r="D236" s="727" t="s">
        <v>1680</v>
      </c>
      <c r="E236" s="726" t="s">
        <v>575</v>
      </c>
      <c r="F236" s="727" t="s">
        <v>1681</v>
      </c>
      <c r="G236" s="726" t="s">
        <v>583</v>
      </c>
      <c r="H236" s="726" t="s">
        <v>1186</v>
      </c>
      <c r="I236" s="726" t="s">
        <v>1187</v>
      </c>
      <c r="J236" s="726" t="s">
        <v>1188</v>
      </c>
      <c r="K236" s="726" t="s">
        <v>1189</v>
      </c>
      <c r="L236" s="728">
        <v>219.9200000000001</v>
      </c>
      <c r="M236" s="728">
        <v>8</v>
      </c>
      <c r="N236" s="729">
        <v>1759.3600000000008</v>
      </c>
    </row>
    <row r="237" spans="1:14" ht="14.4" customHeight="1" x14ac:dyDescent="0.3">
      <c r="A237" s="724" t="s">
        <v>552</v>
      </c>
      <c r="B237" s="725" t="s">
        <v>1679</v>
      </c>
      <c r="C237" s="726" t="s">
        <v>569</v>
      </c>
      <c r="D237" s="727" t="s">
        <v>1680</v>
      </c>
      <c r="E237" s="726" t="s">
        <v>575</v>
      </c>
      <c r="F237" s="727" t="s">
        <v>1681</v>
      </c>
      <c r="G237" s="726" t="s">
        <v>583</v>
      </c>
      <c r="H237" s="726" t="s">
        <v>1190</v>
      </c>
      <c r="I237" s="726" t="s">
        <v>1191</v>
      </c>
      <c r="J237" s="726" t="s">
        <v>1192</v>
      </c>
      <c r="K237" s="726" t="s">
        <v>1193</v>
      </c>
      <c r="L237" s="728">
        <v>174.28999999999996</v>
      </c>
      <c r="M237" s="728">
        <v>4</v>
      </c>
      <c r="N237" s="729">
        <v>697.15999999999985</v>
      </c>
    </row>
    <row r="238" spans="1:14" ht="14.4" customHeight="1" x14ac:dyDescent="0.3">
      <c r="A238" s="724" t="s">
        <v>552</v>
      </c>
      <c r="B238" s="725" t="s">
        <v>1679</v>
      </c>
      <c r="C238" s="726" t="s">
        <v>569</v>
      </c>
      <c r="D238" s="727" t="s">
        <v>1680</v>
      </c>
      <c r="E238" s="726" t="s">
        <v>575</v>
      </c>
      <c r="F238" s="727" t="s">
        <v>1681</v>
      </c>
      <c r="G238" s="726" t="s">
        <v>583</v>
      </c>
      <c r="H238" s="726" t="s">
        <v>1194</v>
      </c>
      <c r="I238" s="726" t="s">
        <v>1195</v>
      </c>
      <c r="J238" s="726" t="s">
        <v>1196</v>
      </c>
      <c r="K238" s="726" t="s">
        <v>1197</v>
      </c>
      <c r="L238" s="728">
        <v>264.94</v>
      </c>
      <c r="M238" s="728">
        <v>1</v>
      </c>
      <c r="N238" s="729">
        <v>264.94</v>
      </c>
    </row>
    <row r="239" spans="1:14" ht="14.4" customHeight="1" x14ac:dyDescent="0.3">
      <c r="A239" s="724" t="s">
        <v>552</v>
      </c>
      <c r="B239" s="725" t="s">
        <v>1679</v>
      </c>
      <c r="C239" s="726" t="s">
        <v>569</v>
      </c>
      <c r="D239" s="727" t="s">
        <v>1680</v>
      </c>
      <c r="E239" s="726" t="s">
        <v>575</v>
      </c>
      <c r="F239" s="727" t="s">
        <v>1681</v>
      </c>
      <c r="G239" s="726" t="s">
        <v>583</v>
      </c>
      <c r="H239" s="726" t="s">
        <v>660</v>
      </c>
      <c r="I239" s="726" t="s">
        <v>661</v>
      </c>
      <c r="J239" s="726" t="s">
        <v>662</v>
      </c>
      <c r="K239" s="726" t="s">
        <v>663</v>
      </c>
      <c r="L239" s="728">
        <v>67.390000000000029</v>
      </c>
      <c r="M239" s="728">
        <v>2</v>
      </c>
      <c r="N239" s="729">
        <v>134.78000000000006</v>
      </c>
    </row>
    <row r="240" spans="1:14" ht="14.4" customHeight="1" x14ac:dyDescent="0.3">
      <c r="A240" s="724" t="s">
        <v>552</v>
      </c>
      <c r="B240" s="725" t="s">
        <v>1679</v>
      </c>
      <c r="C240" s="726" t="s">
        <v>569</v>
      </c>
      <c r="D240" s="727" t="s">
        <v>1680</v>
      </c>
      <c r="E240" s="726" t="s">
        <v>575</v>
      </c>
      <c r="F240" s="727" t="s">
        <v>1681</v>
      </c>
      <c r="G240" s="726" t="s">
        <v>583</v>
      </c>
      <c r="H240" s="726" t="s">
        <v>1198</v>
      </c>
      <c r="I240" s="726" t="s">
        <v>1199</v>
      </c>
      <c r="J240" s="726" t="s">
        <v>1200</v>
      </c>
      <c r="K240" s="726" t="s">
        <v>1201</v>
      </c>
      <c r="L240" s="728">
        <v>356.4000000000002</v>
      </c>
      <c r="M240" s="728">
        <v>1</v>
      </c>
      <c r="N240" s="729">
        <v>356.4000000000002</v>
      </c>
    </row>
    <row r="241" spans="1:14" ht="14.4" customHeight="1" x14ac:dyDescent="0.3">
      <c r="A241" s="724" t="s">
        <v>552</v>
      </c>
      <c r="B241" s="725" t="s">
        <v>1679</v>
      </c>
      <c r="C241" s="726" t="s">
        <v>569</v>
      </c>
      <c r="D241" s="727" t="s">
        <v>1680</v>
      </c>
      <c r="E241" s="726" t="s">
        <v>575</v>
      </c>
      <c r="F241" s="727" t="s">
        <v>1681</v>
      </c>
      <c r="G241" s="726" t="s">
        <v>583</v>
      </c>
      <c r="H241" s="726" t="s">
        <v>1202</v>
      </c>
      <c r="I241" s="726" t="s">
        <v>1203</v>
      </c>
      <c r="J241" s="726" t="s">
        <v>1204</v>
      </c>
      <c r="K241" s="726" t="s">
        <v>1205</v>
      </c>
      <c r="L241" s="728">
        <v>112.95987907507856</v>
      </c>
      <c r="M241" s="728">
        <v>2</v>
      </c>
      <c r="N241" s="729">
        <v>225.91975815015712</v>
      </c>
    </row>
    <row r="242" spans="1:14" ht="14.4" customHeight="1" x14ac:dyDescent="0.3">
      <c r="A242" s="724" t="s">
        <v>552</v>
      </c>
      <c r="B242" s="725" t="s">
        <v>1679</v>
      </c>
      <c r="C242" s="726" t="s">
        <v>569</v>
      </c>
      <c r="D242" s="727" t="s">
        <v>1680</v>
      </c>
      <c r="E242" s="726" t="s">
        <v>575</v>
      </c>
      <c r="F242" s="727" t="s">
        <v>1681</v>
      </c>
      <c r="G242" s="726" t="s">
        <v>583</v>
      </c>
      <c r="H242" s="726" t="s">
        <v>1206</v>
      </c>
      <c r="I242" s="726" t="s">
        <v>1207</v>
      </c>
      <c r="J242" s="726" t="s">
        <v>1208</v>
      </c>
      <c r="K242" s="726" t="s">
        <v>1209</v>
      </c>
      <c r="L242" s="728">
        <v>73.469999999999985</v>
      </c>
      <c r="M242" s="728">
        <v>2</v>
      </c>
      <c r="N242" s="729">
        <v>146.93999999999997</v>
      </c>
    </row>
    <row r="243" spans="1:14" ht="14.4" customHeight="1" x14ac:dyDescent="0.3">
      <c r="A243" s="724" t="s">
        <v>552</v>
      </c>
      <c r="B243" s="725" t="s">
        <v>1679</v>
      </c>
      <c r="C243" s="726" t="s">
        <v>569</v>
      </c>
      <c r="D243" s="727" t="s">
        <v>1680</v>
      </c>
      <c r="E243" s="726" t="s">
        <v>575</v>
      </c>
      <c r="F243" s="727" t="s">
        <v>1681</v>
      </c>
      <c r="G243" s="726" t="s">
        <v>583</v>
      </c>
      <c r="H243" s="726" t="s">
        <v>1210</v>
      </c>
      <c r="I243" s="726" t="s">
        <v>1211</v>
      </c>
      <c r="J243" s="726" t="s">
        <v>666</v>
      </c>
      <c r="K243" s="726" t="s">
        <v>1212</v>
      </c>
      <c r="L243" s="728">
        <v>87.570274403339468</v>
      </c>
      <c r="M243" s="728">
        <v>1</v>
      </c>
      <c r="N243" s="729">
        <v>87.570274403339468</v>
      </c>
    </row>
    <row r="244" spans="1:14" ht="14.4" customHeight="1" x14ac:dyDescent="0.3">
      <c r="A244" s="724" t="s">
        <v>552</v>
      </c>
      <c r="B244" s="725" t="s">
        <v>1679</v>
      </c>
      <c r="C244" s="726" t="s">
        <v>569</v>
      </c>
      <c r="D244" s="727" t="s">
        <v>1680</v>
      </c>
      <c r="E244" s="726" t="s">
        <v>575</v>
      </c>
      <c r="F244" s="727" t="s">
        <v>1681</v>
      </c>
      <c r="G244" s="726" t="s">
        <v>583</v>
      </c>
      <c r="H244" s="726" t="s">
        <v>941</v>
      </c>
      <c r="I244" s="726" t="s">
        <v>942</v>
      </c>
      <c r="J244" s="726" t="s">
        <v>773</v>
      </c>
      <c r="K244" s="726" t="s">
        <v>943</v>
      </c>
      <c r="L244" s="728">
        <v>257.18000000000006</v>
      </c>
      <c r="M244" s="728">
        <v>2</v>
      </c>
      <c r="N244" s="729">
        <v>514.36000000000013</v>
      </c>
    </row>
    <row r="245" spans="1:14" ht="14.4" customHeight="1" x14ac:dyDescent="0.3">
      <c r="A245" s="724" t="s">
        <v>552</v>
      </c>
      <c r="B245" s="725" t="s">
        <v>1679</v>
      </c>
      <c r="C245" s="726" t="s">
        <v>569</v>
      </c>
      <c r="D245" s="727" t="s">
        <v>1680</v>
      </c>
      <c r="E245" s="726" t="s">
        <v>575</v>
      </c>
      <c r="F245" s="727" t="s">
        <v>1681</v>
      </c>
      <c r="G245" s="726" t="s">
        <v>583</v>
      </c>
      <c r="H245" s="726" t="s">
        <v>1213</v>
      </c>
      <c r="I245" s="726" t="s">
        <v>1214</v>
      </c>
      <c r="J245" s="726" t="s">
        <v>1215</v>
      </c>
      <c r="K245" s="726" t="s">
        <v>1216</v>
      </c>
      <c r="L245" s="728">
        <v>100.22999999999999</v>
      </c>
      <c r="M245" s="728">
        <v>4</v>
      </c>
      <c r="N245" s="729">
        <v>400.91999999999996</v>
      </c>
    </row>
    <row r="246" spans="1:14" ht="14.4" customHeight="1" x14ac:dyDescent="0.3">
      <c r="A246" s="724" t="s">
        <v>552</v>
      </c>
      <c r="B246" s="725" t="s">
        <v>1679</v>
      </c>
      <c r="C246" s="726" t="s">
        <v>569</v>
      </c>
      <c r="D246" s="727" t="s">
        <v>1680</v>
      </c>
      <c r="E246" s="726" t="s">
        <v>575</v>
      </c>
      <c r="F246" s="727" t="s">
        <v>1681</v>
      </c>
      <c r="G246" s="726" t="s">
        <v>583</v>
      </c>
      <c r="H246" s="726" t="s">
        <v>1217</v>
      </c>
      <c r="I246" s="726" t="s">
        <v>1218</v>
      </c>
      <c r="J246" s="726" t="s">
        <v>1219</v>
      </c>
      <c r="K246" s="726" t="s">
        <v>1220</v>
      </c>
      <c r="L246" s="728">
        <v>185.83</v>
      </c>
      <c r="M246" s="728">
        <v>1</v>
      </c>
      <c r="N246" s="729">
        <v>185.83</v>
      </c>
    </row>
    <row r="247" spans="1:14" ht="14.4" customHeight="1" x14ac:dyDescent="0.3">
      <c r="A247" s="724" t="s">
        <v>552</v>
      </c>
      <c r="B247" s="725" t="s">
        <v>1679</v>
      </c>
      <c r="C247" s="726" t="s">
        <v>569</v>
      </c>
      <c r="D247" s="727" t="s">
        <v>1680</v>
      </c>
      <c r="E247" s="726" t="s">
        <v>575</v>
      </c>
      <c r="F247" s="727" t="s">
        <v>1681</v>
      </c>
      <c r="G247" s="726" t="s">
        <v>583</v>
      </c>
      <c r="H247" s="726" t="s">
        <v>672</v>
      </c>
      <c r="I247" s="726" t="s">
        <v>673</v>
      </c>
      <c r="J247" s="726" t="s">
        <v>670</v>
      </c>
      <c r="K247" s="726" t="s">
        <v>674</v>
      </c>
      <c r="L247" s="728">
        <v>28.409991054936118</v>
      </c>
      <c r="M247" s="728">
        <v>17</v>
      </c>
      <c r="N247" s="729">
        <v>482.96984793391402</v>
      </c>
    </row>
    <row r="248" spans="1:14" ht="14.4" customHeight="1" x14ac:dyDescent="0.3">
      <c r="A248" s="724" t="s">
        <v>552</v>
      </c>
      <c r="B248" s="725" t="s">
        <v>1679</v>
      </c>
      <c r="C248" s="726" t="s">
        <v>569</v>
      </c>
      <c r="D248" s="727" t="s">
        <v>1680</v>
      </c>
      <c r="E248" s="726" t="s">
        <v>575</v>
      </c>
      <c r="F248" s="727" t="s">
        <v>1681</v>
      </c>
      <c r="G248" s="726" t="s">
        <v>583</v>
      </c>
      <c r="H248" s="726" t="s">
        <v>1221</v>
      </c>
      <c r="I248" s="726" t="s">
        <v>1221</v>
      </c>
      <c r="J248" s="726" t="s">
        <v>585</v>
      </c>
      <c r="K248" s="726" t="s">
        <v>1222</v>
      </c>
      <c r="L248" s="728">
        <v>192.50000000000003</v>
      </c>
      <c r="M248" s="728">
        <v>9</v>
      </c>
      <c r="N248" s="729">
        <v>1732.5000000000002</v>
      </c>
    </row>
    <row r="249" spans="1:14" ht="14.4" customHeight="1" x14ac:dyDescent="0.3">
      <c r="A249" s="724" t="s">
        <v>552</v>
      </c>
      <c r="B249" s="725" t="s">
        <v>1679</v>
      </c>
      <c r="C249" s="726" t="s">
        <v>569</v>
      </c>
      <c r="D249" s="727" t="s">
        <v>1680</v>
      </c>
      <c r="E249" s="726" t="s">
        <v>575</v>
      </c>
      <c r="F249" s="727" t="s">
        <v>1681</v>
      </c>
      <c r="G249" s="726" t="s">
        <v>583</v>
      </c>
      <c r="H249" s="726" t="s">
        <v>1223</v>
      </c>
      <c r="I249" s="726" t="s">
        <v>1223</v>
      </c>
      <c r="J249" s="726" t="s">
        <v>1224</v>
      </c>
      <c r="K249" s="726" t="s">
        <v>1225</v>
      </c>
      <c r="L249" s="728">
        <v>94.250000000000028</v>
      </c>
      <c r="M249" s="728">
        <v>1</v>
      </c>
      <c r="N249" s="729">
        <v>94.250000000000028</v>
      </c>
    </row>
    <row r="250" spans="1:14" ht="14.4" customHeight="1" x14ac:dyDescent="0.3">
      <c r="A250" s="724" t="s">
        <v>552</v>
      </c>
      <c r="B250" s="725" t="s">
        <v>1679</v>
      </c>
      <c r="C250" s="726" t="s">
        <v>569</v>
      </c>
      <c r="D250" s="727" t="s">
        <v>1680</v>
      </c>
      <c r="E250" s="726" t="s">
        <v>575</v>
      </c>
      <c r="F250" s="727" t="s">
        <v>1681</v>
      </c>
      <c r="G250" s="726" t="s">
        <v>583</v>
      </c>
      <c r="H250" s="726" t="s">
        <v>1226</v>
      </c>
      <c r="I250" s="726" t="s">
        <v>1227</v>
      </c>
      <c r="J250" s="726" t="s">
        <v>1228</v>
      </c>
      <c r="K250" s="726" t="s">
        <v>1229</v>
      </c>
      <c r="L250" s="728">
        <v>42.170000000000037</v>
      </c>
      <c r="M250" s="728">
        <v>2</v>
      </c>
      <c r="N250" s="729">
        <v>84.340000000000074</v>
      </c>
    </row>
    <row r="251" spans="1:14" ht="14.4" customHeight="1" x14ac:dyDescent="0.3">
      <c r="A251" s="724" t="s">
        <v>552</v>
      </c>
      <c r="B251" s="725" t="s">
        <v>1679</v>
      </c>
      <c r="C251" s="726" t="s">
        <v>569</v>
      </c>
      <c r="D251" s="727" t="s">
        <v>1680</v>
      </c>
      <c r="E251" s="726" t="s">
        <v>575</v>
      </c>
      <c r="F251" s="727" t="s">
        <v>1681</v>
      </c>
      <c r="G251" s="726" t="s">
        <v>583</v>
      </c>
      <c r="H251" s="726" t="s">
        <v>1230</v>
      </c>
      <c r="I251" s="726" t="s">
        <v>1231</v>
      </c>
      <c r="J251" s="726" t="s">
        <v>1232</v>
      </c>
      <c r="K251" s="726" t="s">
        <v>601</v>
      </c>
      <c r="L251" s="728">
        <v>57.120005925775786</v>
      </c>
      <c r="M251" s="728">
        <v>50</v>
      </c>
      <c r="N251" s="729">
        <v>2856.0002962887893</v>
      </c>
    </row>
    <row r="252" spans="1:14" ht="14.4" customHeight="1" x14ac:dyDescent="0.3">
      <c r="A252" s="724" t="s">
        <v>552</v>
      </c>
      <c r="B252" s="725" t="s">
        <v>1679</v>
      </c>
      <c r="C252" s="726" t="s">
        <v>569</v>
      </c>
      <c r="D252" s="727" t="s">
        <v>1680</v>
      </c>
      <c r="E252" s="726" t="s">
        <v>575</v>
      </c>
      <c r="F252" s="727" t="s">
        <v>1681</v>
      </c>
      <c r="G252" s="726" t="s">
        <v>583</v>
      </c>
      <c r="H252" s="726" t="s">
        <v>1233</v>
      </c>
      <c r="I252" s="726" t="s">
        <v>1234</v>
      </c>
      <c r="J252" s="726" t="s">
        <v>1235</v>
      </c>
      <c r="K252" s="726" t="s">
        <v>597</v>
      </c>
      <c r="L252" s="728">
        <v>125.7</v>
      </c>
      <c r="M252" s="728">
        <v>190</v>
      </c>
      <c r="N252" s="729">
        <v>23883</v>
      </c>
    </row>
    <row r="253" spans="1:14" ht="14.4" customHeight="1" x14ac:dyDescent="0.3">
      <c r="A253" s="724" t="s">
        <v>552</v>
      </c>
      <c r="B253" s="725" t="s">
        <v>1679</v>
      </c>
      <c r="C253" s="726" t="s">
        <v>569</v>
      </c>
      <c r="D253" s="727" t="s">
        <v>1680</v>
      </c>
      <c r="E253" s="726" t="s">
        <v>575</v>
      </c>
      <c r="F253" s="727" t="s">
        <v>1681</v>
      </c>
      <c r="G253" s="726" t="s">
        <v>583</v>
      </c>
      <c r="H253" s="726" t="s">
        <v>675</v>
      </c>
      <c r="I253" s="726" t="s">
        <v>676</v>
      </c>
      <c r="J253" s="726" t="s">
        <v>677</v>
      </c>
      <c r="K253" s="726" t="s">
        <v>678</v>
      </c>
      <c r="L253" s="728">
        <v>60.28</v>
      </c>
      <c r="M253" s="728">
        <v>4</v>
      </c>
      <c r="N253" s="729">
        <v>241.12</v>
      </c>
    </row>
    <row r="254" spans="1:14" ht="14.4" customHeight="1" x14ac:dyDescent="0.3">
      <c r="A254" s="724" t="s">
        <v>552</v>
      </c>
      <c r="B254" s="725" t="s">
        <v>1679</v>
      </c>
      <c r="C254" s="726" t="s">
        <v>569</v>
      </c>
      <c r="D254" s="727" t="s">
        <v>1680</v>
      </c>
      <c r="E254" s="726" t="s">
        <v>575</v>
      </c>
      <c r="F254" s="727" t="s">
        <v>1681</v>
      </c>
      <c r="G254" s="726" t="s">
        <v>583</v>
      </c>
      <c r="H254" s="726" t="s">
        <v>1236</v>
      </c>
      <c r="I254" s="726" t="s">
        <v>1237</v>
      </c>
      <c r="J254" s="726" t="s">
        <v>1238</v>
      </c>
      <c r="K254" s="726" t="s">
        <v>1239</v>
      </c>
      <c r="L254" s="728">
        <v>65.249990021308278</v>
      </c>
      <c r="M254" s="728">
        <v>21</v>
      </c>
      <c r="N254" s="729">
        <v>1370.2497904474737</v>
      </c>
    </row>
    <row r="255" spans="1:14" ht="14.4" customHeight="1" x14ac:dyDescent="0.3">
      <c r="A255" s="724" t="s">
        <v>552</v>
      </c>
      <c r="B255" s="725" t="s">
        <v>1679</v>
      </c>
      <c r="C255" s="726" t="s">
        <v>569</v>
      </c>
      <c r="D255" s="727" t="s">
        <v>1680</v>
      </c>
      <c r="E255" s="726" t="s">
        <v>575</v>
      </c>
      <c r="F255" s="727" t="s">
        <v>1681</v>
      </c>
      <c r="G255" s="726" t="s">
        <v>583</v>
      </c>
      <c r="H255" s="726" t="s">
        <v>679</v>
      </c>
      <c r="I255" s="726" t="s">
        <v>680</v>
      </c>
      <c r="J255" s="726" t="s">
        <v>681</v>
      </c>
      <c r="K255" s="726" t="s">
        <v>682</v>
      </c>
      <c r="L255" s="728">
        <v>111.72</v>
      </c>
      <c r="M255" s="728">
        <v>2</v>
      </c>
      <c r="N255" s="729">
        <v>223.44</v>
      </c>
    </row>
    <row r="256" spans="1:14" ht="14.4" customHeight="1" x14ac:dyDescent="0.3">
      <c r="A256" s="724" t="s">
        <v>552</v>
      </c>
      <c r="B256" s="725" t="s">
        <v>1679</v>
      </c>
      <c r="C256" s="726" t="s">
        <v>569</v>
      </c>
      <c r="D256" s="727" t="s">
        <v>1680</v>
      </c>
      <c r="E256" s="726" t="s">
        <v>575</v>
      </c>
      <c r="F256" s="727" t="s">
        <v>1681</v>
      </c>
      <c r="G256" s="726" t="s">
        <v>583</v>
      </c>
      <c r="H256" s="726" t="s">
        <v>948</v>
      </c>
      <c r="I256" s="726" t="s">
        <v>949</v>
      </c>
      <c r="J256" s="726" t="s">
        <v>950</v>
      </c>
      <c r="K256" s="726" t="s">
        <v>951</v>
      </c>
      <c r="L256" s="728">
        <v>666.52</v>
      </c>
      <c r="M256" s="728">
        <v>1</v>
      </c>
      <c r="N256" s="729">
        <v>666.52</v>
      </c>
    </row>
    <row r="257" spans="1:14" ht="14.4" customHeight="1" x14ac:dyDescent="0.3">
      <c r="A257" s="724" t="s">
        <v>552</v>
      </c>
      <c r="B257" s="725" t="s">
        <v>1679</v>
      </c>
      <c r="C257" s="726" t="s">
        <v>569</v>
      </c>
      <c r="D257" s="727" t="s">
        <v>1680</v>
      </c>
      <c r="E257" s="726" t="s">
        <v>575</v>
      </c>
      <c r="F257" s="727" t="s">
        <v>1681</v>
      </c>
      <c r="G257" s="726" t="s">
        <v>583</v>
      </c>
      <c r="H257" s="726" t="s">
        <v>1240</v>
      </c>
      <c r="I257" s="726" t="s">
        <v>1241</v>
      </c>
      <c r="J257" s="726" t="s">
        <v>1242</v>
      </c>
      <c r="K257" s="726" t="s">
        <v>1243</v>
      </c>
      <c r="L257" s="728">
        <v>1592.8</v>
      </c>
      <c r="M257" s="728">
        <v>1</v>
      </c>
      <c r="N257" s="729">
        <v>1592.8</v>
      </c>
    </row>
    <row r="258" spans="1:14" ht="14.4" customHeight="1" x14ac:dyDescent="0.3">
      <c r="A258" s="724" t="s">
        <v>552</v>
      </c>
      <c r="B258" s="725" t="s">
        <v>1679</v>
      </c>
      <c r="C258" s="726" t="s">
        <v>569</v>
      </c>
      <c r="D258" s="727" t="s">
        <v>1680</v>
      </c>
      <c r="E258" s="726" t="s">
        <v>575</v>
      </c>
      <c r="F258" s="727" t="s">
        <v>1681</v>
      </c>
      <c r="G258" s="726" t="s">
        <v>583</v>
      </c>
      <c r="H258" s="726" t="s">
        <v>683</v>
      </c>
      <c r="I258" s="726" t="s">
        <v>684</v>
      </c>
      <c r="J258" s="726" t="s">
        <v>685</v>
      </c>
      <c r="K258" s="726" t="s">
        <v>686</v>
      </c>
      <c r="L258" s="728">
        <v>242.00000000092697</v>
      </c>
      <c r="M258" s="728">
        <v>71</v>
      </c>
      <c r="N258" s="729">
        <v>17182.000000065815</v>
      </c>
    </row>
    <row r="259" spans="1:14" ht="14.4" customHeight="1" x14ac:dyDescent="0.3">
      <c r="A259" s="724" t="s">
        <v>552</v>
      </c>
      <c r="B259" s="725" t="s">
        <v>1679</v>
      </c>
      <c r="C259" s="726" t="s">
        <v>569</v>
      </c>
      <c r="D259" s="727" t="s">
        <v>1680</v>
      </c>
      <c r="E259" s="726" t="s">
        <v>575</v>
      </c>
      <c r="F259" s="727" t="s">
        <v>1681</v>
      </c>
      <c r="G259" s="726" t="s">
        <v>583</v>
      </c>
      <c r="H259" s="726" t="s">
        <v>1244</v>
      </c>
      <c r="I259" s="726" t="s">
        <v>1245</v>
      </c>
      <c r="J259" s="726" t="s">
        <v>1246</v>
      </c>
      <c r="K259" s="726" t="s">
        <v>1247</v>
      </c>
      <c r="L259" s="728">
        <v>102.49000000000002</v>
      </c>
      <c r="M259" s="728">
        <v>1</v>
      </c>
      <c r="N259" s="729">
        <v>102.49000000000002</v>
      </c>
    </row>
    <row r="260" spans="1:14" ht="14.4" customHeight="1" x14ac:dyDescent="0.3">
      <c r="A260" s="724" t="s">
        <v>552</v>
      </c>
      <c r="B260" s="725" t="s">
        <v>1679</v>
      </c>
      <c r="C260" s="726" t="s">
        <v>569</v>
      </c>
      <c r="D260" s="727" t="s">
        <v>1680</v>
      </c>
      <c r="E260" s="726" t="s">
        <v>575</v>
      </c>
      <c r="F260" s="727" t="s">
        <v>1681</v>
      </c>
      <c r="G260" s="726" t="s">
        <v>583</v>
      </c>
      <c r="H260" s="726" t="s">
        <v>1248</v>
      </c>
      <c r="I260" s="726" t="s">
        <v>1249</v>
      </c>
      <c r="J260" s="726" t="s">
        <v>1250</v>
      </c>
      <c r="K260" s="726" t="s">
        <v>1251</v>
      </c>
      <c r="L260" s="728">
        <v>1704.5600000000002</v>
      </c>
      <c r="M260" s="728">
        <v>6</v>
      </c>
      <c r="N260" s="729">
        <v>10227.36</v>
      </c>
    </row>
    <row r="261" spans="1:14" ht="14.4" customHeight="1" x14ac:dyDescent="0.3">
      <c r="A261" s="724" t="s">
        <v>552</v>
      </c>
      <c r="B261" s="725" t="s">
        <v>1679</v>
      </c>
      <c r="C261" s="726" t="s">
        <v>569</v>
      </c>
      <c r="D261" s="727" t="s">
        <v>1680</v>
      </c>
      <c r="E261" s="726" t="s">
        <v>575</v>
      </c>
      <c r="F261" s="727" t="s">
        <v>1681</v>
      </c>
      <c r="G261" s="726" t="s">
        <v>583</v>
      </c>
      <c r="H261" s="726" t="s">
        <v>1252</v>
      </c>
      <c r="I261" s="726" t="s">
        <v>1253</v>
      </c>
      <c r="J261" s="726" t="s">
        <v>1254</v>
      </c>
      <c r="K261" s="726" t="s">
        <v>1255</v>
      </c>
      <c r="L261" s="728">
        <v>20.7585847826087</v>
      </c>
      <c r="M261" s="728">
        <v>460</v>
      </c>
      <c r="N261" s="729">
        <v>9548.9490000000023</v>
      </c>
    </row>
    <row r="262" spans="1:14" ht="14.4" customHeight="1" x14ac:dyDescent="0.3">
      <c r="A262" s="724" t="s">
        <v>552</v>
      </c>
      <c r="B262" s="725" t="s">
        <v>1679</v>
      </c>
      <c r="C262" s="726" t="s">
        <v>569</v>
      </c>
      <c r="D262" s="727" t="s">
        <v>1680</v>
      </c>
      <c r="E262" s="726" t="s">
        <v>575</v>
      </c>
      <c r="F262" s="727" t="s">
        <v>1681</v>
      </c>
      <c r="G262" s="726" t="s">
        <v>583</v>
      </c>
      <c r="H262" s="726" t="s">
        <v>1256</v>
      </c>
      <c r="I262" s="726" t="s">
        <v>1257</v>
      </c>
      <c r="J262" s="726" t="s">
        <v>1258</v>
      </c>
      <c r="K262" s="726" t="s">
        <v>1259</v>
      </c>
      <c r="L262" s="728">
        <v>46.710000000000015</v>
      </c>
      <c r="M262" s="728">
        <v>4</v>
      </c>
      <c r="N262" s="729">
        <v>186.84000000000006</v>
      </c>
    </row>
    <row r="263" spans="1:14" ht="14.4" customHeight="1" x14ac:dyDescent="0.3">
      <c r="A263" s="724" t="s">
        <v>552</v>
      </c>
      <c r="B263" s="725" t="s">
        <v>1679</v>
      </c>
      <c r="C263" s="726" t="s">
        <v>569</v>
      </c>
      <c r="D263" s="727" t="s">
        <v>1680</v>
      </c>
      <c r="E263" s="726" t="s">
        <v>575</v>
      </c>
      <c r="F263" s="727" t="s">
        <v>1681</v>
      </c>
      <c r="G263" s="726" t="s">
        <v>583</v>
      </c>
      <c r="H263" s="726" t="s">
        <v>1260</v>
      </c>
      <c r="I263" s="726" t="s">
        <v>715</v>
      </c>
      <c r="J263" s="726" t="s">
        <v>1261</v>
      </c>
      <c r="K263" s="726"/>
      <c r="L263" s="728">
        <v>169.91999999999996</v>
      </c>
      <c r="M263" s="728">
        <v>2</v>
      </c>
      <c r="N263" s="729">
        <v>339.83999999999992</v>
      </c>
    </row>
    <row r="264" spans="1:14" ht="14.4" customHeight="1" x14ac:dyDescent="0.3">
      <c r="A264" s="724" t="s">
        <v>552</v>
      </c>
      <c r="B264" s="725" t="s">
        <v>1679</v>
      </c>
      <c r="C264" s="726" t="s">
        <v>569</v>
      </c>
      <c r="D264" s="727" t="s">
        <v>1680</v>
      </c>
      <c r="E264" s="726" t="s">
        <v>575</v>
      </c>
      <c r="F264" s="727" t="s">
        <v>1681</v>
      </c>
      <c r="G264" s="726" t="s">
        <v>583</v>
      </c>
      <c r="H264" s="726" t="s">
        <v>1262</v>
      </c>
      <c r="I264" s="726" t="s">
        <v>715</v>
      </c>
      <c r="J264" s="726" t="s">
        <v>1263</v>
      </c>
      <c r="K264" s="726"/>
      <c r="L264" s="728">
        <v>339.84000000000003</v>
      </c>
      <c r="M264" s="728">
        <v>1</v>
      </c>
      <c r="N264" s="729">
        <v>339.84000000000003</v>
      </c>
    </row>
    <row r="265" spans="1:14" ht="14.4" customHeight="1" x14ac:dyDescent="0.3">
      <c r="A265" s="724" t="s">
        <v>552</v>
      </c>
      <c r="B265" s="725" t="s">
        <v>1679</v>
      </c>
      <c r="C265" s="726" t="s">
        <v>569</v>
      </c>
      <c r="D265" s="727" t="s">
        <v>1680</v>
      </c>
      <c r="E265" s="726" t="s">
        <v>575</v>
      </c>
      <c r="F265" s="727" t="s">
        <v>1681</v>
      </c>
      <c r="G265" s="726" t="s">
        <v>583</v>
      </c>
      <c r="H265" s="726" t="s">
        <v>964</v>
      </c>
      <c r="I265" s="726" t="s">
        <v>965</v>
      </c>
      <c r="J265" s="726" t="s">
        <v>966</v>
      </c>
      <c r="K265" s="726" t="s">
        <v>613</v>
      </c>
      <c r="L265" s="728">
        <v>45.227777777777789</v>
      </c>
      <c r="M265" s="728">
        <v>81</v>
      </c>
      <c r="N265" s="729">
        <v>3663.4500000000007</v>
      </c>
    </row>
    <row r="266" spans="1:14" ht="14.4" customHeight="1" x14ac:dyDescent="0.3">
      <c r="A266" s="724" t="s">
        <v>552</v>
      </c>
      <c r="B266" s="725" t="s">
        <v>1679</v>
      </c>
      <c r="C266" s="726" t="s">
        <v>569</v>
      </c>
      <c r="D266" s="727" t="s">
        <v>1680</v>
      </c>
      <c r="E266" s="726" t="s">
        <v>575</v>
      </c>
      <c r="F266" s="727" t="s">
        <v>1681</v>
      </c>
      <c r="G266" s="726" t="s">
        <v>583</v>
      </c>
      <c r="H266" s="726" t="s">
        <v>1264</v>
      </c>
      <c r="I266" s="726" t="s">
        <v>1265</v>
      </c>
      <c r="J266" s="726" t="s">
        <v>1266</v>
      </c>
      <c r="K266" s="726" t="s">
        <v>1267</v>
      </c>
      <c r="L266" s="728">
        <v>62.139999999999986</v>
      </c>
      <c r="M266" s="728">
        <v>6</v>
      </c>
      <c r="N266" s="729">
        <v>372.83999999999992</v>
      </c>
    </row>
    <row r="267" spans="1:14" ht="14.4" customHeight="1" x14ac:dyDescent="0.3">
      <c r="A267" s="724" t="s">
        <v>552</v>
      </c>
      <c r="B267" s="725" t="s">
        <v>1679</v>
      </c>
      <c r="C267" s="726" t="s">
        <v>569</v>
      </c>
      <c r="D267" s="727" t="s">
        <v>1680</v>
      </c>
      <c r="E267" s="726" t="s">
        <v>575</v>
      </c>
      <c r="F267" s="727" t="s">
        <v>1681</v>
      </c>
      <c r="G267" s="726" t="s">
        <v>583</v>
      </c>
      <c r="H267" s="726" t="s">
        <v>1268</v>
      </c>
      <c r="I267" s="726" t="s">
        <v>1269</v>
      </c>
      <c r="J267" s="726" t="s">
        <v>1270</v>
      </c>
      <c r="K267" s="726" t="s">
        <v>1271</v>
      </c>
      <c r="L267" s="728">
        <v>254.97997843321329</v>
      </c>
      <c r="M267" s="728">
        <v>2</v>
      </c>
      <c r="N267" s="729">
        <v>509.95995686642658</v>
      </c>
    </row>
    <row r="268" spans="1:14" ht="14.4" customHeight="1" x14ac:dyDescent="0.3">
      <c r="A268" s="724" t="s">
        <v>552</v>
      </c>
      <c r="B268" s="725" t="s">
        <v>1679</v>
      </c>
      <c r="C268" s="726" t="s">
        <v>569</v>
      </c>
      <c r="D268" s="727" t="s">
        <v>1680</v>
      </c>
      <c r="E268" s="726" t="s">
        <v>575</v>
      </c>
      <c r="F268" s="727" t="s">
        <v>1681</v>
      </c>
      <c r="G268" s="726" t="s">
        <v>583</v>
      </c>
      <c r="H268" s="726" t="s">
        <v>1272</v>
      </c>
      <c r="I268" s="726" t="s">
        <v>1273</v>
      </c>
      <c r="J268" s="726" t="s">
        <v>1274</v>
      </c>
      <c r="K268" s="726" t="s">
        <v>1275</v>
      </c>
      <c r="L268" s="728">
        <v>134.2300000000001</v>
      </c>
      <c r="M268" s="728">
        <v>1</v>
      </c>
      <c r="N268" s="729">
        <v>134.2300000000001</v>
      </c>
    </row>
    <row r="269" spans="1:14" ht="14.4" customHeight="1" x14ac:dyDescent="0.3">
      <c r="A269" s="724" t="s">
        <v>552</v>
      </c>
      <c r="B269" s="725" t="s">
        <v>1679</v>
      </c>
      <c r="C269" s="726" t="s">
        <v>569</v>
      </c>
      <c r="D269" s="727" t="s">
        <v>1680</v>
      </c>
      <c r="E269" s="726" t="s">
        <v>575</v>
      </c>
      <c r="F269" s="727" t="s">
        <v>1681</v>
      </c>
      <c r="G269" s="726" t="s">
        <v>583</v>
      </c>
      <c r="H269" s="726" t="s">
        <v>1276</v>
      </c>
      <c r="I269" s="726" t="s">
        <v>1277</v>
      </c>
      <c r="J269" s="726" t="s">
        <v>1278</v>
      </c>
      <c r="K269" s="726" t="s">
        <v>1279</v>
      </c>
      <c r="L269" s="728">
        <v>943.7700000000001</v>
      </c>
      <c r="M269" s="728">
        <v>1</v>
      </c>
      <c r="N269" s="729">
        <v>943.7700000000001</v>
      </c>
    </row>
    <row r="270" spans="1:14" ht="14.4" customHeight="1" x14ac:dyDescent="0.3">
      <c r="A270" s="724" t="s">
        <v>552</v>
      </c>
      <c r="B270" s="725" t="s">
        <v>1679</v>
      </c>
      <c r="C270" s="726" t="s">
        <v>569</v>
      </c>
      <c r="D270" s="727" t="s">
        <v>1680</v>
      </c>
      <c r="E270" s="726" t="s">
        <v>575</v>
      </c>
      <c r="F270" s="727" t="s">
        <v>1681</v>
      </c>
      <c r="G270" s="726" t="s">
        <v>583</v>
      </c>
      <c r="H270" s="726" t="s">
        <v>1280</v>
      </c>
      <c r="I270" s="726" t="s">
        <v>1281</v>
      </c>
      <c r="J270" s="726" t="s">
        <v>1282</v>
      </c>
      <c r="K270" s="726" t="s">
        <v>1283</v>
      </c>
      <c r="L270" s="728">
        <v>209.00999999999991</v>
      </c>
      <c r="M270" s="728">
        <v>1</v>
      </c>
      <c r="N270" s="729">
        <v>209.00999999999991</v>
      </c>
    </row>
    <row r="271" spans="1:14" ht="14.4" customHeight="1" x14ac:dyDescent="0.3">
      <c r="A271" s="724" t="s">
        <v>552</v>
      </c>
      <c r="B271" s="725" t="s">
        <v>1679</v>
      </c>
      <c r="C271" s="726" t="s">
        <v>569</v>
      </c>
      <c r="D271" s="727" t="s">
        <v>1680</v>
      </c>
      <c r="E271" s="726" t="s">
        <v>575</v>
      </c>
      <c r="F271" s="727" t="s">
        <v>1681</v>
      </c>
      <c r="G271" s="726" t="s">
        <v>583</v>
      </c>
      <c r="H271" s="726" t="s">
        <v>1284</v>
      </c>
      <c r="I271" s="726" t="s">
        <v>1285</v>
      </c>
      <c r="J271" s="726" t="s">
        <v>1286</v>
      </c>
      <c r="K271" s="726" t="s">
        <v>1287</v>
      </c>
      <c r="L271" s="728">
        <v>269.32039908390396</v>
      </c>
      <c r="M271" s="728">
        <v>19</v>
      </c>
      <c r="N271" s="729">
        <v>5117.0875825941748</v>
      </c>
    </row>
    <row r="272" spans="1:14" ht="14.4" customHeight="1" x14ac:dyDescent="0.3">
      <c r="A272" s="724" t="s">
        <v>552</v>
      </c>
      <c r="B272" s="725" t="s">
        <v>1679</v>
      </c>
      <c r="C272" s="726" t="s">
        <v>569</v>
      </c>
      <c r="D272" s="727" t="s">
        <v>1680</v>
      </c>
      <c r="E272" s="726" t="s">
        <v>575</v>
      </c>
      <c r="F272" s="727" t="s">
        <v>1681</v>
      </c>
      <c r="G272" s="726" t="s">
        <v>583</v>
      </c>
      <c r="H272" s="726" t="s">
        <v>1288</v>
      </c>
      <c r="I272" s="726" t="s">
        <v>1289</v>
      </c>
      <c r="J272" s="726" t="s">
        <v>1290</v>
      </c>
      <c r="K272" s="726" t="s">
        <v>1291</v>
      </c>
      <c r="L272" s="728">
        <v>1333.0899999999997</v>
      </c>
      <c r="M272" s="728">
        <v>2</v>
      </c>
      <c r="N272" s="729">
        <v>2666.1799999999994</v>
      </c>
    </row>
    <row r="273" spans="1:14" ht="14.4" customHeight="1" x14ac:dyDescent="0.3">
      <c r="A273" s="724" t="s">
        <v>552</v>
      </c>
      <c r="B273" s="725" t="s">
        <v>1679</v>
      </c>
      <c r="C273" s="726" t="s">
        <v>569</v>
      </c>
      <c r="D273" s="727" t="s">
        <v>1680</v>
      </c>
      <c r="E273" s="726" t="s">
        <v>575</v>
      </c>
      <c r="F273" s="727" t="s">
        <v>1681</v>
      </c>
      <c r="G273" s="726" t="s">
        <v>583</v>
      </c>
      <c r="H273" s="726" t="s">
        <v>1292</v>
      </c>
      <c r="I273" s="726" t="s">
        <v>1293</v>
      </c>
      <c r="J273" s="726" t="s">
        <v>1294</v>
      </c>
      <c r="K273" s="726" t="s">
        <v>1295</v>
      </c>
      <c r="L273" s="728">
        <v>1037.7499999999998</v>
      </c>
      <c r="M273" s="728">
        <v>1</v>
      </c>
      <c r="N273" s="729">
        <v>1037.7499999999998</v>
      </c>
    </row>
    <row r="274" spans="1:14" ht="14.4" customHeight="1" x14ac:dyDescent="0.3">
      <c r="A274" s="724" t="s">
        <v>552</v>
      </c>
      <c r="B274" s="725" t="s">
        <v>1679</v>
      </c>
      <c r="C274" s="726" t="s">
        <v>569</v>
      </c>
      <c r="D274" s="727" t="s">
        <v>1680</v>
      </c>
      <c r="E274" s="726" t="s">
        <v>575</v>
      </c>
      <c r="F274" s="727" t="s">
        <v>1681</v>
      </c>
      <c r="G274" s="726" t="s">
        <v>583</v>
      </c>
      <c r="H274" s="726" t="s">
        <v>1296</v>
      </c>
      <c r="I274" s="726" t="s">
        <v>1297</v>
      </c>
      <c r="J274" s="726" t="s">
        <v>1298</v>
      </c>
      <c r="K274" s="726" t="s">
        <v>1299</v>
      </c>
      <c r="L274" s="728">
        <v>85.749124895133065</v>
      </c>
      <c r="M274" s="728">
        <v>8</v>
      </c>
      <c r="N274" s="729">
        <v>685.99299916106452</v>
      </c>
    </row>
    <row r="275" spans="1:14" ht="14.4" customHeight="1" x14ac:dyDescent="0.3">
      <c r="A275" s="724" t="s">
        <v>552</v>
      </c>
      <c r="B275" s="725" t="s">
        <v>1679</v>
      </c>
      <c r="C275" s="726" t="s">
        <v>569</v>
      </c>
      <c r="D275" s="727" t="s">
        <v>1680</v>
      </c>
      <c r="E275" s="726" t="s">
        <v>575</v>
      </c>
      <c r="F275" s="727" t="s">
        <v>1681</v>
      </c>
      <c r="G275" s="726" t="s">
        <v>583</v>
      </c>
      <c r="H275" s="726" t="s">
        <v>1300</v>
      </c>
      <c r="I275" s="726" t="s">
        <v>715</v>
      </c>
      <c r="J275" s="726" t="s">
        <v>1301</v>
      </c>
      <c r="K275" s="726"/>
      <c r="L275" s="728">
        <v>398.32302577060193</v>
      </c>
      <c r="M275" s="728">
        <v>1</v>
      </c>
      <c r="N275" s="729">
        <v>398.32302577060193</v>
      </c>
    </row>
    <row r="276" spans="1:14" ht="14.4" customHeight="1" x14ac:dyDescent="0.3">
      <c r="A276" s="724" t="s">
        <v>552</v>
      </c>
      <c r="B276" s="725" t="s">
        <v>1679</v>
      </c>
      <c r="C276" s="726" t="s">
        <v>569</v>
      </c>
      <c r="D276" s="727" t="s">
        <v>1680</v>
      </c>
      <c r="E276" s="726" t="s">
        <v>575</v>
      </c>
      <c r="F276" s="727" t="s">
        <v>1681</v>
      </c>
      <c r="G276" s="726" t="s">
        <v>583</v>
      </c>
      <c r="H276" s="726" t="s">
        <v>1302</v>
      </c>
      <c r="I276" s="726" t="s">
        <v>1303</v>
      </c>
      <c r="J276" s="726" t="s">
        <v>1304</v>
      </c>
      <c r="K276" s="726" t="s">
        <v>1305</v>
      </c>
      <c r="L276" s="728">
        <v>31.45999326434486</v>
      </c>
      <c r="M276" s="728">
        <v>5</v>
      </c>
      <c r="N276" s="729">
        <v>157.2999663217243</v>
      </c>
    </row>
    <row r="277" spans="1:14" ht="14.4" customHeight="1" x14ac:dyDescent="0.3">
      <c r="A277" s="724" t="s">
        <v>552</v>
      </c>
      <c r="B277" s="725" t="s">
        <v>1679</v>
      </c>
      <c r="C277" s="726" t="s">
        <v>569</v>
      </c>
      <c r="D277" s="727" t="s">
        <v>1680</v>
      </c>
      <c r="E277" s="726" t="s">
        <v>575</v>
      </c>
      <c r="F277" s="727" t="s">
        <v>1681</v>
      </c>
      <c r="G277" s="726" t="s">
        <v>583</v>
      </c>
      <c r="H277" s="726" t="s">
        <v>1306</v>
      </c>
      <c r="I277" s="726" t="s">
        <v>1307</v>
      </c>
      <c r="J277" s="726" t="s">
        <v>1308</v>
      </c>
      <c r="K277" s="726" t="s">
        <v>1309</v>
      </c>
      <c r="L277" s="728">
        <v>91.61</v>
      </c>
      <c r="M277" s="728">
        <v>3</v>
      </c>
      <c r="N277" s="729">
        <v>274.83</v>
      </c>
    </row>
    <row r="278" spans="1:14" ht="14.4" customHeight="1" x14ac:dyDescent="0.3">
      <c r="A278" s="724" t="s">
        <v>552</v>
      </c>
      <c r="B278" s="725" t="s">
        <v>1679</v>
      </c>
      <c r="C278" s="726" t="s">
        <v>569</v>
      </c>
      <c r="D278" s="727" t="s">
        <v>1680</v>
      </c>
      <c r="E278" s="726" t="s">
        <v>575</v>
      </c>
      <c r="F278" s="727" t="s">
        <v>1681</v>
      </c>
      <c r="G278" s="726" t="s">
        <v>583</v>
      </c>
      <c r="H278" s="726" t="s">
        <v>1310</v>
      </c>
      <c r="I278" s="726" t="s">
        <v>1311</v>
      </c>
      <c r="J278" s="726" t="s">
        <v>1312</v>
      </c>
      <c r="K278" s="726" t="s">
        <v>1313</v>
      </c>
      <c r="L278" s="728">
        <v>33.11</v>
      </c>
      <c r="M278" s="728">
        <v>1</v>
      </c>
      <c r="N278" s="729">
        <v>33.11</v>
      </c>
    </row>
    <row r="279" spans="1:14" ht="14.4" customHeight="1" x14ac:dyDescent="0.3">
      <c r="A279" s="724" t="s">
        <v>552</v>
      </c>
      <c r="B279" s="725" t="s">
        <v>1679</v>
      </c>
      <c r="C279" s="726" t="s">
        <v>569</v>
      </c>
      <c r="D279" s="727" t="s">
        <v>1680</v>
      </c>
      <c r="E279" s="726" t="s">
        <v>575</v>
      </c>
      <c r="F279" s="727" t="s">
        <v>1681</v>
      </c>
      <c r="G279" s="726" t="s">
        <v>583</v>
      </c>
      <c r="H279" s="726" t="s">
        <v>1314</v>
      </c>
      <c r="I279" s="726" t="s">
        <v>1315</v>
      </c>
      <c r="J279" s="726" t="s">
        <v>1316</v>
      </c>
      <c r="K279" s="726" t="s">
        <v>1317</v>
      </c>
      <c r="L279" s="728">
        <v>149.6400000000001</v>
      </c>
      <c r="M279" s="728">
        <v>3</v>
      </c>
      <c r="N279" s="729">
        <v>448.9200000000003</v>
      </c>
    </row>
    <row r="280" spans="1:14" ht="14.4" customHeight="1" x14ac:dyDescent="0.3">
      <c r="A280" s="724" t="s">
        <v>552</v>
      </c>
      <c r="B280" s="725" t="s">
        <v>1679</v>
      </c>
      <c r="C280" s="726" t="s">
        <v>569</v>
      </c>
      <c r="D280" s="727" t="s">
        <v>1680</v>
      </c>
      <c r="E280" s="726" t="s">
        <v>575</v>
      </c>
      <c r="F280" s="727" t="s">
        <v>1681</v>
      </c>
      <c r="G280" s="726" t="s">
        <v>583</v>
      </c>
      <c r="H280" s="726" t="s">
        <v>695</v>
      </c>
      <c r="I280" s="726" t="s">
        <v>696</v>
      </c>
      <c r="J280" s="726" t="s">
        <v>697</v>
      </c>
      <c r="K280" s="726" t="s">
        <v>698</v>
      </c>
      <c r="L280" s="728">
        <v>290.5</v>
      </c>
      <c r="M280" s="728">
        <v>4</v>
      </c>
      <c r="N280" s="729">
        <v>1162</v>
      </c>
    </row>
    <row r="281" spans="1:14" ht="14.4" customHeight="1" x14ac:dyDescent="0.3">
      <c r="A281" s="724" t="s">
        <v>552</v>
      </c>
      <c r="B281" s="725" t="s">
        <v>1679</v>
      </c>
      <c r="C281" s="726" t="s">
        <v>569</v>
      </c>
      <c r="D281" s="727" t="s">
        <v>1680</v>
      </c>
      <c r="E281" s="726" t="s">
        <v>575</v>
      </c>
      <c r="F281" s="727" t="s">
        <v>1681</v>
      </c>
      <c r="G281" s="726" t="s">
        <v>583</v>
      </c>
      <c r="H281" s="726" t="s">
        <v>699</v>
      </c>
      <c r="I281" s="726" t="s">
        <v>700</v>
      </c>
      <c r="J281" s="726" t="s">
        <v>701</v>
      </c>
      <c r="K281" s="726" t="s">
        <v>702</v>
      </c>
      <c r="L281" s="728">
        <v>47.026666666666664</v>
      </c>
      <c r="M281" s="728">
        <v>9</v>
      </c>
      <c r="N281" s="729">
        <v>423.23999999999995</v>
      </c>
    </row>
    <row r="282" spans="1:14" ht="14.4" customHeight="1" x14ac:dyDescent="0.3">
      <c r="A282" s="724" t="s">
        <v>552</v>
      </c>
      <c r="B282" s="725" t="s">
        <v>1679</v>
      </c>
      <c r="C282" s="726" t="s">
        <v>569</v>
      </c>
      <c r="D282" s="727" t="s">
        <v>1680</v>
      </c>
      <c r="E282" s="726" t="s">
        <v>575</v>
      </c>
      <c r="F282" s="727" t="s">
        <v>1681</v>
      </c>
      <c r="G282" s="726" t="s">
        <v>583</v>
      </c>
      <c r="H282" s="726" t="s">
        <v>703</v>
      </c>
      <c r="I282" s="726" t="s">
        <v>704</v>
      </c>
      <c r="J282" s="726" t="s">
        <v>705</v>
      </c>
      <c r="K282" s="726" t="s">
        <v>620</v>
      </c>
      <c r="L282" s="728">
        <v>105.49000000000004</v>
      </c>
      <c r="M282" s="728">
        <v>1</v>
      </c>
      <c r="N282" s="729">
        <v>105.49000000000004</v>
      </c>
    </row>
    <row r="283" spans="1:14" ht="14.4" customHeight="1" x14ac:dyDescent="0.3">
      <c r="A283" s="724" t="s">
        <v>552</v>
      </c>
      <c r="B283" s="725" t="s">
        <v>1679</v>
      </c>
      <c r="C283" s="726" t="s">
        <v>569</v>
      </c>
      <c r="D283" s="727" t="s">
        <v>1680</v>
      </c>
      <c r="E283" s="726" t="s">
        <v>575</v>
      </c>
      <c r="F283" s="727" t="s">
        <v>1681</v>
      </c>
      <c r="G283" s="726" t="s">
        <v>583</v>
      </c>
      <c r="H283" s="726" t="s">
        <v>706</v>
      </c>
      <c r="I283" s="726" t="s">
        <v>707</v>
      </c>
      <c r="J283" s="726" t="s">
        <v>708</v>
      </c>
      <c r="K283" s="726" t="s">
        <v>709</v>
      </c>
      <c r="L283" s="728">
        <v>111.52000000000001</v>
      </c>
      <c r="M283" s="728">
        <v>80</v>
      </c>
      <c r="N283" s="729">
        <v>8921.6</v>
      </c>
    </row>
    <row r="284" spans="1:14" ht="14.4" customHeight="1" x14ac:dyDescent="0.3">
      <c r="A284" s="724" t="s">
        <v>552</v>
      </c>
      <c r="B284" s="725" t="s">
        <v>1679</v>
      </c>
      <c r="C284" s="726" t="s">
        <v>569</v>
      </c>
      <c r="D284" s="727" t="s">
        <v>1680</v>
      </c>
      <c r="E284" s="726" t="s">
        <v>575</v>
      </c>
      <c r="F284" s="727" t="s">
        <v>1681</v>
      </c>
      <c r="G284" s="726" t="s">
        <v>583</v>
      </c>
      <c r="H284" s="726" t="s">
        <v>1318</v>
      </c>
      <c r="I284" s="726" t="s">
        <v>1319</v>
      </c>
      <c r="J284" s="726" t="s">
        <v>1320</v>
      </c>
      <c r="K284" s="726" t="s">
        <v>1321</v>
      </c>
      <c r="L284" s="728">
        <v>107.13</v>
      </c>
      <c r="M284" s="728">
        <v>5</v>
      </c>
      <c r="N284" s="729">
        <v>535.65</v>
      </c>
    </row>
    <row r="285" spans="1:14" ht="14.4" customHeight="1" x14ac:dyDescent="0.3">
      <c r="A285" s="724" t="s">
        <v>552</v>
      </c>
      <c r="B285" s="725" t="s">
        <v>1679</v>
      </c>
      <c r="C285" s="726" t="s">
        <v>569</v>
      </c>
      <c r="D285" s="727" t="s">
        <v>1680</v>
      </c>
      <c r="E285" s="726" t="s">
        <v>575</v>
      </c>
      <c r="F285" s="727" t="s">
        <v>1681</v>
      </c>
      <c r="G285" s="726" t="s">
        <v>583</v>
      </c>
      <c r="H285" s="726" t="s">
        <v>1322</v>
      </c>
      <c r="I285" s="726" t="s">
        <v>1323</v>
      </c>
      <c r="J285" s="726" t="s">
        <v>1324</v>
      </c>
      <c r="K285" s="726" t="s">
        <v>1325</v>
      </c>
      <c r="L285" s="728">
        <v>74.89</v>
      </c>
      <c r="M285" s="728">
        <v>6</v>
      </c>
      <c r="N285" s="729">
        <v>449.34000000000003</v>
      </c>
    </row>
    <row r="286" spans="1:14" ht="14.4" customHeight="1" x14ac:dyDescent="0.3">
      <c r="A286" s="724" t="s">
        <v>552</v>
      </c>
      <c r="B286" s="725" t="s">
        <v>1679</v>
      </c>
      <c r="C286" s="726" t="s">
        <v>569</v>
      </c>
      <c r="D286" s="727" t="s">
        <v>1680</v>
      </c>
      <c r="E286" s="726" t="s">
        <v>575</v>
      </c>
      <c r="F286" s="727" t="s">
        <v>1681</v>
      </c>
      <c r="G286" s="726" t="s">
        <v>583</v>
      </c>
      <c r="H286" s="726" t="s">
        <v>1326</v>
      </c>
      <c r="I286" s="726" t="s">
        <v>1327</v>
      </c>
      <c r="J286" s="726" t="s">
        <v>1328</v>
      </c>
      <c r="K286" s="726" t="s">
        <v>1329</v>
      </c>
      <c r="L286" s="728">
        <v>181.65000000000003</v>
      </c>
      <c r="M286" s="728">
        <v>2</v>
      </c>
      <c r="N286" s="729">
        <v>363.30000000000007</v>
      </c>
    </row>
    <row r="287" spans="1:14" ht="14.4" customHeight="1" x14ac:dyDescent="0.3">
      <c r="A287" s="724" t="s">
        <v>552</v>
      </c>
      <c r="B287" s="725" t="s">
        <v>1679</v>
      </c>
      <c r="C287" s="726" t="s">
        <v>569</v>
      </c>
      <c r="D287" s="727" t="s">
        <v>1680</v>
      </c>
      <c r="E287" s="726" t="s">
        <v>575</v>
      </c>
      <c r="F287" s="727" t="s">
        <v>1681</v>
      </c>
      <c r="G287" s="726" t="s">
        <v>583</v>
      </c>
      <c r="H287" s="726" t="s">
        <v>714</v>
      </c>
      <c r="I287" s="726" t="s">
        <v>715</v>
      </c>
      <c r="J287" s="726" t="s">
        <v>716</v>
      </c>
      <c r="K287" s="726"/>
      <c r="L287" s="728">
        <v>316.91691431190145</v>
      </c>
      <c r="M287" s="728">
        <v>5</v>
      </c>
      <c r="N287" s="729">
        <v>1584.5845715595074</v>
      </c>
    </row>
    <row r="288" spans="1:14" ht="14.4" customHeight="1" x14ac:dyDescent="0.3">
      <c r="A288" s="724" t="s">
        <v>552</v>
      </c>
      <c r="B288" s="725" t="s">
        <v>1679</v>
      </c>
      <c r="C288" s="726" t="s">
        <v>569</v>
      </c>
      <c r="D288" s="727" t="s">
        <v>1680</v>
      </c>
      <c r="E288" s="726" t="s">
        <v>575</v>
      </c>
      <c r="F288" s="727" t="s">
        <v>1681</v>
      </c>
      <c r="G288" s="726" t="s">
        <v>583</v>
      </c>
      <c r="H288" s="726" t="s">
        <v>1330</v>
      </c>
      <c r="I288" s="726" t="s">
        <v>1331</v>
      </c>
      <c r="J288" s="726" t="s">
        <v>1238</v>
      </c>
      <c r="K288" s="726" t="s">
        <v>1332</v>
      </c>
      <c r="L288" s="728">
        <v>45.650000000000006</v>
      </c>
      <c r="M288" s="728">
        <v>18</v>
      </c>
      <c r="N288" s="729">
        <v>821.7</v>
      </c>
    </row>
    <row r="289" spans="1:14" ht="14.4" customHeight="1" x14ac:dyDescent="0.3">
      <c r="A289" s="724" t="s">
        <v>552</v>
      </c>
      <c r="B289" s="725" t="s">
        <v>1679</v>
      </c>
      <c r="C289" s="726" t="s">
        <v>569</v>
      </c>
      <c r="D289" s="727" t="s">
        <v>1680</v>
      </c>
      <c r="E289" s="726" t="s">
        <v>575</v>
      </c>
      <c r="F289" s="727" t="s">
        <v>1681</v>
      </c>
      <c r="G289" s="726" t="s">
        <v>583</v>
      </c>
      <c r="H289" s="726" t="s">
        <v>1333</v>
      </c>
      <c r="I289" s="726" t="s">
        <v>1334</v>
      </c>
      <c r="J289" s="726" t="s">
        <v>1335</v>
      </c>
      <c r="K289" s="726" t="s">
        <v>1336</v>
      </c>
      <c r="L289" s="728">
        <v>194.29999999999998</v>
      </c>
      <c r="M289" s="728">
        <v>1</v>
      </c>
      <c r="N289" s="729">
        <v>194.29999999999998</v>
      </c>
    </row>
    <row r="290" spans="1:14" ht="14.4" customHeight="1" x14ac:dyDescent="0.3">
      <c r="A290" s="724" t="s">
        <v>552</v>
      </c>
      <c r="B290" s="725" t="s">
        <v>1679</v>
      </c>
      <c r="C290" s="726" t="s">
        <v>569</v>
      </c>
      <c r="D290" s="727" t="s">
        <v>1680</v>
      </c>
      <c r="E290" s="726" t="s">
        <v>575</v>
      </c>
      <c r="F290" s="727" t="s">
        <v>1681</v>
      </c>
      <c r="G290" s="726" t="s">
        <v>583</v>
      </c>
      <c r="H290" s="726" t="s">
        <v>1337</v>
      </c>
      <c r="I290" s="726" t="s">
        <v>715</v>
      </c>
      <c r="J290" s="726" t="s">
        <v>1338</v>
      </c>
      <c r="K290" s="726"/>
      <c r="L290" s="728">
        <v>538.48</v>
      </c>
      <c r="M290" s="728">
        <v>2</v>
      </c>
      <c r="N290" s="729">
        <v>1076.96</v>
      </c>
    </row>
    <row r="291" spans="1:14" ht="14.4" customHeight="1" x14ac:dyDescent="0.3">
      <c r="A291" s="724" t="s">
        <v>552</v>
      </c>
      <c r="B291" s="725" t="s">
        <v>1679</v>
      </c>
      <c r="C291" s="726" t="s">
        <v>569</v>
      </c>
      <c r="D291" s="727" t="s">
        <v>1680</v>
      </c>
      <c r="E291" s="726" t="s">
        <v>575</v>
      </c>
      <c r="F291" s="727" t="s">
        <v>1681</v>
      </c>
      <c r="G291" s="726" t="s">
        <v>583</v>
      </c>
      <c r="H291" s="726" t="s">
        <v>1339</v>
      </c>
      <c r="I291" s="726" t="s">
        <v>1340</v>
      </c>
      <c r="J291" s="726" t="s">
        <v>1341</v>
      </c>
      <c r="K291" s="726" t="s">
        <v>1342</v>
      </c>
      <c r="L291" s="728">
        <v>615.85000000000014</v>
      </c>
      <c r="M291" s="728">
        <v>4</v>
      </c>
      <c r="N291" s="729">
        <v>2463.4000000000005</v>
      </c>
    </row>
    <row r="292" spans="1:14" ht="14.4" customHeight="1" x14ac:dyDescent="0.3">
      <c r="A292" s="724" t="s">
        <v>552</v>
      </c>
      <c r="B292" s="725" t="s">
        <v>1679</v>
      </c>
      <c r="C292" s="726" t="s">
        <v>569</v>
      </c>
      <c r="D292" s="727" t="s">
        <v>1680</v>
      </c>
      <c r="E292" s="726" t="s">
        <v>575</v>
      </c>
      <c r="F292" s="727" t="s">
        <v>1681</v>
      </c>
      <c r="G292" s="726" t="s">
        <v>583</v>
      </c>
      <c r="H292" s="726" t="s">
        <v>1343</v>
      </c>
      <c r="I292" s="726" t="s">
        <v>1344</v>
      </c>
      <c r="J292" s="726" t="s">
        <v>1345</v>
      </c>
      <c r="K292" s="726" t="s">
        <v>1346</v>
      </c>
      <c r="L292" s="728">
        <v>275.31</v>
      </c>
      <c r="M292" s="728">
        <v>1</v>
      </c>
      <c r="N292" s="729">
        <v>275.31</v>
      </c>
    </row>
    <row r="293" spans="1:14" ht="14.4" customHeight="1" x14ac:dyDescent="0.3">
      <c r="A293" s="724" t="s">
        <v>552</v>
      </c>
      <c r="B293" s="725" t="s">
        <v>1679</v>
      </c>
      <c r="C293" s="726" t="s">
        <v>569</v>
      </c>
      <c r="D293" s="727" t="s">
        <v>1680</v>
      </c>
      <c r="E293" s="726" t="s">
        <v>575</v>
      </c>
      <c r="F293" s="727" t="s">
        <v>1681</v>
      </c>
      <c r="G293" s="726" t="s">
        <v>583</v>
      </c>
      <c r="H293" s="726" t="s">
        <v>719</v>
      </c>
      <c r="I293" s="726" t="s">
        <v>720</v>
      </c>
      <c r="J293" s="726" t="s">
        <v>721</v>
      </c>
      <c r="K293" s="726" t="s">
        <v>722</v>
      </c>
      <c r="L293" s="728">
        <v>35.590000000000011</v>
      </c>
      <c r="M293" s="728">
        <v>7</v>
      </c>
      <c r="N293" s="729">
        <v>249.13000000000008</v>
      </c>
    </row>
    <row r="294" spans="1:14" ht="14.4" customHeight="1" x14ac:dyDescent="0.3">
      <c r="A294" s="724" t="s">
        <v>552</v>
      </c>
      <c r="B294" s="725" t="s">
        <v>1679</v>
      </c>
      <c r="C294" s="726" t="s">
        <v>569</v>
      </c>
      <c r="D294" s="727" t="s">
        <v>1680</v>
      </c>
      <c r="E294" s="726" t="s">
        <v>575</v>
      </c>
      <c r="F294" s="727" t="s">
        <v>1681</v>
      </c>
      <c r="G294" s="726" t="s">
        <v>583</v>
      </c>
      <c r="H294" s="726" t="s">
        <v>1347</v>
      </c>
      <c r="I294" s="726" t="s">
        <v>1348</v>
      </c>
      <c r="J294" s="726" t="s">
        <v>1349</v>
      </c>
      <c r="K294" s="726" t="s">
        <v>1350</v>
      </c>
      <c r="L294" s="728">
        <v>2800</v>
      </c>
      <c r="M294" s="728">
        <v>3</v>
      </c>
      <c r="N294" s="729">
        <v>8400</v>
      </c>
    </row>
    <row r="295" spans="1:14" ht="14.4" customHeight="1" x14ac:dyDescent="0.3">
      <c r="A295" s="724" t="s">
        <v>552</v>
      </c>
      <c r="B295" s="725" t="s">
        <v>1679</v>
      </c>
      <c r="C295" s="726" t="s">
        <v>569</v>
      </c>
      <c r="D295" s="727" t="s">
        <v>1680</v>
      </c>
      <c r="E295" s="726" t="s">
        <v>575</v>
      </c>
      <c r="F295" s="727" t="s">
        <v>1681</v>
      </c>
      <c r="G295" s="726" t="s">
        <v>583</v>
      </c>
      <c r="H295" s="726" t="s">
        <v>1351</v>
      </c>
      <c r="I295" s="726" t="s">
        <v>1352</v>
      </c>
      <c r="J295" s="726" t="s">
        <v>1353</v>
      </c>
      <c r="K295" s="726" t="s">
        <v>1354</v>
      </c>
      <c r="L295" s="728">
        <v>142.35</v>
      </c>
      <c r="M295" s="728">
        <v>2</v>
      </c>
      <c r="N295" s="729">
        <v>284.7</v>
      </c>
    </row>
    <row r="296" spans="1:14" ht="14.4" customHeight="1" x14ac:dyDescent="0.3">
      <c r="A296" s="724" t="s">
        <v>552</v>
      </c>
      <c r="B296" s="725" t="s">
        <v>1679</v>
      </c>
      <c r="C296" s="726" t="s">
        <v>569</v>
      </c>
      <c r="D296" s="727" t="s">
        <v>1680</v>
      </c>
      <c r="E296" s="726" t="s">
        <v>575</v>
      </c>
      <c r="F296" s="727" t="s">
        <v>1681</v>
      </c>
      <c r="G296" s="726" t="s">
        <v>583</v>
      </c>
      <c r="H296" s="726" t="s">
        <v>975</v>
      </c>
      <c r="I296" s="726" t="s">
        <v>976</v>
      </c>
      <c r="J296" s="726" t="s">
        <v>977</v>
      </c>
      <c r="K296" s="726" t="s">
        <v>978</v>
      </c>
      <c r="L296" s="728">
        <v>33.68</v>
      </c>
      <c r="M296" s="728">
        <v>540</v>
      </c>
      <c r="N296" s="729">
        <v>18187.2</v>
      </c>
    </row>
    <row r="297" spans="1:14" ht="14.4" customHeight="1" x14ac:dyDescent="0.3">
      <c r="A297" s="724" t="s">
        <v>552</v>
      </c>
      <c r="B297" s="725" t="s">
        <v>1679</v>
      </c>
      <c r="C297" s="726" t="s">
        <v>569</v>
      </c>
      <c r="D297" s="727" t="s">
        <v>1680</v>
      </c>
      <c r="E297" s="726" t="s">
        <v>575</v>
      </c>
      <c r="F297" s="727" t="s">
        <v>1681</v>
      </c>
      <c r="G297" s="726" t="s">
        <v>583</v>
      </c>
      <c r="H297" s="726" t="s">
        <v>729</v>
      </c>
      <c r="I297" s="726" t="s">
        <v>730</v>
      </c>
      <c r="J297" s="726" t="s">
        <v>731</v>
      </c>
      <c r="K297" s="726" t="s">
        <v>732</v>
      </c>
      <c r="L297" s="728">
        <v>83.13</v>
      </c>
      <c r="M297" s="728">
        <v>4</v>
      </c>
      <c r="N297" s="729">
        <v>332.52</v>
      </c>
    </row>
    <row r="298" spans="1:14" ht="14.4" customHeight="1" x14ac:dyDescent="0.3">
      <c r="A298" s="724" t="s">
        <v>552</v>
      </c>
      <c r="B298" s="725" t="s">
        <v>1679</v>
      </c>
      <c r="C298" s="726" t="s">
        <v>569</v>
      </c>
      <c r="D298" s="727" t="s">
        <v>1680</v>
      </c>
      <c r="E298" s="726" t="s">
        <v>575</v>
      </c>
      <c r="F298" s="727" t="s">
        <v>1681</v>
      </c>
      <c r="G298" s="726" t="s">
        <v>583</v>
      </c>
      <c r="H298" s="726" t="s">
        <v>1355</v>
      </c>
      <c r="I298" s="726" t="s">
        <v>1356</v>
      </c>
      <c r="J298" s="726" t="s">
        <v>1357</v>
      </c>
      <c r="K298" s="726" t="s">
        <v>1358</v>
      </c>
      <c r="L298" s="728">
        <v>155.13</v>
      </c>
      <c r="M298" s="728">
        <v>72</v>
      </c>
      <c r="N298" s="729">
        <v>11169.36</v>
      </c>
    </row>
    <row r="299" spans="1:14" ht="14.4" customHeight="1" x14ac:dyDescent="0.3">
      <c r="A299" s="724" t="s">
        <v>552</v>
      </c>
      <c r="B299" s="725" t="s">
        <v>1679</v>
      </c>
      <c r="C299" s="726" t="s">
        <v>569</v>
      </c>
      <c r="D299" s="727" t="s">
        <v>1680</v>
      </c>
      <c r="E299" s="726" t="s">
        <v>575</v>
      </c>
      <c r="F299" s="727" t="s">
        <v>1681</v>
      </c>
      <c r="G299" s="726" t="s">
        <v>583</v>
      </c>
      <c r="H299" s="726" t="s">
        <v>979</v>
      </c>
      <c r="I299" s="726" t="s">
        <v>980</v>
      </c>
      <c r="J299" s="726" t="s">
        <v>981</v>
      </c>
      <c r="K299" s="726" t="s">
        <v>982</v>
      </c>
      <c r="L299" s="728">
        <v>839.41999999999985</v>
      </c>
      <c r="M299" s="728">
        <v>5</v>
      </c>
      <c r="N299" s="729">
        <v>4197.0999999999995</v>
      </c>
    </row>
    <row r="300" spans="1:14" ht="14.4" customHeight="1" x14ac:dyDescent="0.3">
      <c r="A300" s="724" t="s">
        <v>552</v>
      </c>
      <c r="B300" s="725" t="s">
        <v>1679</v>
      </c>
      <c r="C300" s="726" t="s">
        <v>569</v>
      </c>
      <c r="D300" s="727" t="s">
        <v>1680</v>
      </c>
      <c r="E300" s="726" t="s">
        <v>575</v>
      </c>
      <c r="F300" s="727" t="s">
        <v>1681</v>
      </c>
      <c r="G300" s="726" t="s">
        <v>583</v>
      </c>
      <c r="H300" s="726" t="s">
        <v>737</v>
      </c>
      <c r="I300" s="726" t="s">
        <v>715</v>
      </c>
      <c r="J300" s="726" t="s">
        <v>738</v>
      </c>
      <c r="K300" s="726"/>
      <c r="L300" s="728">
        <v>379.12661929816989</v>
      </c>
      <c r="M300" s="728">
        <v>1</v>
      </c>
      <c r="N300" s="729">
        <v>379.12661929816989</v>
      </c>
    </row>
    <row r="301" spans="1:14" ht="14.4" customHeight="1" x14ac:dyDescent="0.3">
      <c r="A301" s="724" t="s">
        <v>552</v>
      </c>
      <c r="B301" s="725" t="s">
        <v>1679</v>
      </c>
      <c r="C301" s="726" t="s">
        <v>569</v>
      </c>
      <c r="D301" s="727" t="s">
        <v>1680</v>
      </c>
      <c r="E301" s="726" t="s">
        <v>575</v>
      </c>
      <c r="F301" s="727" t="s">
        <v>1681</v>
      </c>
      <c r="G301" s="726" t="s">
        <v>583</v>
      </c>
      <c r="H301" s="726" t="s">
        <v>1359</v>
      </c>
      <c r="I301" s="726" t="s">
        <v>1359</v>
      </c>
      <c r="J301" s="726" t="s">
        <v>1360</v>
      </c>
      <c r="K301" s="726" t="s">
        <v>1361</v>
      </c>
      <c r="L301" s="728">
        <v>478.26</v>
      </c>
      <c r="M301" s="728">
        <v>27</v>
      </c>
      <c r="N301" s="729">
        <v>12913.02</v>
      </c>
    </row>
    <row r="302" spans="1:14" ht="14.4" customHeight="1" x14ac:dyDescent="0.3">
      <c r="A302" s="724" t="s">
        <v>552</v>
      </c>
      <c r="B302" s="725" t="s">
        <v>1679</v>
      </c>
      <c r="C302" s="726" t="s">
        <v>569</v>
      </c>
      <c r="D302" s="727" t="s">
        <v>1680</v>
      </c>
      <c r="E302" s="726" t="s">
        <v>575</v>
      </c>
      <c r="F302" s="727" t="s">
        <v>1681</v>
      </c>
      <c r="G302" s="726" t="s">
        <v>583</v>
      </c>
      <c r="H302" s="726" t="s">
        <v>1362</v>
      </c>
      <c r="I302" s="726" t="s">
        <v>715</v>
      </c>
      <c r="J302" s="726" t="s">
        <v>1363</v>
      </c>
      <c r="K302" s="726"/>
      <c r="L302" s="728">
        <v>560.93419516867061</v>
      </c>
      <c r="M302" s="728">
        <v>1</v>
      </c>
      <c r="N302" s="729">
        <v>560.93419516867061</v>
      </c>
    </row>
    <row r="303" spans="1:14" ht="14.4" customHeight="1" x14ac:dyDescent="0.3">
      <c r="A303" s="724" t="s">
        <v>552</v>
      </c>
      <c r="B303" s="725" t="s">
        <v>1679</v>
      </c>
      <c r="C303" s="726" t="s">
        <v>569</v>
      </c>
      <c r="D303" s="727" t="s">
        <v>1680</v>
      </c>
      <c r="E303" s="726" t="s">
        <v>575</v>
      </c>
      <c r="F303" s="727" t="s">
        <v>1681</v>
      </c>
      <c r="G303" s="726" t="s">
        <v>583</v>
      </c>
      <c r="H303" s="726" t="s">
        <v>1364</v>
      </c>
      <c r="I303" s="726" t="s">
        <v>715</v>
      </c>
      <c r="J303" s="726" t="s">
        <v>1365</v>
      </c>
      <c r="K303" s="726"/>
      <c r="L303" s="728">
        <v>296.47000000000003</v>
      </c>
      <c r="M303" s="728">
        <v>1</v>
      </c>
      <c r="N303" s="729">
        <v>296.47000000000003</v>
      </c>
    </row>
    <row r="304" spans="1:14" ht="14.4" customHeight="1" x14ac:dyDescent="0.3">
      <c r="A304" s="724" t="s">
        <v>552</v>
      </c>
      <c r="B304" s="725" t="s">
        <v>1679</v>
      </c>
      <c r="C304" s="726" t="s">
        <v>569</v>
      </c>
      <c r="D304" s="727" t="s">
        <v>1680</v>
      </c>
      <c r="E304" s="726" t="s">
        <v>575</v>
      </c>
      <c r="F304" s="727" t="s">
        <v>1681</v>
      </c>
      <c r="G304" s="726" t="s">
        <v>583</v>
      </c>
      <c r="H304" s="726" t="s">
        <v>1366</v>
      </c>
      <c r="I304" s="726" t="s">
        <v>1366</v>
      </c>
      <c r="J304" s="726" t="s">
        <v>1367</v>
      </c>
      <c r="K304" s="726" t="s">
        <v>1368</v>
      </c>
      <c r="L304" s="728">
        <v>841.5</v>
      </c>
      <c r="M304" s="728">
        <v>17</v>
      </c>
      <c r="N304" s="729">
        <v>14305.5</v>
      </c>
    </row>
    <row r="305" spans="1:14" ht="14.4" customHeight="1" x14ac:dyDescent="0.3">
      <c r="A305" s="724" t="s">
        <v>552</v>
      </c>
      <c r="B305" s="725" t="s">
        <v>1679</v>
      </c>
      <c r="C305" s="726" t="s">
        <v>569</v>
      </c>
      <c r="D305" s="727" t="s">
        <v>1680</v>
      </c>
      <c r="E305" s="726" t="s">
        <v>575</v>
      </c>
      <c r="F305" s="727" t="s">
        <v>1681</v>
      </c>
      <c r="G305" s="726" t="s">
        <v>583</v>
      </c>
      <c r="H305" s="726" t="s">
        <v>1369</v>
      </c>
      <c r="I305" s="726" t="s">
        <v>1370</v>
      </c>
      <c r="J305" s="726" t="s">
        <v>1371</v>
      </c>
      <c r="K305" s="726" t="s">
        <v>1372</v>
      </c>
      <c r="L305" s="728">
        <v>218.9</v>
      </c>
      <c r="M305" s="728">
        <v>6</v>
      </c>
      <c r="N305" s="729">
        <v>1313.4</v>
      </c>
    </row>
    <row r="306" spans="1:14" ht="14.4" customHeight="1" x14ac:dyDescent="0.3">
      <c r="A306" s="724" t="s">
        <v>552</v>
      </c>
      <c r="B306" s="725" t="s">
        <v>1679</v>
      </c>
      <c r="C306" s="726" t="s">
        <v>569</v>
      </c>
      <c r="D306" s="727" t="s">
        <v>1680</v>
      </c>
      <c r="E306" s="726" t="s">
        <v>575</v>
      </c>
      <c r="F306" s="727" t="s">
        <v>1681</v>
      </c>
      <c r="G306" s="726" t="s">
        <v>583</v>
      </c>
      <c r="H306" s="726" t="s">
        <v>1373</v>
      </c>
      <c r="I306" s="726" t="s">
        <v>715</v>
      </c>
      <c r="J306" s="726" t="s">
        <v>1374</v>
      </c>
      <c r="K306" s="726" t="s">
        <v>1375</v>
      </c>
      <c r="L306" s="728">
        <v>75.017345475622918</v>
      </c>
      <c r="M306" s="728">
        <v>1</v>
      </c>
      <c r="N306" s="729">
        <v>75.017345475622918</v>
      </c>
    </row>
    <row r="307" spans="1:14" ht="14.4" customHeight="1" x14ac:dyDescent="0.3">
      <c r="A307" s="724" t="s">
        <v>552</v>
      </c>
      <c r="B307" s="725" t="s">
        <v>1679</v>
      </c>
      <c r="C307" s="726" t="s">
        <v>569</v>
      </c>
      <c r="D307" s="727" t="s">
        <v>1680</v>
      </c>
      <c r="E307" s="726" t="s">
        <v>575</v>
      </c>
      <c r="F307" s="727" t="s">
        <v>1681</v>
      </c>
      <c r="G307" s="726" t="s">
        <v>583</v>
      </c>
      <c r="H307" s="726" t="s">
        <v>1376</v>
      </c>
      <c r="I307" s="726" t="s">
        <v>1377</v>
      </c>
      <c r="J307" s="726" t="s">
        <v>1378</v>
      </c>
      <c r="K307" s="726" t="s">
        <v>1379</v>
      </c>
      <c r="L307" s="728">
        <v>87.010000000000034</v>
      </c>
      <c r="M307" s="728">
        <v>3</v>
      </c>
      <c r="N307" s="729">
        <v>261.03000000000009</v>
      </c>
    </row>
    <row r="308" spans="1:14" ht="14.4" customHeight="1" x14ac:dyDescent="0.3">
      <c r="A308" s="724" t="s">
        <v>552</v>
      </c>
      <c r="B308" s="725" t="s">
        <v>1679</v>
      </c>
      <c r="C308" s="726" t="s">
        <v>569</v>
      </c>
      <c r="D308" s="727" t="s">
        <v>1680</v>
      </c>
      <c r="E308" s="726" t="s">
        <v>575</v>
      </c>
      <c r="F308" s="727" t="s">
        <v>1681</v>
      </c>
      <c r="G308" s="726" t="s">
        <v>583</v>
      </c>
      <c r="H308" s="726" t="s">
        <v>739</v>
      </c>
      <c r="I308" s="726" t="s">
        <v>740</v>
      </c>
      <c r="J308" s="726" t="s">
        <v>741</v>
      </c>
      <c r="K308" s="726" t="s">
        <v>742</v>
      </c>
      <c r="L308" s="728">
        <v>81.33</v>
      </c>
      <c r="M308" s="728">
        <v>2</v>
      </c>
      <c r="N308" s="729">
        <v>162.66</v>
      </c>
    </row>
    <row r="309" spans="1:14" ht="14.4" customHeight="1" x14ac:dyDescent="0.3">
      <c r="A309" s="724" t="s">
        <v>552</v>
      </c>
      <c r="B309" s="725" t="s">
        <v>1679</v>
      </c>
      <c r="C309" s="726" t="s">
        <v>569</v>
      </c>
      <c r="D309" s="727" t="s">
        <v>1680</v>
      </c>
      <c r="E309" s="726" t="s">
        <v>575</v>
      </c>
      <c r="F309" s="727" t="s">
        <v>1681</v>
      </c>
      <c r="G309" s="726" t="s">
        <v>583</v>
      </c>
      <c r="H309" s="726" t="s">
        <v>1380</v>
      </c>
      <c r="I309" s="726" t="s">
        <v>1381</v>
      </c>
      <c r="J309" s="726" t="s">
        <v>1382</v>
      </c>
      <c r="K309" s="726" t="s">
        <v>1383</v>
      </c>
      <c r="L309" s="728">
        <v>117.49000000000008</v>
      </c>
      <c r="M309" s="728">
        <v>1</v>
      </c>
      <c r="N309" s="729">
        <v>117.49000000000008</v>
      </c>
    </row>
    <row r="310" spans="1:14" ht="14.4" customHeight="1" x14ac:dyDescent="0.3">
      <c r="A310" s="724" t="s">
        <v>552</v>
      </c>
      <c r="B310" s="725" t="s">
        <v>1679</v>
      </c>
      <c r="C310" s="726" t="s">
        <v>569</v>
      </c>
      <c r="D310" s="727" t="s">
        <v>1680</v>
      </c>
      <c r="E310" s="726" t="s">
        <v>575</v>
      </c>
      <c r="F310" s="727" t="s">
        <v>1681</v>
      </c>
      <c r="G310" s="726" t="s">
        <v>583</v>
      </c>
      <c r="H310" s="726" t="s">
        <v>1384</v>
      </c>
      <c r="I310" s="726" t="s">
        <v>1384</v>
      </c>
      <c r="J310" s="726" t="s">
        <v>1385</v>
      </c>
      <c r="K310" s="726" t="s">
        <v>1386</v>
      </c>
      <c r="L310" s="728">
        <v>103.27000000000002</v>
      </c>
      <c r="M310" s="728">
        <v>1</v>
      </c>
      <c r="N310" s="729">
        <v>103.27000000000002</v>
      </c>
    </row>
    <row r="311" spans="1:14" ht="14.4" customHeight="1" x14ac:dyDescent="0.3">
      <c r="A311" s="724" t="s">
        <v>552</v>
      </c>
      <c r="B311" s="725" t="s">
        <v>1679</v>
      </c>
      <c r="C311" s="726" t="s">
        <v>569</v>
      </c>
      <c r="D311" s="727" t="s">
        <v>1680</v>
      </c>
      <c r="E311" s="726" t="s">
        <v>575</v>
      </c>
      <c r="F311" s="727" t="s">
        <v>1681</v>
      </c>
      <c r="G311" s="726" t="s">
        <v>583</v>
      </c>
      <c r="H311" s="726" t="s">
        <v>1387</v>
      </c>
      <c r="I311" s="726" t="s">
        <v>1388</v>
      </c>
      <c r="J311" s="726" t="s">
        <v>1389</v>
      </c>
      <c r="K311" s="726" t="s">
        <v>1390</v>
      </c>
      <c r="L311" s="728">
        <v>45.189999999999991</v>
      </c>
      <c r="M311" s="728">
        <v>2</v>
      </c>
      <c r="N311" s="729">
        <v>90.379999999999981</v>
      </c>
    </row>
    <row r="312" spans="1:14" ht="14.4" customHeight="1" x14ac:dyDescent="0.3">
      <c r="A312" s="724" t="s">
        <v>552</v>
      </c>
      <c r="B312" s="725" t="s">
        <v>1679</v>
      </c>
      <c r="C312" s="726" t="s">
        <v>569</v>
      </c>
      <c r="D312" s="727" t="s">
        <v>1680</v>
      </c>
      <c r="E312" s="726" t="s">
        <v>575</v>
      </c>
      <c r="F312" s="727" t="s">
        <v>1681</v>
      </c>
      <c r="G312" s="726" t="s">
        <v>583</v>
      </c>
      <c r="H312" s="726" t="s">
        <v>1391</v>
      </c>
      <c r="I312" s="726" t="s">
        <v>1392</v>
      </c>
      <c r="J312" s="726" t="s">
        <v>1393</v>
      </c>
      <c r="K312" s="726" t="s">
        <v>1394</v>
      </c>
      <c r="L312" s="728">
        <v>61.119999999999983</v>
      </c>
      <c r="M312" s="728">
        <v>1</v>
      </c>
      <c r="N312" s="729">
        <v>61.119999999999983</v>
      </c>
    </row>
    <row r="313" spans="1:14" ht="14.4" customHeight="1" x14ac:dyDescent="0.3">
      <c r="A313" s="724" t="s">
        <v>552</v>
      </c>
      <c r="B313" s="725" t="s">
        <v>1679</v>
      </c>
      <c r="C313" s="726" t="s">
        <v>569</v>
      </c>
      <c r="D313" s="727" t="s">
        <v>1680</v>
      </c>
      <c r="E313" s="726" t="s">
        <v>575</v>
      </c>
      <c r="F313" s="727" t="s">
        <v>1681</v>
      </c>
      <c r="G313" s="726" t="s">
        <v>583</v>
      </c>
      <c r="H313" s="726" t="s">
        <v>1395</v>
      </c>
      <c r="I313" s="726" t="s">
        <v>1395</v>
      </c>
      <c r="J313" s="726" t="s">
        <v>1396</v>
      </c>
      <c r="K313" s="726" t="s">
        <v>1397</v>
      </c>
      <c r="L313" s="728">
        <v>95.890000000000015</v>
      </c>
      <c r="M313" s="728">
        <v>2</v>
      </c>
      <c r="N313" s="729">
        <v>191.78000000000003</v>
      </c>
    </row>
    <row r="314" spans="1:14" ht="14.4" customHeight="1" x14ac:dyDescent="0.3">
      <c r="A314" s="724" t="s">
        <v>552</v>
      </c>
      <c r="B314" s="725" t="s">
        <v>1679</v>
      </c>
      <c r="C314" s="726" t="s">
        <v>569</v>
      </c>
      <c r="D314" s="727" t="s">
        <v>1680</v>
      </c>
      <c r="E314" s="726" t="s">
        <v>575</v>
      </c>
      <c r="F314" s="727" t="s">
        <v>1681</v>
      </c>
      <c r="G314" s="726" t="s">
        <v>583</v>
      </c>
      <c r="H314" s="726" t="s">
        <v>1398</v>
      </c>
      <c r="I314" s="726" t="s">
        <v>1398</v>
      </c>
      <c r="J314" s="726" t="s">
        <v>1399</v>
      </c>
      <c r="K314" s="726" t="s">
        <v>1400</v>
      </c>
      <c r="L314" s="728">
        <v>535.70000000000016</v>
      </c>
      <c r="M314" s="728">
        <v>1</v>
      </c>
      <c r="N314" s="729">
        <v>535.70000000000016</v>
      </c>
    </row>
    <row r="315" spans="1:14" ht="14.4" customHeight="1" x14ac:dyDescent="0.3">
      <c r="A315" s="724" t="s">
        <v>552</v>
      </c>
      <c r="B315" s="725" t="s">
        <v>1679</v>
      </c>
      <c r="C315" s="726" t="s">
        <v>569</v>
      </c>
      <c r="D315" s="727" t="s">
        <v>1680</v>
      </c>
      <c r="E315" s="726" t="s">
        <v>575</v>
      </c>
      <c r="F315" s="727" t="s">
        <v>1681</v>
      </c>
      <c r="G315" s="726" t="s">
        <v>583</v>
      </c>
      <c r="H315" s="726" t="s">
        <v>1401</v>
      </c>
      <c r="I315" s="726" t="s">
        <v>1401</v>
      </c>
      <c r="J315" s="726" t="s">
        <v>1402</v>
      </c>
      <c r="K315" s="726" t="s">
        <v>1403</v>
      </c>
      <c r="L315" s="728">
        <v>84.72999999999999</v>
      </c>
      <c r="M315" s="728">
        <v>3</v>
      </c>
      <c r="N315" s="729">
        <v>254.18999999999997</v>
      </c>
    </row>
    <row r="316" spans="1:14" ht="14.4" customHeight="1" x14ac:dyDescent="0.3">
      <c r="A316" s="724" t="s">
        <v>552</v>
      </c>
      <c r="B316" s="725" t="s">
        <v>1679</v>
      </c>
      <c r="C316" s="726" t="s">
        <v>569</v>
      </c>
      <c r="D316" s="727" t="s">
        <v>1680</v>
      </c>
      <c r="E316" s="726" t="s">
        <v>575</v>
      </c>
      <c r="F316" s="727" t="s">
        <v>1681</v>
      </c>
      <c r="G316" s="726" t="s">
        <v>583</v>
      </c>
      <c r="H316" s="726" t="s">
        <v>754</v>
      </c>
      <c r="I316" s="726" t="s">
        <v>754</v>
      </c>
      <c r="J316" s="726" t="s">
        <v>755</v>
      </c>
      <c r="K316" s="726" t="s">
        <v>756</v>
      </c>
      <c r="L316" s="728">
        <v>175.03014087019329</v>
      </c>
      <c r="M316" s="728">
        <v>1</v>
      </c>
      <c r="N316" s="729">
        <v>175.03014087019329</v>
      </c>
    </row>
    <row r="317" spans="1:14" ht="14.4" customHeight="1" x14ac:dyDescent="0.3">
      <c r="A317" s="724" t="s">
        <v>552</v>
      </c>
      <c r="B317" s="725" t="s">
        <v>1679</v>
      </c>
      <c r="C317" s="726" t="s">
        <v>569</v>
      </c>
      <c r="D317" s="727" t="s">
        <v>1680</v>
      </c>
      <c r="E317" s="726" t="s">
        <v>575</v>
      </c>
      <c r="F317" s="727" t="s">
        <v>1681</v>
      </c>
      <c r="G317" s="726" t="s">
        <v>583</v>
      </c>
      <c r="H317" s="726" t="s">
        <v>1404</v>
      </c>
      <c r="I317" s="726" t="s">
        <v>1404</v>
      </c>
      <c r="J317" s="726" t="s">
        <v>1405</v>
      </c>
      <c r="K317" s="726" t="s">
        <v>1406</v>
      </c>
      <c r="L317" s="728">
        <v>793.32000000000028</v>
      </c>
      <c r="M317" s="728">
        <v>5</v>
      </c>
      <c r="N317" s="729">
        <v>3966.6000000000013</v>
      </c>
    </row>
    <row r="318" spans="1:14" ht="14.4" customHeight="1" x14ac:dyDescent="0.3">
      <c r="A318" s="724" t="s">
        <v>552</v>
      </c>
      <c r="B318" s="725" t="s">
        <v>1679</v>
      </c>
      <c r="C318" s="726" t="s">
        <v>569</v>
      </c>
      <c r="D318" s="727" t="s">
        <v>1680</v>
      </c>
      <c r="E318" s="726" t="s">
        <v>575</v>
      </c>
      <c r="F318" s="727" t="s">
        <v>1681</v>
      </c>
      <c r="G318" s="726" t="s">
        <v>583</v>
      </c>
      <c r="H318" s="726" t="s">
        <v>1407</v>
      </c>
      <c r="I318" s="726" t="s">
        <v>1407</v>
      </c>
      <c r="J318" s="726" t="s">
        <v>1408</v>
      </c>
      <c r="K318" s="726" t="s">
        <v>627</v>
      </c>
      <c r="L318" s="728">
        <v>62.21</v>
      </c>
      <c r="M318" s="728">
        <v>10</v>
      </c>
      <c r="N318" s="729">
        <v>622.1</v>
      </c>
    </row>
    <row r="319" spans="1:14" ht="14.4" customHeight="1" x14ac:dyDescent="0.3">
      <c r="A319" s="724" t="s">
        <v>552</v>
      </c>
      <c r="B319" s="725" t="s">
        <v>1679</v>
      </c>
      <c r="C319" s="726" t="s">
        <v>569</v>
      </c>
      <c r="D319" s="727" t="s">
        <v>1680</v>
      </c>
      <c r="E319" s="726" t="s">
        <v>575</v>
      </c>
      <c r="F319" s="727" t="s">
        <v>1681</v>
      </c>
      <c r="G319" s="726" t="s">
        <v>583</v>
      </c>
      <c r="H319" s="726" t="s">
        <v>993</v>
      </c>
      <c r="I319" s="726" t="s">
        <v>993</v>
      </c>
      <c r="J319" s="726" t="s">
        <v>994</v>
      </c>
      <c r="K319" s="726" t="s">
        <v>995</v>
      </c>
      <c r="L319" s="728">
        <v>81.96</v>
      </c>
      <c r="M319" s="728">
        <v>1</v>
      </c>
      <c r="N319" s="729">
        <v>81.96</v>
      </c>
    </row>
    <row r="320" spans="1:14" ht="14.4" customHeight="1" x14ac:dyDescent="0.3">
      <c r="A320" s="724" t="s">
        <v>552</v>
      </c>
      <c r="B320" s="725" t="s">
        <v>1679</v>
      </c>
      <c r="C320" s="726" t="s">
        <v>569</v>
      </c>
      <c r="D320" s="727" t="s">
        <v>1680</v>
      </c>
      <c r="E320" s="726" t="s">
        <v>575</v>
      </c>
      <c r="F320" s="727" t="s">
        <v>1681</v>
      </c>
      <c r="G320" s="726" t="s">
        <v>583</v>
      </c>
      <c r="H320" s="726" t="s">
        <v>757</v>
      </c>
      <c r="I320" s="726" t="s">
        <v>757</v>
      </c>
      <c r="J320" s="726" t="s">
        <v>758</v>
      </c>
      <c r="K320" s="726" t="s">
        <v>759</v>
      </c>
      <c r="L320" s="728">
        <v>88.617371424529921</v>
      </c>
      <c r="M320" s="728">
        <v>4</v>
      </c>
      <c r="N320" s="729">
        <v>354.46948569811968</v>
      </c>
    </row>
    <row r="321" spans="1:14" ht="14.4" customHeight="1" x14ac:dyDescent="0.3">
      <c r="A321" s="724" t="s">
        <v>552</v>
      </c>
      <c r="B321" s="725" t="s">
        <v>1679</v>
      </c>
      <c r="C321" s="726" t="s">
        <v>569</v>
      </c>
      <c r="D321" s="727" t="s">
        <v>1680</v>
      </c>
      <c r="E321" s="726" t="s">
        <v>575</v>
      </c>
      <c r="F321" s="727" t="s">
        <v>1681</v>
      </c>
      <c r="G321" s="726" t="s">
        <v>583</v>
      </c>
      <c r="H321" s="726" t="s">
        <v>1409</v>
      </c>
      <c r="I321" s="726" t="s">
        <v>715</v>
      </c>
      <c r="J321" s="726" t="s">
        <v>1410</v>
      </c>
      <c r="K321" s="726" t="s">
        <v>1411</v>
      </c>
      <c r="L321" s="728">
        <v>330</v>
      </c>
      <c r="M321" s="728">
        <v>20</v>
      </c>
      <c r="N321" s="729">
        <v>6600</v>
      </c>
    </row>
    <row r="322" spans="1:14" ht="14.4" customHeight="1" x14ac:dyDescent="0.3">
      <c r="A322" s="724" t="s">
        <v>552</v>
      </c>
      <c r="B322" s="725" t="s">
        <v>1679</v>
      </c>
      <c r="C322" s="726" t="s">
        <v>569</v>
      </c>
      <c r="D322" s="727" t="s">
        <v>1680</v>
      </c>
      <c r="E322" s="726" t="s">
        <v>575</v>
      </c>
      <c r="F322" s="727" t="s">
        <v>1681</v>
      </c>
      <c r="G322" s="726" t="s">
        <v>583</v>
      </c>
      <c r="H322" s="726" t="s">
        <v>996</v>
      </c>
      <c r="I322" s="726" t="s">
        <v>996</v>
      </c>
      <c r="J322" s="726" t="s">
        <v>767</v>
      </c>
      <c r="K322" s="726" t="s">
        <v>997</v>
      </c>
      <c r="L322" s="728">
        <v>72.879950422372218</v>
      </c>
      <c r="M322" s="728">
        <v>5</v>
      </c>
      <c r="N322" s="729">
        <v>364.39975211186112</v>
      </c>
    </row>
    <row r="323" spans="1:14" ht="14.4" customHeight="1" x14ac:dyDescent="0.3">
      <c r="A323" s="724" t="s">
        <v>552</v>
      </c>
      <c r="B323" s="725" t="s">
        <v>1679</v>
      </c>
      <c r="C323" s="726" t="s">
        <v>569</v>
      </c>
      <c r="D323" s="727" t="s">
        <v>1680</v>
      </c>
      <c r="E323" s="726" t="s">
        <v>575</v>
      </c>
      <c r="F323" s="727" t="s">
        <v>1681</v>
      </c>
      <c r="G323" s="726" t="s">
        <v>583</v>
      </c>
      <c r="H323" s="726" t="s">
        <v>1412</v>
      </c>
      <c r="I323" s="726" t="s">
        <v>1412</v>
      </c>
      <c r="J323" s="726" t="s">
        <v>1413</v>
      </c>
      <c r="K323" s="726" t="s">
        <v>1414</v>
      </c>
      <c r="L323" s="728">
        <v>2059.8986017580496</v>
      </c>
      <c r="M323" s="728">
        <v>2</v>
      </c>
      <c r="N323" s="729">
        <v>4119.7972035160992</v>
      </c>
    </row>
    <row r="324" spans="1:14" ht="14.4" customHeight="1" x14ac:dyDescent="0.3">
      <c r="A324" s="724" t="s">
        <v>552</v>
      </c>
      <c r="B324" s="725" t="s">
        <v>1679</v>
      </c>
      <c r="C324" s="726" t="s">
        <v>569</v>
      </c>
      <c r="D324" s="727" t="s">
        <v>1680</v>
      </c>
      <c r="E324" s="726" t="s">
        <v>575</v>
      </c>
      <c r="F324" s="727" t="s">
        <v>1681</v>
      </c>
      <c r="G324" s="726" t="s">
        <v>583</v>
      </c>
      <c r="H324" s="726" t="s">
        <v>1415</v>
      </c>
      <c r="I324" s="726" t="s">
        <v>715</v>
      </c>
      <c r="J324" s="726" t="s">
        <v>1416</v>
      </c>
      <c r="K324" s="726"/>
      <c r="L324" s="728">
        <v>897.1</v>
      </c>
      <c r="M324" s="728">
        <v>1</v>
      </c>
      <c r="N324" s="729">
        <v>897.1</v>
      </c>
    </row>
    <row r="325" spans="1:14" ht="14.4" customHeight="1" x14ac:dyDescent="0.3">
      <c r="A325" s="724" t="s">
        <v>552</v>
      </c>
      <c r="B325" s="725" t="s">
        <v>1679</v>
      </c>
      <c r="C325" s="726" t="s">
        <v>569</v>
      </c>
      <c r="D325" s="727" t="s">
        <v>1680</v>
      </c>
      <c r="E325" s="726" t="s">
        <v>575</v>
      </c>
      <c r="F325" s="727" t="s">
        <v>1681</v>
      </c>
      <c r="G325" s="726" t="s">
        <v>777</v>
      </c>
      <c r="H325" s="726" t="s">
        <v>1417</v>
      </c>
      <c r="I325" s="726" t="s">
        <v>1417</v>
      </c>
      <c r="J325" s="726" t="s">
        <v>1418</v>
      </c>
      <c r="K325" s="726" t="s">
        <v>1419</v>
      </c>
      <c r="L325" s="728">
        <v>12.059999999999999</v>
      </c>
      <c r="M325" s="728">
        <v>2</v>
      </c>
      <c r="N325" s="729">
        <v>24.119999999999997</v>
      </c>
    </row>
    <row r="326" spans="1:14" ht="14.4" customHeight="1" x14ac:dyDescent="0.3">
      <c r="A326" s="724" t="s">
        <v>552</v>
      </c>
      <c r="B326" s="725" t="s">
        <v>1679</v>
      </c>
      <c r="C326" s="726" t="s">
        <v>569</v>
      </c>
      <c r="D326" s="727" t="s">
        <v>1680</v>
      </c>
      <c r="E326" s="726" t="s">
        <v>575</v>
      </c>
      <c r="F326" s="727" t="s">
        <v>1681</v>
      </c>
      <c r="G326" s="726" t="s">
        <v>777</v>
      </c>
      <c r="H326" s="726" t="s">
        <v>1420</v>
      </c>
      <c r="I326" s="726" t="s">
        <v>1421</v>
      </c>
      <c r="J326" s="726" t="s">
        <v>1422</v>
      </c>
      <c r="K326" s="726" t="s">
        <v>1423</v>
      </c>
      <c r="L326" s="728">
        <v>75.919999999999987</v>
      </c>
      <c r="M326" s="728">
        <v>1</v>
      </c>
      <c r="N326" s="729">
        <v>75.919999999999987</v>
      </c>
    </row>
    <row r="327" spans="1:14" ht="14.4" customHeight="1" x14ac:dyDescent="0.3">
      <c r="A327" s="724" t="s">
        <v>552</v>
      </c>
      <c r="B327" s="725" t="s">
        <v>1679</v>
      </c>
      <c r="C327" s="726" t="s">
        <v>569</v>
      </c>
      <c r="D327" s="727" t="s">
        <v>1680</v>
      </c>
      <c r="E327" s="726" t="s">
        <v>575</v>
      </c>
      <c r="F327" s="727" t="s">
        <v>1681</v>
      </c>
      <c r="G327" s="726" t="s">
        <v>777</v>
      </c>
      <c r="H327" s="726" t="s">
        <v>778</v>
      </c>
      <c r="I327" s="726" t="s">
        <v>779</v>
      </c>
      <c r="J327" s="726" t="s">
        <v>780</v>
      </c>
      <c r="K327" s="726" t="s">
        <v>781</v>
      </c>
      <c r="L327" s="728">
        <v>56.880000000000017</v>
      </c>
      <c r="M327" s="728">
        <v>6</v>
      </c>
      <c r="N327" s="729">
        <v>341.28000000000009</v>
      </c>
    </row>
    <row r="328" spans="1:14" ht="14.4" customHeight="1" x14ac:dyDescent="0.3">
      <c r="A328" s="724" t="s">
        <v>552</v>
      </c>
      <c r="B328" s="725" t="s">
        <v>1679</v>
      </c>
      <c r="C328" s="726" t="s">
        <v>569</v>
      </c>
      <c r="D328" s="727" t="s">
        <v>1680</v>
      </c>
      <c r="E328" s="726" t="s">
        <v>575</v>
      </c>
      <c r="F328" s="727" t="s">
        <v>1681</v>
      </c>
      <c r="G328" s="726" t="s">
        <v>777</v>
      </c>
      <c r="H328" s="726" t="s">
        <v>1424</v>
      </c>
      <c r="I328" s="726" t="s">
        <v>1425</v>
      </c>
      <c r="J328" s="726" t="s">
        <v>581</v>
      </c>
      <c r="K328" s="726" t="s">
        <v>582</v>
      </c>
      <c r="L328" s="728">
        <v>104.18999999999998</v>
      </c>
      <c r="M328" s="728">
        <v>4</v>
      </c>
      <c r="N328" s="729">
        <v>416.75999999999993</v>
      </c>
    </row>
    <row r="329" spans="1:14" ht="14.4" customHeight="1" x14ac:dyDescent="0.3">
      <c r="A329" s="724" t="s">
        <v>552</v>
      </c>
      <c r="B329" s="725" t="s">
        <v>1679</v>
      </c>
      <c r="C329" s="726" t="s">
        <v>569</v>
      </c>
      <c r="D329" s="727" t="s">
        <v>1680</v>
      </c>
      <c r="E329" s="726" t="s">
        <v>575</v>
      </c>
      <c r="F329" s="727" t="s">
        <v>1681</v>
      </c>
      <c r="G329" s="726" t="s">
        <v>777</v>
      </c>
      <c r="H329" s="726" t="s">
        <v>1426</v>
      </c>
      <c r="I329" s="726" t="s">
        <v>1427</v>
      </c>
      <c r="J329" s="726" t="s">
        <v>1428</v>
      </c>
      <c r="K329" s="726" t="s">
        <v>1429</v>
      </c>
      <c r="L329" s="728">
        <v>42.58</v>
      </c>
      <c r="M329" s="728">
        <v>2</v>
      </c>
      <c r="N329" s="729">
        <v>85.16</v>
      </c>
    </row>
    <row r="330" spans="1:14" ht="14.4" customHeight="1" x14ac:dyDescent="0.3">
      <c r="A330" s="724" t="s">
        <v>552</v>
      </c>
      <c r="B330" s="725" t="s">
        <v>1679</v>
      </c>
      <c r="C330" s="726" t="s">
        <v>569</v>
      </c>
      <c r="D330" s="727" t="s">
        <v>1680</v>
      </c>
      <c r="E330" s="726" t="s">
        <v>575</v>
      </c>
      <c r="F330" s="727" t="s">
        <v>1681</v>
      </c>
      <c r="G330" s="726" t="s">
        <v>777</v>
      </c>
      <c r="H330" s="726" t="s">
        <v>790</v>
      </c>
      <c r="I330" s="726" t="s">
        <v>791</v>
      </c>
      <c r="J330" s="726" t="s">
        <v>780</v>
      </c>
      <c r="K330" s="726" t="s">
        <v>792</v>
      </c>
      <c r="L330" s="728">
        <v>44.590159802689278</v>
      </c>
      <c r="M330" s="728">
        <v>12</v>
      </c>
      <c r="N330" s="729">
        <v>535.08191763227137</v>
      </c>
    </row>
    <row r="331" spans="1:14" ht="14.4" customHeight="1" x14ac:dyDescent="0.3">
      <c r="A331" s="724" t="s">
        <v>552</v>
      </c>
      <c r="B331" s="725" t="s">
        <v>1679</v>
      </c>
      <c r="C331" s="726" t="s">
        <v>569</v>
      </c>
      <c r="D331" s="727" t="s">
        <v>1680</v>
      </c>
      <c r="E331" s="726" t="s">
        <v>575</v>
      </c>
      <c r="F331" s="727" t="s">
        <v>1681</v>
      </c>
      <c r="G331" s="726" t="s">
        <v>777</v>
      </c>
      <c r="H331" s="726" t="s">
        <v>1430</v>
      </c>
      <c r="I331" s="726" t="s">
        <v>1431</v>
      </c>
      <c r="J331" s="726" t="s">
        <v>1432</v>
      </c>
      <c r="K331" s="726" t="s">
        <v>1433</v>
      </c>
      <c r="L331" s="728">
        <v>81.223333333333343</v>
      </c>
      <c r="M331" s="728">
        <v>6</v>
      </c>
      <c r="N331" s="729">
        <v>487.34000000000003</v>
      </c>
    </row>
    <row r="332" spans="1:14" ht="14.4" customHeight="1" x14ac:dyDescent="0.3">
      <c r="A332" s="724" t="s">
        <v>552</v>
      </c>
      <c r="B332" s="725" t="s">
        <v>1679</v>
      </c>
      <c r="C332" s="726" t="s">
        <v>569</v>
      </c>
      <c r="D332" s="727" t="s">
        <v>1680</v>
      </c>
      <c r="E332" s="726" t="s">
        <v>575</v>
      </c>
      <c r="F332" s="727" t="s">
        <v>1681</v>
      </c>
      <c r="G332" s="726" t="s">
        <v>777</v>
      </c>
      <c r="H332" s="726" t="s">
        <v>1434</v>
      </c>
      <c r="I332" s="726" t="s">
        <v>1435</v>
      </c>
      <c r="J332" s="726" t="s">
        <v>1436</v>
      </c>
      <c r="K332" s="726" t="s">
        <v>1437</v>
      </c>
      <c r="L332" s="728">
        <v>129.33000000000007</v>
      </c>
      <c r="M332" s="728">
        <v>2</v>
      </c>
      <c r="N332" s="729">
        <v>258.66000000000014</v>
      </c>
    </row>
    <row r="333" spans="1:14" ht="14.4" customHeight="1" x14ac:dyDescent="0.3">
      <c r="A333" s="724" t="s">
        <v>552</v>
      </c>
      <c r="B333" s="725" t="s">
        <v>1679</v>
      </c>
      <c r="C333" s="726" t="s">
        <v>569</v>
      </c>
      <c r="D333" s="727" t="s">
        <v>1680</v>
      </c>
      <c r="E333" s="726" t="s">
        <v>575</v>
      </c>
      <c r="F333" s="727" t="s">
        <v>1681</v>
      </c>
      <c r="G333" s="726" t="s">
        <v>777</v>
      </c>
      <c r="H333" s="726" t="s">
        <v>1438</v>
      </c>
      <c r="I333" s="726" t="s">
        <v>1439</v>
      </c>
      <c r="J333" s="726" t="s">
        <v>1440</v>
      </c>
      <c r="K333" s="726" t="s">
        <v>1441</v>
      </c>
      <c r="L333" s="728">
        <v>20.060000000000002</v>
      </c>
      <c r="M333" s="728">
        <v>2</v>
      </c>
      <c r="N333" s="729">
        <v>40.120000000000005</v>
      </c>
    </row>
    <row r="334" spans="1:14" ht="14.4" customHeight="1" x14ac:dyDescent="0.3">
      <c r="A334" s="724" t="s">
        <v>552</v>
      </c>
      <c r="B334" s="725" t="s">
        <v>1679</v>
      </c>
      <c r="C334" s="726" t="s">
        <v>569</v>
      </c>
      <c r="D334" s="727" t="s">
        <v>1680</v>
      </c>
      <c r="E334" s="726" t="s">
        <v>575</v>
      </c>
      <c r="F334" s="727" t="s">
        <v>1681</v>
      </c>
      <c r="G334" s="726" t="s">
        <v>777</v>
      </c>
      <c r="H334" s="726" t="s">
        <v>800</v>
      </c>
      <c r="I334" s="726" t="s">
        <v>801</v>
      </c>
      <c r="J334" s="726" t="s">
        <v>780</v>
      </c>
      <c r="K334" s="726" t="s">
        <v>802</v>
      </c>
      <c r="L334" s="728">
        <v>56.880089213768386</v>
      </c>
      <c r="M334" s="728">
        <v>30</v>
      </c>
      <c r="N334" s="729">
        <v>1706.4026764130515</v>
      </c>
    </row>
    <row r="335" spans="1:14" ht="14.4" customHeight="1" x14ac:dyDescent="0.3">
      <c r="A335" s="724" t="s">
        <v>552</v>
      </c>
      <c r="B335" s="725" t="s">
        <v>1679</v>
      </c>
      <c r="C335" s="726" t="s">
        <v>569</v>
      </c>
      <c r="D335" s="727" t="s">
        <v>1680</v>
      </c>
      <c r="E335" s="726" t="s">
        <v>575</v>
      </c>
      <c r="F335" s="727" t="s">
        <v>1681</v>
      </c>
      <c r="G335" s="726" t="s">
        <v>777</v>
      </c>
      <c r="H335" s="726" t="s">
        <v>1442</v>
      </c>
      <c r="I335" s="726" t="s">
        <v>1443</v>
      </c>
      <c r="J335" s="726" t="s">
        <v>1444</v>
      </c>
      <c r="K335" s="726" t="s">
        <v>1445</v>
      </c>
      <c r="L335" s="728">
        <v>61.529999999999987</v>
      </c>
      <c r="M335" s="728">
        <v>2</v>
      </c>
      <c r="N335" s="729">
        <v>123.05999999999997</v>
      </c>
    </row>
    <row r="336" spans="1:14" ht="14.4" customHeight="1" x14ac:dyDescent="0.3">
      <c r="A336" s="724" t="s">
        <v>552</v>
      </c>
      <c r="B336" s="725" t="s">
        <v>1679</v>
      </c>
      <c r="C336" s="726" t="s">
        <v>569</v>
      </c>
      <c r="D336" s="727" t="s">
        <v>1680</v>
      </c>
      <c r="E336" s="726" t="s">
        <v>575</v>
      </c>
      <c r="F336" s="727" t="s">
        <v>1681</v>
      </c>
      <c r="G336" s="726" t="s">
        <v>777</v>
      </c>
      <c r="H336" s="726" t="s">
        <v>1446</v>
      </c>
      <c r="I336" s="726" t="s">
        <v>1447</v>
      </c>
      <c r="J336" s="726" t="s">
        <v>1448</v>
      </c>
      <c r="K336" s="726" t="s">
        <v>1449</v>
      </c>
      <c r="L336" s="728">
        <v>210.46000000000009</v>
      </c>
      <c r="M336" s="728">
        <v>1</v>
      </c>
      <c r="N336" s="729">
        <v>210.46000000000009</v>
      </c>
    </row>
    <row r="337" spans="1:14" ht="14.4" customHeight="1" x14ac:dyDescent="0.3">
      <c r="A337" s="724" t="s">
        <v>552</v>
      </c>
      <c r="B337" s="725" t="s">
        <v>1679</v>
      </c>
      <c r="C337" s="726" t="s">
        <v>569</v>
      </c>
      <c r="D337" s="727" t="s">
        <v>1680</v>
      </c>
      <c r="E337" s="726" t="s">
        <v>575</v>
      </c>
      <c r="F337" s="727" t="s">
        <v>1681</v>
      </c>
      <c r="G337" s="726" t="s">
        <v>777</v>
      </c>
      <c r="H337" s="726" t="s">
        <v>1450</v>
      </c>
      <c r="I337" s="726" t="s">
        <v>1451</v>
      </c>
      <c r="J337" s="726" t="s">
        <v>1452</v>
      </c>
      <c r="K337" s="726" t="s">
        <v>809</v>
      </c>
      <c r="L337" s="728">
        <v>158.97999999999999</v>
      </c>
      <c r="M337" s="728">
        <v>1</v>
      </c>
      <c r="N337" s="729">
        <v>158.97999999999999</v>
      </c>
    </row>
    <row r="338" spans="1:14" ht="14.4" customHeight="1" x14ac:dyDescent="0.3">
      <c r="A338" s="724" t="s">
        <v>552</v>
      </c>
      <c r="B338" s="725" t="s">
        <v>1679</v>
      </c>
      <c r="C338" s="726" t="s">
        <v>569</v>
      </c>
      <c r="D338" s="727" t="s">
        <v>1680</v>
      </c>
      <c r="E338" s="726" t="s">
        <v>575</v>
      </c>
      <c r="F338" s="727" t="s">
        <v>1681</v>
      </c>
      <c r="G338" s="726" t="s">
        <v>777</v>
      </c>
      <c r="H338" s="726" t="s">
        <v>1453</v>
      </c>
      <c r="I338" s="726" t="s">
        <v>1454</v>
      </c>
      <c r="J338" s="726" t="s">
        <v>1455</v>
      </c>
      <c r="K338" s="726" t="s">
        <v>1456</v>
      </c>
      <c r="L338" s="728">
        <v>155.52000000000007</v>
      </c>
      <c r="M338" s="728">
        <v>1</v>
      </c>
      <c r="N338" s="729">
        <v>155.52000000000007</v>
      </c>
    </row>
    <row r="339" spans="1:14" ht="14.4" customHeight="1" x14ac:dyDescent="0.3">
      <c r="A339" s="724" t="s">
        <v>552</v>
      </c>
      <c r="B339" s="725" t="s">
        <v>1679</v>
      </c>
      <c r="C339" s="726" t="s">
        <v>569</v>
      </c>
      <c r="D339" s="727" t="s">
        <v>1680</v>
      </c>
      <c r="E339" s="726" t="s">
        <v>575</v>
      </c>
      <c r="F339" s="727" t="s">
        <v>1681</v>
      </c>
      <c r="G339" s="726" t="s">
        <v>777</v>
      </c>
      <c r="H339" s="726" t="s">
        <v>1457</v>
      </c>
      <c r="I339" s="726" t="s">
        <v>1458</v>
      </c>
      <c r="J339" s="726" t="s">
        <v>784</v>
      </c>
      <c r="K339" s="726" t="s">
        <v>1459</v>
      </c>
      <c r="L339" s="728">
        <v>233.13000000000002</v>
      </c>
      <c r="M339" s="728">
        <v>20</v>
      </c>
      <c r="N339" s="729">
        <v>4662.6000000000004</v>
      </c>
    </row>
    <row r="340" spans="1:14" ht="14.4" customHeight="1" x14ac:dyDescent="0.3">
      <c r="A340" s="724" t="s">
        <v>552</v>
      </c>
      <c r="B340" s="725" t="s">
        <v>1679</v>
      </c>
      <c r="C340" s="726" t="s">
        <v>569</v>
      </c>
      <c r="D340" s="727" t="s">
        <v>1680</v>
      </c>
      <c r="E340" s="726" t="s">
        <v>575</v>
      </c>
      <c r="F340" s="727" t="s">
        <v>1681</v>
      </c>
      <c r="G340" s="726" t="s">
        <v>777</v>
      </c>
      <c r="H340" s="726" t="s">
        <v>1029</v>
      </c>
      <c r="I340" s="726" t="s">
        <v>1030</v>
      </c>
      <c r="J340" s="726" t="s">
        <v>1031</v>
      </c>
      <c r="K340" s="726" t="s">
        <v>1032</v>
      </c>
      <c r="L340" s="728">
        <v>135.88999999999999</v>
      </c>
      <c r="M340" s="728">
        <v>3</v>
      </c>
      <c r="N340" s="729">
        <v>407.66999999999996</v>
      </c>
    </row>
    <row r="341" spans="1:14" ht="14.4" customHeight="1" x14ac:dyDescent="0.3">
      <c r="A341" s="724" t="s">
        <v>552</v>
      </c>
      <c r="B341" s="725" t="s">
        <v>1679</v>
      </c>
      <c r="C341" s="726" t="s">
        <v>569</v>
      </c>
      <c r="D341" s="727" t="s">
        <v>1680</v>
      </c>
      <c r="E341" s="726" t="s">
        <v>575</v>
      </c>
      <c r="F341" s="727" t="s">
        <v>1681</v>
      </c>
      <c r="G341" s="726" t="s">
        <v>777</v>
      </c>
      <c r="H341" s="726" t="s">
        <v>1033</v>
      </c>
      <c r="I341" s="726" t="s">
        <v>1034</v>
      </c>
      <c r="J341" s="726" t="s">
        <v>1035</v>
      </c>
      <c r="K341" s="726" t="s">
        <v>1036</v>
      </c>
      <c r="L341" s="728">
        <v>104.49996573220395</v>
      </c>
      <c r="M341" s="728">
        <v>5</v>
      </c>
      <c r="N341" s="729">
        <v>522.49982866101971</v>
      </c>
    </row>
    <row r="342" spans="1:14" ht="14.4" customHeight="1" x14ac:dyDescent="0.3">
      <c r="A342" s="724" t="s">
        <v>552</v>
      </c>
      <c r="B342" s="725" t="s">
        <v>1679</v>
      </c>
      <c r="C342" s="726" t="s">
        <v>569</v>
      </c>
      <c r="D342" s="727" t="s">
        <v>1680</v>
      </c>
      <c r="E342" s="726" t="s">
        <v>575</v>
      </c>
      <c r="F342" s="727" t="s">
        <v>1681</v>
      </c>
      <c r="G342" s="726" t="s">
        <v>777</v>
      </c>
      <c r="H342" s="726" t="s">
        <v>1460</v>
      </c>
      <c r="I342" s="726" t="s">
        <v>1461</v>
      </c>
      <c r="J342" s="726" t="s">
        <v>1462</v>
      </c>
      <c r="K342" s="726" t="s">
        <v>1463</v>
      </c>
      <c r="L342" s="728">
        <v>325.15999999999997</v>
      </c>
      <c r="M342" s="728">
        <v>9</v>
      </c>
      <c r="N342" s="729">
        <v>2926.4399999999996</v>
      </c>
    </row>
    <row r="343" spans="1:14" ht="14.4" customHeight="1" x14ac:dyDescent="0.3">
      <c r="A343" s="724" t="s">
        <v>552</v>
      </c>
      <c r="B343" s="725" t="s">
        <v>1679</v>
      </c>
      <c r="C343" s="726" t="s">
        <v>569</v>
      </c>
      <c r="D343" s="727" t="s">
        <v>1680</v>
      </c>
      <c r="E343" s="726" t="s">
        <v>575</v>
      </c>
      <c r="F343" s="727" t="s">
        <v>1681</v>
      </c>
      <c r="G343" s="726" t="s">
        <v>777</v>
      </c>
      <c r="H343" s="726" t="s">
        <v>1464</v>
      </c>
      <c r="I343" s="726" t="s">
        <v>1465</v>
      </c>
      <c r="J343" s="726" t="s">
        <v>1466</v>
      </c>
      <c r="K343" s="726" t="s">
        <v>1467</v>
      </c>
      <c r="L343" s="728">
        <v>685.4</v>
      </c>
      <c r="M343" s="728">
        <v>66</v>
      </c>
      <c r="N343" s="729">
        <v>45236.4</v>
      </c>
    </row>
    <row r="344" spans="1:14" ht="14.4" customHeight="1" x14ac:dyDescent="0.3">
      <c r="A344" s="724" t="s">
        <v>552</v>
      </c>
      <c r="B344" s="725" t="s">
        <v>1679</v>
      </c>
      <c r="C344" s="726" t="s">
        <v>569</v>
      </c>
      <c r="D344" s="727" t="s">
        <v>1680</v>
      </c>
      <c r="E344" s="726" t="s">
        <v>575</v>
      </c>
      <c r="F344" s="727" t="s">
        <v>1681</v>
      </c>
      <c r="G344" s="726" t="s">
        <v>777</v>
      </c>
      <c r="H344" s="726" t="s">
        <v>1468</v>
      </c>
      <c r="I344" s="726" t="s">
        <v>1469</v>
      </c>
      <c r="J344" s="726" t="s">
        <v>1470</v>
      </c>
      <c r="K344" s="726" t="s">
        <v>1471</v>
      </c>
      <c r="L344" s="728">
        <v>960.2477529695766</v>
      </c>
      <c r="M344" s="728">
        <v>86</v>
      </c>
      <c r="N344" s="729">
        <v>82581.306755383586</v>
      </c>
    </row>
    <row r="345" spans="1:14" ht="14.4" customHeight="1" x14ac:dyDescent="0.3">
      <c r="A345" s="724" t="s">
        <v>552</v>
      </c>
      <c r="B345" s="725" t="s">
        <v>1679</v>
      </c>
      <c r="C345" s="726" t="s">
        <v>569</v>
      </c>
      <c r="D345" s="727" t="s">
        <v>1680</v>
      </c>
      <c r="E345" s="726" t="s">
        <v>575</v>
      </c>
      <c r="F345" s="727" t="s">
        <v>1681</v>
      </c>
      <c r="G345" s="726" t="s">
        <v>777</v>
      </c>
      <c r="H345" s="726" t="s">
        <v>1040</v>
      </c>
      <c r="I345" s="726" t="s">
        <v>1041</v>
      </c>
      <c r="J345" s="726" t="s">
        <v>1042</v>
      </c>
      <c r="K345" s="726" t="s">
        <v>1043</v>
      </c>
      <c r="L345" s="728">
        <v>66.730000000000047</v>
      </c>
      <c r="M345" s="728">
        <v>1</v>
      </c>
      <c r="N345" s="729">
        <v>66.730000000000047</v>
      </c>
    </row>
    <row r="346" spans="1:14" ht="14.4" customHeight="1" x14ac:dyDescent="0.3">
      <c r="A346" s="724" t="s">
        <v>552</v>
      </c>
      <c r="B346" s="725" t="s">
        <v>1679</v>
      </c>
      <c r="C346" s="726" t="s">
        <v>569</v>
      </c>
      <c r="D346" s="727" t="s">
        <v>1680</v>
      </c>
      <c r="E346" s="726" t="s">
        <v>575</v>
      </c>
      <c r="F346" s="727" t="s">
        <v>1681</v>
      </c>
      <c r="G346" s="726" t="s">
        <v>777</v>
      </c>
      <c r="H346" s="726" t="s">
        <v>1472</v>
      </c>
      <c r="I346" s="726" t="s">
        <v>1472</v>
      </c>
      <c r="J346" s="726" t="s">
        <v>1473</v>
      </c>
      <c r="K346" s="726" t="s">
        <v>1474</v>
      </c>
      <c r="L346" s="728">
        <v>93.070000000000007</v>
      </c>
      <c r="M346" s="728">
        <v>1</v>
      </c>
      <c r="N346" s="729">
        <v>93.070000000000007</v>
      </c>
    </row>
    <row r="347" spans="1:14" ht="14.4" customHeight="1" x14ac:dyDescent="0.3">
      <c r="A347" s="724" t="s">
        <v>552</v>
      </c>
      <c r="B347" s="725" t="s">
        <v>1679</v>
      </c>
      <c r="C347" s="726" t="s">
        <v>569</v>
      </c>
      <c r="D347" s="727" t="s">
        <v>1680</v>
      </c>
      <c r="E347" s="726" t="s">
        <v>575</v>
      </c>
      <c r="F347" s="727" t="s">
        <v>1681</v>
      </c>
      <c r="G347" s="726" t="s">
        <v>777</v>
      </c>
      <c r="H347" s="726" t="s">
        <v>1475</v>
      </c>
      <c r="I347" s="726" t="s">
        <v>1475</v>
      </c>
      <c r="J347" s="726" t="s">
        <v>1476</v>
      </c>
      <c r="K347" s="726" t="s">
        <v>1477</v>
      </c>
      <c r="L347" s="728">
        <v>167.56</v>
      </c>
      <c r="M347" s="728">
        <v>3</v>
      </c>
      <c r="N347" s="729">
        <v>502.68</v>
      </c>
    </row>
    <row r="348" spans="1:14" ht="14.4" customHeight="1" x14ac:dyDescent="0.3">
      <c r="A348" s="724" t="s">
        <v>552</v>
      </c>
      <c r="B348" s="725" t="s">
        <v>1679</v>
      </c>
      <c r="C348" s="726" t="s">
        <v>569</v>
      </c>
      <c r="D348" s="727" t="s">
        <v>1680</v>
      </c>
      <c r="E348" s="726" t="s">
        <v>575</v>
      </c>
      <c r="F348" s="727" t="s">
        <v>1681</v>
      </c>
      <c r="G348" s="726" t="s">
        <v>777</v>
      </c>
      <c r="H348" s="726" t="s">
        <v>1052</v>
      </c>
      <c r="I348" s="726" t="s">
        <v>1052</v>
      </c>
      <c r="J348" s="726" t="s">
        <v>1050</v>
      </c>
      <c r="K348" s="726" t="s">
        <v>1053</v>
      </c>
      <c r="L348" s="728">
        <v>140.09000000000006</v>
      </c>
      <c r="M348" s="728">
        <v>2</v>
      </c>
      <c r="N348" s="729">
        <v>280.18000000000012</v>
      </c>
    </row>
    <row r="349" spans="1:14" ht="14.4" customHeight="1" x14ac:dyDescent="0.3">
      <c r="A349" s="724" t="s">
        <v>552</v>
      </c>
      <c r="B349" s="725" t="s">
        <v>1679</v>
      </c>
      <c r="C349" s="726" t="s">
        <v>569</v>
      </c>
      <c r="D349" s="727" t="s">
        <v>1680</v>
      </c>
      <c r="E349" s="726" t="s">
        <v>575</v>
      </c>
      <c r="F349" s="727" t="s">
        <v>1681</v>
      </c>
      <c r="G349" s="726" t="s">
        <v>777</v>
      </c>
      <c r="H349" s="726" t="s">
        <v>1478</v>
      </c>
      <c r="I349" s="726" t="s">
        <v>1478</v>
      </c>
      <c r="J349" s="726" t="s">
        <v>1479</v>
      </c>
      <c r="K349" s="726" t="s">
        <v>1480</v>
      </c>
      <c r="L349" s="728">
        <v>98.439999999999955</v>
      </c>
      <c r="M349" s="728">
        <v>1</v>
      </c>
      <c r="N349" s="729">
        <v>98.439999999999955</v>
      </c>
    </row>
    <row r="350" spans="1:14" ht="14.4" customHeight="1" x14ac:dyDescent="0.3">
      <c r="A350" s="724" t="s">
        <v>552</v>
      </c>
      <c r="B350" s="725" t="s">
        <v>1679</v>
      </c>
      <c r="C350" s="726" t="s">
        <v>569</v>
      </c>
      <c r="D350" s="727" t="s">
        <v>1680</v>
      </c>
      <c r="E350" s="726" t="s">
        <v>575</v>
      </c>
      <c r="F350" s="727" t="s">
        <v>1681</v>
      </c>
      <c r="G350" s="726" t="s">
        <v>777</v>
      </c>
      <c r="H350" s="726" t="s">
        <v>813</v>
      </c>
      <c r="I350" s="726" t="s">
        <v>813</v>
      </c>
      <c r="J350" s="726" t="s">
        <v>814</v>
      </c>
      <c r="K350" s="726" t="s">
        <v>815</v>
      </c>
      <c r="L350" s="728">
        <v>3300</v>
      </c>
      <c r="M350" s="728">
        <v>7</v>
      </c>
      <c r="N350" s="729">
        <v>23100</v>
      </c>
    </row>
    <row r="351" spans="1:14" ht="14.4" customHeight="1" x14ac:dyDescent="0.3">
      <c r="A351" s="724" t="s">
        <v>552</v>
      </c>
      <c r="B351" s="725" t="s">
        <v>1679</v>
      </c>
      <c r="C351" s="726" t="s">
        <v>569</v>
      </c>
      <c r="D351" s="727" t="s">
        <v>1680</v>
      </c>
      <c r="E351" s="726" t="s">
        <v>575</v>
      </c>
      <c r="F351" s="727" t="s">
        <v>1681</v>
      </c>
      <c r="G351" s="726" t="s">
        <v>777</v>
      </c>
      <c r="H351" s="726" t="s">
        <v>1054</v>
      </c>
      <c r="I351" s="726" t="s">
        <v>1054</v>
      </c>
      <c r="J351" s="726" t="s">
        <v>820</v>
      </c>
      <c r="K351" s="726" t="s">
        <v>1055</v>
      </c>
      <c r="L351" s="728">
        <v>408.9497222728769</v>
      </c>
      <c r="M351" s="728">
        <v>11</v>
      </c>
      <c r="N351" s="729">
        <v>4498.4469450016459</v>
      </c>
    </row>
    <row r="352" spans="1:14" ht="14.4" customHeight="1" x14ac:dyDescent="0.3">
      <c r="A352" s="724" t="s">
        <v>552</v>
      </c>
      <c r="B352" s="725" t="s">
        <v>1679</v>
      </c>
      <c r="C352" s="726" t="s">
        <v>569</v>
      </c>
      <c r="D352" s="727" t="s">
        <v>1680</v>
      </c>
      <c r="E352" s="726" t="s">
        <v>575</v>
      </c>
      <c r="F352" s="727" t="s">
        <v>1681</v>
      </c>
      <c r="G352" s="726" t="s">
        <v>777</v>
      </c>
      <c r="H352" s="726" t="s">
        <v>1481</v>
      </c>
      <c r="I352" s="726" t="s">
        <v>1481</v>
      </c>
      <c r="J352" s="726" t="s">
        <v>1482</v>
      </c>
      <c r="K352" s="726" t="s">
        <v>1483</v>
      </c>
      <c r="L352" s="728">
        <v>352.82999999999976</v>
      </c>
      <c r="M352" s="728">
        <v>1</v>
      </c>
      <c r="N352" s="729">
        <v>352.82999999999976</v>
      </c>
    </row>
    <row r="353" spans="1:14" ht="14.4" customHeight="1" x14ac:dyDescent="0.3">
      <c r="A353" s="724" t="s">
        <v>552</v>
      </c>
      <c r="B353" s="725" t="s">
        <v>1679</v>
      </c>
      <c r="C353" s="726" t="s">
        <v>569</v>
      </c>
      <c r="D353" s="727" t="s">
        <v>1680</v>
      </c>
      <c r="E353" s="726" t="s">
        <v>575</v>
      </c>
      <c r="F353" s="727" t="s">
        <v>1681</v>
      </c>
      <c r="G353" s="726" t="s">
        <v>777</v>
      </c>
      <c r="H353" s="726" t="s">
        <v>816</v>
      </c>
      <c r="I353" s="726" t="s">
        <v>816</v>
      </c>
      <c r="J353" s="726" t="s">
        <v>817</v>
      </c>
      <c r="K353" s="726" t="s">
        <v>818</v>
      </c>
      <c r="L353" s="728">
        <v>67.663925662053956</v>
      </c>
      <c r="M353" s="728">
        <v>600</v>
      </c>
      <c r="N353" s="729">
        <v>40598.355397232372</v>
      </c>
    </row>
    <row r="354" spans="1:14" ht="14.4" customHeight="1" x14ac:dyDescent="0.3">
      <c r="A354" s="724" t="s">
        <v>552</v>
      </c>
      <c r="B354" s="725" t="s">
        <v>1679</v>
      </c>
      <c r="C354" s="726" t="s">
        <v>569</v>
      </c>
      <c r="D354" s="727" t="s">
        <v>1680</v>
      </c>
      <c r="E354" s="726" t="s">
        <v>575</v>
      </c>
      <c r="F354" s="727" t="s">
        <v>1681</v>
      </c>
      <c r="G354" s="726" t="s">
        <v>777</v>
      </c>
      <c r="H354" s="726" t="s">
        <v>819</v>
      </c>
      <c r="I354" s="726" t="s">
        <v>819</v>
      </c>
      <c r="J354" s="726" t="s">
        <v>820</v>
      </c>
      <c r="K354" s="726" t="s">
        <v>821</v>
      </c>
      <c r="L354" s="728">
        <v>301.46999999999997</v>
      </c>
      <c r="M354" s="728">
        <v>6</v>
      </c>
      <c r="N354" s="729">
        <v>1808.82</v>
      </c>
    </row>
    <row r="355" spans="1:14" ht="14.4" customHeight="1" x14ac:dyDescent="0.3">
      <c r="A355" s="724" t="s">
        <v>552</v>
      </c>
      <c r="B355" s="725" t="s">
        <v>1679</v>
      </c>
      <c r="C355" s="726" t="s">
        <v>569</v>
      </c>
      <c r="D355" s="727" t="s">
        <v>1680</v>
      </c>
      <c r="E355" s="726" t="s">
        <v>575</v>
      </c>
      <c r="F355" s="727" t="s">
        <v>1681</v>
      </c>
      <c r="G355" s="726" t="s">
        <v>777</v>
      </c>
      <c r="H355" s="726" t="s">
        <v>1056</v>
      </c>
      <c r="I355" s="726" t="s">
        <v>1056</v>
      </c>
      <c r="J355" s="726" t="s">
        <v>820</v>
      </c>
      <c r="K355" s="726" t="s">
        <v>1057</v>
      </c>
      <c r="L355" s="728">
        <v>630.66000000000008</v>
      </c>
      <c r="M355" s="728">
        <v>5</v>
      </c>
      <c r="N355" s="729">
        <v>3153.3</v>
      </c>
    </row>
    <row r="356" spans="1:14" ht="14.4" customHeight="1" x14ac:dyDescent="0.3">
      <c r="A356" s="724" t="s">
        <v>552</v>
      </c>
      <c r="B356" s="725" t="s">
        <v>1679</v>
      </c>
      <c r="C356" s="726" t="s">
        <v>569</v>
      </c>
      <c r="D356" s="727" t="s">
        <v>1680</v>
      </c>
      <c r="E356" s="726" t="s">
        <v>575</v>
      </c>
      <c r="F356" s="727" t="s">
        <v>1681</v>
      </c>
      <c r="G356" s="726" t="s">
        <v>777</v>
      </c>
      <c r="H356" s="726" t="s">
        <v>1484</v>
      </c>
      <c r="I356" s="726" t="s">
        <v>1484</v>
      </c>
      <c r="J356" s="726" t="s">
        <v>1485</v>
      </c>
      <c r="K356" s="726" t="s">
        <v>1486</v>
      </c>
      <c r="L356" s="728">
        <v>95.370000512495309</v>
      </c>
      <c r="M356" s="728">
        <v>40</v>
      </c>
      <c r="N356" s="729">
        <v>3814.8000204998125</v>
      </c>
    </row>
    <row r="357" spans="1:14" ht="14.4" customHeight="1" x14ac:dyDescent="0.3">
      <c r="A357" s="724" t="s">
        <v>552</v>
      </c>
      <c r="B357" s="725" t="s">
        <v>1679</v>
      </c>
      <c r="C357" s="726" t="s">
        <v>569</v>
      </c>
      <c r="D357" s="727" t="s">
        <v>1680</v>
      </c>
      <c r="E357" s="726" t="s">
        <v>575</v>
      </c>
      <c r="F357" s="727" t="s">
        <v>1681</v>
      </c>
      <c r="G357" s="726" t="s">
        <v>777</v>
      </c>
      <c r="H357" s="726" t="s">
        <v>1487</v>
      </c>
      <c r="I357" s="726" t="s">
        <v>1487</v>
      </c>
      <c r="J357" s="726" t="s">
        <v>1488</v>
      </c>
      <c r="K357" s="726" t="s">
        <v>1489</v>
      </c>
      <c r="L357" s="728">
        <v>952.22000000000048</v>
      </c>
      <c r="M357" s="728">
        <v>1</v>
      </c>
      <c r="N357" s="729">
        <v>952.22000000000048</v>
      </c>
    </row>
    <row r="358" spans="1:14" ht="14.4" customHeight="1" x14ac:dyDescent="0.3">
      <c r="A358" s="724" t="s">
        <v>552</v>
      </c>
      <c r="B358" s="725" t="s">
        <v>1679</v>
      </c>
      <c r="C358" s="726" t="s">
        <v>569</v>
      </c>
      <c r="D358" s="727" t="s">
        <v>1680</v>
      </c>
      <c r="E358" s="726" t="s">
        <v>575</v>
      </c>
      <c r="F358" s="727" t="s">
        <v>1681</v>
      </c>
      <c r="G358" s="726" t="s">
        <v>777</v>
      </c>
      <c r="H358" s="726" t="s">
        <v>1490</v>
      </c>
      <c r="I358" s="726" t="s">
        <v>1490</v>
      </c>
      <c r="J358" s="726" t="s">
        <v>1491</v>
      </c>
      <c r="K358" s="726" t="s">
        <v>1492</v>
      </c>
      <c r="L358" s="728">
        <v>112.04899405681043</v>
      </c>
      <c r="M358" s="728">
        <v>2</v>
      </c>
      <c r="N358" s="729">
        <v>224.09798811362086</v>
      </c>
    </row>
    <row r="359" spans="1:14" ht="14.4" customHeight="1" x14ac:dyDescent="0.3">
      <c r="A359" s="724" t="s">
        <v>552</v>
      </c>
      <c r="B359" s="725" t="s">
        <v>1679</v>
      </c>
      <c r="C359" s="726" t="s">
        <v>569</v>
      </c>
      <c r="D359" s="727" t="s">
        <v>1680</v>
      </c>
      <c r="E359" s="726" t="s">
        <v>575</v>
      </c>
      <c r="F359" s="727" t="s">
        <v>1681</v>
      </c>
      <c r="G359" s="726" t="s">
        <v>777</v>
      </c>
      <c r="H359" s="726" t="s">
        <v>1493</v>
      </c>
      <c r="I359" s="726" t="s">
        <v>1493</v>
      </c>
      <c r="J359" s="726" t="s">
        <v>1491</v>
      </c>
      <c r="K359" s="726" t="s">
        <v>1494</v>
      </c>
      <c r="L359" s="728">
        <v>457.42000000000013</v>
      </c>
      <c r="M359" s="728">
        <v>1</v>
      </c>
      <c r="N359" s="729">
        <v>457.42000000000013</v>
      </c>
    </row>
    <row r="360" spans="1:14" ht="14.4" customHeight="1" x14ac:dyDescent="0.3">
      <c r="A360" s="724" t="s">
        <v>552</v>
      </c>
      <c r="B360" s="725" t="s">
        <v>1679</v>
      </c>
      <c r="C360" s="726" t="s">
        <v>569</v>
      </c>
      <c r="D360" s="727" t="s">
        <v>1680</v>
      </c>
      <c r="E360" s="726" t="s">
        <v>575</v>
      </c>
      <c r="F360" s="727" t="s">
        <v>1681</v>
      </c>
      <c r="G360" s="726" t="s">
        <v>777</v>
      </c>
      <c r="H360" s="726" t="s">
        <v>1495</v>
      </c>
      <c r="I360" s="726" t="s">
        <v>1495</v>
      </c>
      <c r="J360" s="726" t="s">
        <v>1496</v>
      </c>
      <c r="K360" s="726" t="s">
        <v>1497</v>
      </c>
      <c r="L360" s="728">
        <v>529.83999999999992</v>
      </c>
      <c r="M360" s="728">
        <v>2</v>
      </c>
      <c r="N360" s="729">
        <v>1059.6799999999998</v>
      </c>
    </row>
    <row r="361" spans="1:14" ht="14.4" customHeight="1" x14ac:dyDescent="0.3">
      <c r="A361" s="724" t="s">
        <v>552</v>
      </c>
      <c r="B361" s="725" t="s">
        <v>1679</v>
      </c>
      <c r="C361" s="726" t="s">
        <v>569</v>
      </c>
      <c r="D361" s="727" t="s">
        <v>1680</v>
      </c>
      <c r="E361" s="726" t="s">
        <v>575</v>
      </c>
      <c r="F361" s="727" t="s">
        <v>1681</v>
      </c>
      <c r="G361" s="726" t="s">
        <v>777</v>
      </c>
      <c r="H361" s="726" t="s">
        <v>1498</v>
      </c>
      <c r="I361" s="726" t="s">
        <v>1498</v>
      </c>
      <c r="J361" s="726" t="s">
        <v>1499</v>
      </c>
      <c r="K361" s="726" t="s">
        <v>1497</v>
      </c>
      <c r="L361" s="728">
        <v>457.14000000000004</v>
      </c>
      <c r="M361" s="728">
        <v>2</v>
      </c>
      <c r="N361" s="729">
        <v>914.28000000000009</v>
      </c>
    </row>
    <row r="362" spans="1:14" ht="14.4" customHeight="1" x14ac:dyDescent="0.3">
      <c r="A362" s="724" t="s">
        <v>552</v>
      </c>
      <c r="B362" s="725" t="s">
        <v>1679</v>
      </c>
      <c r="C362" s="726" t="s">
        <v>569</v>
      </c>
      <c r="D362" s="727" t="s">
        <v>1680</v>
      </c>
      <c r="E362" s="726" t="s">
        <v>1500</v>
      </c>
      <c r="F362" s="727" t="s">
        <v>1684</v>
      </c>
      <c r="G362" s="726" t="s">
        <v>583</v>
      </c>
      <c r="H362" s="726" t="s">
        <v>1501</v>
      </c>
      <c r="I362" s="726" t="s">
        <v>715</v>
      </c>
      <c r="J362" s="726" t="s">
        <v>1502</v>
      </c>
      <c r="K362" s="726" t="s">
        <v>1503</v>
      </c>
      <c r="L362" s="728">
        <v>185.64003916230959</v>
      </c>
      <c r="M362" s="728">
        <v>152</v>
      </c>
      <c r="N362" s="729">
        <v>28217.28595267106</v>
      </c>
    </row>
    <row r="363" spans="1:14" ht="14.4" customHeight="1" x14ac:dyDescent="0.3">
      <c r="A363" s="724" t="s">
        <v>552</v>
      </c>
      <c r="B363" s="725" t="s">
        <v>1679</v>
      </c>
      <c r="C363" s="726" t="s">
        <v>569</v>
      </c>
      <c r="D363" s="727" t="s">
        <v>1680</v>
      </c>
      <c r="E363" s="726" t="s">
        <v>1500</v>
      </c>
      <c r="F363" s="727" t="s">
        <v>1684</v>
      </c>
      <c r="G363" s="726" t="s">
        <v>583</v>
      </c>
      <c r="H363" s="726" t="s">
        <v>1504</v>
      </c>
      <c r="I363" s="726" t="s">
        <v>715</v>
      </c>
      <c r="J363" s="726" t="s">
        <v>1505</v>
      </c>
      <c r="K363" s="726"/>
      <c r="L363" s="728">
        <v>253.76000000000002</v>
      </c>
      <c r="M363" s="728">
        <v>104</v>
      </c>
      <c r="N363" s="729">
        <v>26391.040000000001</v>
      </c>
    </row>
    <row r="364" spans="1:14" ht="14.4" customHeight="1" x14ac:dyDescent="0.3">
      <c r="A364" s="724" t="s">
        <v>552</v>
      </c>
      <c r="B364" s="725" t="s">
        <v>1679</v>
      </c>
      <c r="C364" s="726" t="s">
        <v>569</v>
      </c>
      <c r="D364" s="727" t="s">
        <v>1680</v>
      </c>
      <c r="E364" s="726" t="s">
        <v>1500</v>
      </c>
      <c r="F364" s="727" t="s">
        <v>1684</v>
      </c>
      <c r="G364" s="726" t="s">
        <v>583</v>
      </c>
      <c r="H364" s="726" t="s">
        <v>1506</v>
      </c>
      <c r="I364" s="726" t="s">
        <v>715</v>
      </c>
      <c r="J364" s="726" t="s">
        <v>1507</v>
      </c>
      <c r="K364" s="726"/>
      <c r="L364" s="728">
        <v>695.0100000000001</v>
      </c>
      <c r="M364" s="728">
        <v>1</v>
      </c>
      <c r="N364" s="729">
        <v>695.0100000000001</v>
      </c>
    </row>
    <row r="365" spans="1:14" ht="14.4" customHeight="1" x14ac:dyDescent="0.3">
      <c r="A365" s="724" t="s">
        <v>552</v>
      </c>
      <c r="B365" s="725" t="s">
        <v>1679</v>
      </c>
      <c r="C365" s="726" t="s">
        <v>569</v>
      </c>
      <c r="D365" s="727" t="s">
        <v>1680</v>
      </c>
      <c r="E365" s="726" t="s">
        <v>1500</v>
      </c>
      <c r="F365" s="727" t="s">
        <v>1684</v>
      </c>
      <c r="G365" s="726" t="s">
        <v>777</v>
      </c>
      <c r="H365" s="726" t="s">
        <v>1508</v>
      </c>
      <c r="I365" s="726" t="s">
        <v>1509</v>
      </c>
      <c r="J365" s="726" t="s">
        <v>1510</v>
      </c>
      <c r="K365" s="726" t="s">
        <v>1511</v>
      </c>
      <c r="L365" s="728">
        <v>40.92</v>
      </c>
      <c r="M365" s="728">
        <v>6</v>
      </c>
      <c r="N365" s="729">
        <v>245.52</v>
      </c>
    </row>
    <row r="366" spans="1:14" ht="14.4" customHeight="1" x14ac:dyDescent="0.3">
      <c r="A366" s="724" t="s">
        <v>552</v>
      </c>
      <c r="B366" s="725" t="s">
        <v>1679</v>
      </c>
      <c r="C366" s="726" t="s">
        <v>569</v>
      </c>
      <c r="D366" s="727" t="s">
        <v>1680</v>
      </c>
      <c r="E366" s="726" t="s">
        <v>1500</v>
      </c>
      <c r="F366" s="727" t="s">
        <v>1684</v>
      </c>
      <c r="G366" s="726" t="s">
        <v>777</v>
      </c>
      <c r="H366" s="726" t="s">
        <v>1512</v>
      </c>
      <c r="I366" s="726" t="s">
        <v>1513</v>
      </c>
      <c r="J366" s="726" t="s">
        <v>1514</v>
      </c>
      <c r="K366" s="726" t="s">
        <v>1511</v>
      </c>
      <c r="L366" s="728">
        <v>40.92</v>
      </c>
      <c r="M366" s="728">
        <v>7</v>
      </c>
      <c r="N366" s="729">
        <v>286.44</v>
      </c>
    </row>
    <row r="367" spans="1:14" ht="14.4" customHeight="1" x14ac:dyDescent="0.3">
      <c r="A367" s="724" t="s">
        <v>552</v>
      </c>
      <c r="B367" s="725" t="s">
        <v>1679</v>
      </c>
      <c r="C367" s="726" t="s">
        <v>569</v>
      </c>
      <c r="D367" s="727" t="s">
        <v>1680</v>
      </c>
      <c r="E367" s="726" t="s">
        <v>1500</v>
      </c>
      <c r="F367" s="727" t="s">
        <v>1684</v>
      </c>
      <c r="G367" s="726" t="s">
        <v>777</v>
      </c>
      <c r="H367" s="726" t="s">
        <v>1515</v>
      </c>
      <c r="I367" s="726" t="s">
        <v>1515</v>
      </c>
      <c r="J367" s="726" t="s">
        <v>1516</v>
      </c>
      <c r="K367" s="726" t="s">
        <v>1517</v>
      </c>
      <c r="L367" s="728">
        <v>148.95999999999998</v>
      </c>
      <c r="M367" s="728">
        <v>1</v>
      </c>
      <c r="N367" s="729">
        <v>148.95999999999998</v>
      </c>
    </row>
    <row r="368" spans="1:14" ht="14.4" customHeight="1" x14ac:dyDescent="0.3">
      <c r="A368" s="724" t="s">
        <v>552</v>
      </c>
      <c r="B368" s="725" t="s">
        <v>1679</v>
      </c>
      <c r="C368" s="726" t="s">
        <v>569</v>
      </c>
      <c r="D368" s="727" t="s">
        <v>1680</v>
      </c>
      <c r="E368" s="726" t="s">
        <v>1500</v>
      </c>
      <c r="F368" s="727" t="s">
        <v>1684</v>
      </c>
      <c r="G368" s="726" t="s">
        <v>777</v>
      </c>
      <c r="H368" s="726" t="s">
        <v>1518</v>
      </c>
      <c r="I368" s="726" t="s">
        <v>1519</v>
      </c>
      <c r="J368" s="726" t="s">
        <v>1520</v>
      </c>
      <c r="K368" s="726" t="s">
        <v>1521</v>
      </c>
      <c r="L368" s="728">
        <v>156.49000000000004</v>
      </c>
      <c r="M368" s="728">
        <v>16</v>
      </c>
      <c r="N368" s="729">
        <v>2503.8400000000006</v>
      </c>
    </row>
    <row r="369" spans="1:14" ht="14.4" customHeight="1" x14ac:dyDescent="0.3">
      <c r="A369" s="724" t="s">
        <v>552</v>
      </c>
      <c r="B369" s="725" t="s">
        <v>1679</v>
      </c>
      <c r="C369" s="726" t="s">
        <v>569</v>
      </c>
      <c r="D369" s="727" t="s">
        <v>1680</v>
      </c>
      <c r="E369" s="726" t="s">
        <v>1500</v>
      </c>
      <c r="F369" s="727" t="s">
        <v>1684</v>
      </c>
      <c r="G369" s="726" t="s">
        <v>777</v>
      </c>
      <c r="H369" s="726" t="s">
        <v>1522</v>
      </c>
      <c r="I369" s="726" t="s">
        <v>1522</v>
      </c>
      <c r="J369" s="726" t="s">
        <v>1523</v>
      </c>
      <c r="K369" s="726" t="s">
        <v>1524</v>
      </c>
      <c r="L369" s="728">
        <v>111.95</v>
      </c>
      <c r="M369" s="728">
        <v>5</v>
      </c>
      <c r="N369" s="729">
        <v>559.75</v>
      </c>
    </row>
    <row r="370" spans="1:14" ht="14.4" customHeight="1" x14ac:dyDescent="0.3">
      <c r="A370" s="724" t="s">
        <v>552</v>
      </c>
      <c r="B370" s="725" t="s">
        <v>1679</v>
      </c>
      <c r="C370" s="726" t="s">
        <v>569</v>
      </c>
      <c r="D370" s="727" t="s">
        <v>1680</v>
      </c>
      <c r="E370" s="726" t="s">
        <v>1500</v>
      </c>
      <c r="F370" s="727" t="s">
        <v>1684</v>
      </c>
      <c r="G370" s="726" t="s">
        <v>777</v>
      </c>
      <c r="H370" s="726" t="s">
        <v>1525</v>
      </c>
      <c r="I370" s="726" t="s">
        <v>1525</v>
      </c>
      <c r="J370" s="726" t="s">
        <v>1526</v>
      </c>
      <c r="K370" s="726" t="s">
        <v>1524</v>
      </c>
      <c r="L370" s="728">
        <v>111.95</v>
      </c>
      <c r="M370" s="728">
        <v>3</v>
      </c>
      <c r="N370" s="729">
        <v>335.85</v>
      </c>
    </row>
    <row r="371" spans="1:14" ht="14.4" customHeight="1" x14ac:dyDescent="0.3">
      <c r="A371" s="724" t="s">
        <v>552</v>
      </c>
      <c r="B371" s="725" t="s">
        <v>1679</v>
      </c>
      <c r="C371" s="726" t="s">
        <v>569</v>
      </c>
      <c r="D371" s="727" t="s">
        <v>1680</v>
      </c>
      <c r="E371" s="726" t="s">
        <v>1500</v>
      </c>
      <c r="F371" s="727" t="s">
        <v>1684</v>
      </c>
      <c r="G371" s="726" t="s">
        <v>777</v>
      </c>
      <c r="H371" s="726" t="s">
        <v>1527</v>
      </c>
      <c r="I371" s="726" t="s">
        <v>1528</v>
      </c>
      <c r="J371" s="726" t="s">
        <v>1529</v>
      </c>
      <c r="K371" s="726" t="s">
        <v>1530</v>
      </c>
      <c r="L371" s="728">
        <v>111.94999999999999</v>
      </c>
      <c r="M371" s="728">
        <v>3</v>
      </c>
      <c r="N371" s="729">
        <v>335.84999999999997</v>
      </c>
    </row>
    <row r="372" spans="1:14" ht="14.4" customHeight="1" x14ac:dyDescent="0.3">
      <c r="A372" s="724" t="s">
        <v>552</v>
      </c>
      <c r="B372" s="725" t="s">
        <v>1679</v>
      </c>
      <c r="C372" s="726" t="s">
        <v>569</v>
      </c>
      <c r="D372" s="727" t="s">
        <v>1680</v>
      </c>
      <c r="E372" s="726" t="s">
        <v>1500</v>
      </c>
      <c r="F372" s="727" t="s">
        <v>1684</v>
      </c>
      <c r="G372" s="726" t="s">
        <v>777</v>
      </c>
      <c r="H372" s="726" t="s">
        <v>1531</v>
      </c>
      <c r="I372" s="726" t="s">
        <v>1532</v>
      </c>
      <c r="J372" s="726" t="s">
        <v>1533</v>
      </c>
      <c r="K372" s="726" t="s">
        <v>1524</v>
      </c>
      <c r="L372" s="728">
        <v>111.95000000000003</v>
      </c>
      <c r="M372" s="728">
        <v>1</v>
      </c>
      <c r="N372" s="729">
        <v>111.95000000000003</v>
      </c>
    </row>
    <row r="373" spans="1:14" ht="14.4" customHeight="1" x14ac:dyDescent="0.3">
      <c r="A373" s="724" t="s">
        <v>552</v>
      </c>
      <c r="B373" s="725" t="s">
        <v>1679</v>
      </c>
      <c r="C373" s="726" t="s">
        <v>569</v>
      </c>
      <c r="D373" s="727" t="s">
        <v>1680</v>
      </c>
      <c r="E373" s="726" t="s">
        <v>1500</v>
      </c>
      <c r="F373" s="727" t="s">
        <v>1684</v>
      </c>
      <c r="G373" s="726" t="s">
        <v>777</v>
      </c>
      <c r="H373" s="726" t="s">
        <v>1534</v>
      </c>
      <c r="I373" s="726" t="s">
        <v>1534</v>
      </c>
      <c r="J373" s="726" t="s">
        <v>1535</v>
      </c>
      <c r="K373" s="726" t="s">
        <v>1536</v>
      </c>
      <c r="L373" s="728">
        <v>278.5187842201459</v>
      </c>
      <c r="M373" s="728">
        <v>8</v>
      </c>
      <c r="N373" s="729">
        <v>2228.1502737611672</v>
      </c>
    </row>
    <row r="374" spans="1:14" ht="14.4" customHeight="1" x14ac:dyDescent="0.3">
      <c r="A374" s="724" t="s">
        <v>552</v>
      </c>
      <c r="B374" s="725" t="s">
        <v>1679</v>
      </c>
      <c r="C374" s="726" t="s">
        <v>569</v>
      </c>
      <c r="D374" s="727" t="s">
        <v>1680</v>
      </c>
      <c r="E374" s="726" t="s">
        <v>1500</v>
      </c>
      <c r="F374" s="727" t="s">
        <v>1684</v>
      </c>
      <c r="G374" s="726" t="s">
        <v>777</v>
      </c>
      <c r="H374" s="726" t="s">
        <v>1537</v>
      </c>
      <c r="I374" s="726" t="s">
        <v>1537</v>
      </c>
      <c r="J374" s="726" t="s">
        <v>1538</v>
      </c>
      <c r="K374" s="726" t="s">
        <v>1539</v>
      </c>
      <c r="L374" s="728">
        <v>163.66999999999999</v>
      </c>
      <c r="M374" s="728">
        <v>2</v>
      </c>
      <c r="N374" s="729">
        <v>327.33999999999997</v>
      </c>
    </row>
    <row r="375" spans="1:14" ht="14.4" customHeight="1" x14ac:dyDescent="0.3">
      <c r="A375" s="724" t="s">
        <v>552</v>
      </c>
      <c r="B375" s="725" t="s">
        <v>1679</v>
      </c>
      <c r="C375" s="726" t="s">
        <v>569</v>
      </c>
      <c r="D375" s="727" t="s">
        <v>1680</v>
      </c>
      <c r="E375" s="726" t="s">
        <v>1500</v>
      </c>
      <c r="F375" s="727" t="s">
        <v>1684</v>
      </c>
      <c r="G375" s="726" t="s">
        <v>777</v>
      </c>
      <c r="H375" s="726" t="s">
        <v>1540</v>
      </c>
      <c r="I375" s="726" t="s">
        <v>1540</v>
      </c>
      <c r="J375" s="726" t="s">
        <v>1541</v>
      </c>
      <c r="K375" s="726" t="s">
        <v>1539</v>
      </c>
      <c r="L375" s="728">
        <v>129.97</v>
      </c>
      <c r="M375" s="728">
        <v>1</v>
      </c>
      <c r="N375" s="729">
        <v>129.97</v>
      </c>
    </row>
    <row r="376" spans="1:14" ht="14.4" customHeight="1" x14ac:dyDescent="0.3">
      <c r="A376" s="724" t="s">
        <v>552</v>
      </c>
      <c r="B376" s="725" t="s">
        <v>1679</v>
      </c>
      <c r="C376" s="726" t="s">
        <v>569</v>
      </c>
      <c r="D376" s="727" t="s">
        <v>1680</v>
      </c>
      <c r="E376" s="726" t="s">
        <v>1500</v>
      </c>
      <c r="F376" s="727" t="s">
        <v>1684</v>
      </c>
      <c r="G376" s="726" t="s">
        <v>777</v>
      </c>
      <c r="H376" s="726" t="s">
        <v>1542</v>
      </c>
      <c r="I376" s="726" t="s">
        <v>1542</v>
      </c>
      <c r="J376" s="726" t="s">
        <v>1543</v>
      </c>
      <c r="K376" s="726" t="s">
        <v>1539</v>
      </c>
      <c r="L376" s="728">
        <v>145.49999999999997</v>
      </c>
      <c r="M376" s="728">
        <v>1</v>
      </c>
      <c r="N376" s="729">
        <v>145.49999999999997</v>
      </c>
    </row>
    <row r="377" spans="1:14" ht="14.4" customHeight="1" x14ac:dyDescent="0.3">
      <c r="A377" s="724" t="s">
        <v>552</v>
      </c>
      <c r="B377" s="725" t="s">
        <v>1679</v>
      </c>
      <c r="C377" s="726" t="s">
        <v>569</v>
      </c>
      <c r="D377" s="727" t="s">
        <v>1680</v>
      </c>
      <c r="E377" s="726" t="s">
        <v>1500</v>
      </c>
      <c r="F377" s="727" t="s">
        <v>1684</v>
      </c>
      <c r="G377" s="726" t="s">
        <v>777</v>
      </c>
      <c r="H377" s="726" t="s">
        <v>1544</v>
      </c>
      <c r="I377" s="726" t="s">
        <v>1544</v>
      </c>
      <c r="J377" s="726" t="s">
        <v>1545</v>
      </c>
      <c r="K377" s="726" t="s">
        <v>1539</v>
      </c>
      <c r="L377" s="728">
        <v>129.97000000000003</v>
      </c>
      <c r="M377" s="728">
        <v>1</v>
      </c>
      <c r="N377" s="729">
        <v>129.97000000000003</v>
      </c>
    </row>
    <row r="378" spans="1:14" ht="14.4" customHeight="1" x14ac:dyDescent="0.3">
      <c r="A378" s="724" t="s">
        <v>552</v>
      </c>
      <c r="B378" s="725" t="s">
        <v>1679</v>
      </c>
      <c r="C378" s="726" t="s">
        <v>569</v>
      </c>
      <c r="D378" s="727" t="s">
        <v>1680</v>
      </c>
      <c r="E378" s="726" t="s">
        <v>1500</v>
      </c>
      <c r="F378" s="727" t="s">
        <v>1684</v>
      </c>
      <c r="G378" s="726" t="s">
        <v>777</v>
      </c>
      <c r="H378" s="726" t="s">
        <v>1546</v>
      </c>
      <c r="I378" s="726" t="s">
        <v>1546</v>
      </c>
      <c r="J378" s="726" t="s">
        <v>1547</v>
      </c>
      <c r="K378" s="726" t="s">
        <v>1517</v>
      </c>
      <c r="L378" s="728">
        <v>135.6</v>
      </c>
      <c r="M378" s="728">
        <v>1</v>
      </c>
      <c r="N378" s="729">
        <v>135.6</v>
      </c>
    </row>
    <row r="379" spans="1:14" ht="14.4" customHeight="1" x14ac:dyDescent="0.3">
      <c r="A379" s="724" t="s">
        <v>552</v>
      </c>
      <c r="B379" s="725" t="s">
        <v>1679</v>
      </c>
      <c r="C379" s="726" t="s">
        <v>569</v>
      </c>
      <c r="D379" s="727" t="s">
        <v>1680</v>
      </c>
      <c r="E379" s="726" t="s">
        <v>825</v>
      </c>
      <c r="F379" s="727" t="s">
        <v>1682</v>
      </c>
      <c r="G379" s="726"/>
      <c r="H379" s="726" t="s">
        <v>826</v>
      </c>
      <c r="I379" s="726" t="s">
        <v>826</v>
      </c>
      <c r="J379" s="726" t="s">
        <v>827</v>
      </c>
      <c r="K379" s="726" t="s">
        <v>828</v>
      </c>
      <c r="L379" s="728">
        <v>316.02999999999997</v>
      </c>
      <c r="M379" s="728">
        <v>17</v>
      </c>
      <c r="N379" s="729">
        <v>5372.5099999999993</v>
      </c>
    </row>
    <row r="380" spans="1:14" ht="14.4" customHeight="1" x14ac:dyDescent="0.3">
      <c r="A380" s="724" t="s">
        <v>552</v>
      </c>
      <c r="B380" s="725" t="s">
        <v>1679</v>
      </c>
      <c r="C380" s="726" t="s">
        <v>569</v>
      </c>
      <c r="D380" s="727" t="s">
        <v>1680</v>
      </c>
      <c r="E380" s="726" t="s">
        <v>825</v>
      </c>
      <c r="F380" s="727" t="s">
        <v>1682</v>
      </c>
      <c r="G380" s="726" t="s">
        <v>583</v>
      </c>
      <c r="H380" s="726" t="s">
        <v>1548</v>
      </c>
      <c r="I380" s="726" t="s">
        <v>1549</v>
      </c>
      <c r="J380" s="726" t="s">
        <v>1550</v>
      </c>
      <c r="K380" s="726" t="s">
        <v>1551</v>
      </c>
      <c r="L380" s="728">
        <v>51.039999999999992</v>
      </c>
      <c r="M380" s="728">
        <v>9</v>
      </c>
      <c r="N380" s="729">
        <v>459.35999999999996</v>
      </c>
    </row>
    <row r="381" spans="1:14" ht="14.4" customHeight="1" x14ac:dyDescent="0.3">
      <c r="A381" s="724" t="s">
        <v>552</v>
      </c>
      <c r="B381" s="725" t="s">
        <v>1679</v>
      </c>
      <c r="C381" s="726" t="s">
        <v>569</v>
      </c>
      <c r="D381" s="727" t="s">
        <v>1680</v>
      </c>
      <c r="E381" s="726" t="s">
        <v>825</v>
      </c>
      <c r="F381" s="727" t="s">
        <v>1682</v>
      </c>
      <c r="G381" s="726" t="s">
        <v>583</v>
      </c>
      <c r="H381" s="726" t="s">
        <v>1064</v>
      </c>
      <c r="I381" s="726" t="s">
        <v>1065</v>
      </c>
      <c r="J381" s="726" t="s">
        <v>1066</v>
      </c>
      <c r="K381" s="726" t="s">
        <v>1067</v>
      </c>
      <c r="L381" s="728">
        <v>23.560056352132257</v>
      </c>
      <c r="M381" s="728">
        <v>40</v>
      </c>
      <c r="N381" s="729">
        <v>942.40225408529034</v>
      </c>
    </row>
    <row r="382" spans="1:14" ht="14.4" customHeight="1" x14ac:dyDescent="0.3">
      <c r="A382" s="724" t="s">
        <v>552</v>
      </c>
      <c r="B382" s="725" t="s">
        <v>1679</v>
      </c>
      <c r="C382" s="726" t="s">
        <v>569</v>
      </c>
      <c r="D382" s="727" t="s">
        <v>1680</v>
      </c>
      <c r="E382" s="726" t="s">
        <v>825</v>
      </c>
      <c r="F382" s="727" t="s">
        <v>1682</v>
      </c>
      <c r="G382" s="726" t="s">
        <v>583</v>
      </c>
      <c r="H382" s="726" t="s">
        <v>1552</v>
      </c>
      <c r="I382" s="726" t="s">
        <v>1553</v>
      </c>
      <c r="J382" s="726" t="s">
        <v>1554</v>
      </c>
      <c r="K382" s="726" t="s">
        <v>1555</v>
      </c>
      <c r="L382" s="728">
        <v>608.70999999999992</v>
      </c>
      <c r="M382" s="728">
        <v>16</v>
      </c>
      <c r="N382" s="729">
        <v>9739.3599999999988</v>
      </c>
    </row>
    <row r="383" spans="1:14" ht="14.4" customHeight="1" x14ac:dyDescent="0.3">
      <c r="A383" s="724" t="s">
        <v>552</v>
      </c>
      <c r="B383" s="725" t="s">
        <v>1679</v>
      </c>
      <c r="C383" s="726" t="s">
        <v>569</v>
      </c>
      <c r="D383" s="727" t="s">
        <v>1680</v>
      </c>
      <c r="E383" s="726" t="s">
        <v>825</v>
      </c>
      <c r="F383" s="727" t="s">
        <v>1682</v>
      </c>
      <c r="G383" s="726" t="s">
        <v>583</v>
      </c>
      <c r="H383" s="726" t="s">
        <v>1556</v>
      </c>
      <c r="I383" s="726" t="s">
        <v>1556</v>
      </c>
      <c r="J383" s="726" t="s">
        <v>1557</v>
      </c>
      <c r="K383" s="726" t="s">
        <v>1558</v>
      </c>
      <c r="L383" s="728">
        <v>264</v>
      </c>
      <c r="M383" s="728">
        <v>1</v>
      </c>
      <c r="N383" s="729">
        <v>264</v>
      </c>
    </row>
    <row r="384" spans="1:14" ht="14.4" customHeight="1" x14ac:dyDescent="0.3">
      <c r="A384" s="724" t="s">
        <v>552</v>
      </c>
      <c r="B384" s="725" t="s">
        <v>1679</v>
      </c>
      <c r="C384" s="726" t="s">
        <v>569</v>
      </c>
      <c r="D384" s="727" t="s">
        <v>1680</v>
      </c>
      <c r="E384" s="726" t="s">
        <v>825</v>
      </c>
      <c r="F384" s="727" t="s">
        <v>1682</v>
      </c>
      <c r="G384" s="726" t="s">
        <v>583</v>
      </c>
      <c r="H384" s="726" t="s">
        <v>1072</v>
      </c>
      <c r="I384" s="726" t="s">
        <v>1073</v>
      </c>
      <c r="J384" s="726" t="s">
        <v>1074</v>
      </c>
      <c r="K384" s="726" t="s">
        <v>1075</v>
      </c>
      <c r="L384" s="728">
        <v>228.07529411764705</v>
      </c>
      <c r="M384" s="728">
        <v>68</v>
      </c>
      <c r="N384" s="729">
        <v>15509.119999999999</v>
      </c>
    </row>
    <row r="385" spans="1:14" ht="14.4" customHeight="1" x14ac:dyDescent="0.3">
      <c r="A385" s="724" t="s">
        <v>552</v>
      </c>
      <c r="B385" s="725" t="s">
        <v>1679</v>
      </c>
      <c r="C385" s="726" t="s">
        <v>569</v>
      </c>
      <c r="D385" s="727" t="s">
        <v>1680</v>
      </c>
      <c r="E385" s="726" t="s">
        <v>825</v>
      </c>
      <c r="F385" s="727" t="s">
        <v>1682</v>
      </c>
      <c r="G385" s="726" t="s">
        <v>583</v>
      </c>
      <c r="H385" s="726" t="s">
        <v>1559</v>
      </c>
      <c r="I385" s="726" t="s">
        <v>1560</v>
      </c>
      <c r="J385" s="726" t="s">
        <v>1561</v>
      </c>
      <c r="K385" s="726" t="s">
        <v>1562</v>
      </c>
      <c r="L385" s="728">
        <v>635.49391666666668</v>
      </c>
      <c r="M385" s="728">
        <v>3</v>
      </c>
      <c r="N385" s="729">
        <v>1906.4817499999999</v>
      </c>
    </row>
    <row r="386" spans="1:14" ht="14.4" customHeight="1" x14ac:dyDescent="0.3">
      <c r="A386" s="724" t="s">
        <v>552</v>
      </c>
      <c r="B386" s="725" t="s">
        <v>1679</v>
      </c>
      <c r="C386" s="726" t="s">
        <v>569</v>
      </c>
      <c r="D386" s="727" t="s">
        <v>1680</v>
      </c>
      <c r="E386" s="726" t="s">
        <v>825</v>
      </c>
      <c r="F386" s="727" t="s">
        <v>1682</v>
      </c>
      <c r="G386" s="726" t="s">
        <v>583</v>
      </c>
      <c r="H386" s="726" t="s">
        <v>1563</v>
      </c>
      <c r="I386" s="726" t="s">
        <v>1563</v>
      </c>
      <c r="J386" s="726" t="s">
        <v>1564</v>
      </c>
      <c r="K386" s="726" t="s">
        <v>1565</v>
      </c>
      <c r="L386" s="728">
        <v>517</v>
      </c>
      <c r="M386" s="728">
        <v>6</v>
      </c>
      <c r="N386" s="729">
        <v>3102</v>
      </c>
    </row>
    <row r="387" spans="1:14" ht="14.4" customHeight="1" x14ac:dyDescent="0.3">
      <c r="A387" s="724" t="s">
        <v>552</v>
      </c>
      <c r="B387" s="725" t="s">
        <v>1679</v>
      </c>
      <c r="C387" s="726" t="s">
        <v>569</v>
      </c>
      <c r="D387" s="727" t="s">
        <v>1680</v>
      </c>
      <c r="E387" s="726" t="s">
        <v>825</v>
      </c>
      <c r="F387" s="727" t="s">
        <v>1682</v>
      </c>
      <c r="G387" s="726" t="s">
        <v>583</v>
      </c>
      <c r="H387" s="726" t="s">
        <v>1566</v>
      </c>
      <c r="I387" s="726" t="s">
        <v>1567</v>
      </c>
      <c r="J387" s="726" t="s">
        <v>758</v>
      </c>
      <c r="K387" s="726" t="s">
        <v>1568</v>
      </c>
      <c r="L387" s="728">
        <v>233.71999999999994</v>
      </c>
      <c r="M387" s="728">
        <v>2</v>
      </c>
      <c r="N387" s="729">
        <v>467.43999999999988</v>
      </c>
    </row>
    <row r="388" spans="1:14" ht="14.4" customHeight="1" x14ac:dyDescent="0.3">
      <c r="A388" s="724" t="s">
        <v>552</v>
      </c>
      <c r="B388" s="725" t="s">
        <v>1679</v>
      </c>
      <c r="C388" s="726" t="s">
        <v>569</v>
      </c>
      <c r="D388" s="727" t="s">
        <v>1680</v>
      </c>
      <c r="E388" s="726" t="s">
        <v>825</v>
      </c>
      <c r="F388" s="727" t="s">
        <v>1682</v>
      </c>
      <c r="G388" s="726" t="s">
        <v>583</v>
      </c>
      <c r="H388" s="726" t="s">
        <v>1569</v>
      </c>
      <c r="I388" s="726" t="s">
        <v>1570</v>
      </c>
      <c r="J388" s="726" t="s">
        <v>1550</v>
      </c>
      <c r="K388" s="726" t="s">
        <v>1571</v>
      </c>
      <c r="L388" s="728">
        <v>38.050006579394172</v>
      </c>
      <c r="M388" s="728">
        <v>7</v>
      </c>
      <c r="N388" s="729">
        <v>266.35004605575921</v>
      </c>
    </row>
    <row r="389" spans="1:14" ht="14.4" customHeight="1" x14ac:dyDescent="0.3">
      <c r="A389" s="724" t="s">
        <v>552</v>
      </c>
      <c r="B389" s="725" t="s">
        <v>1679</v>
      </c>
      <c r="C389" s="726" t="s">
        <v>569</v>
      </c>
      <c r="D389" s="727" t="s">
        <v>1680</v>
      </c>
      <c r="E389" s="726" t="s">
        <v>825</v>
      </c>
      <c r="F389" s="727" t="s">
        <v>1682</v>
      </c>
      <c r="G389" s="726" t="s">
        <v>583</v>
      </c>
      <c r="H389" s="726" t="s">
        <v>1572</v>
      </c>
      <c r="I389" s="726" t="s">
        <v>1573</v>
      </c>
      <c r="J389" s="726" t="s">
        <v>1574</v>
      </c>
      <c r="K389" s="726" t="s">
        <v>1575</v>
      </c>
      <c r="L389" s="728">
        <v>183.01000000000002</v>
      </c>
      <c r="M389" s="728">
        <v>1</v>
      </c>
      <c r="N389" s="729">
        <v>183.01000000000002</v>
      </c>
    </row>
    <row r="390" spans="1:14" ht="14.4" customHeight="1" x14ac:dyDescent="0.3">
      <c r="A390" s="724" t="s">
        <v>552</v>
      </c>
      <c r="B390" s="725" t="s">
        <v>1679</v>
      </c>
      <c r="C390" s="726" t="s">
        <v>569</v>
      </c>
      <c r="D390" s="727" t="s">
        <v>1680</v>
      </c>
      <c r="E390" s="726" t="s">
        <v>825</v>
      </c>
      <c r="F390" s="727" t="s">
        <v>1682</v>
      </c>
      <c r="G390" s="726" t="s">
        <v>583</v>
      </c>
      <c r="H390" s="726" t="s">
        <v>833</v>
      </c>
      <c r="I390" s="726" t="s">
        <v>833</v>
      </c>
      <c r="J390" s="726" t="s">
        <v>834</v>
      </c>
      <c r="K390" s="726" t="s">
        <v>835</v>
      </c>
      <c r="L390" s="728">
        <v>462</v>
      </c>
      <c r="M390" s="728">
        <v>11</v>
      </c>
      <c r="N390" s="729">
        <v>5082</v>
      </c>
    </row>
    <row r="391" spans="1:14" ht="14.4" customHeight="1" x14ac:dyDescent="0.3">
      <c r="A391" s="724" t="s">
        <v>552</v>
      </c>
      <c r="B391" s="725" t="s">
        <v>1679</v>
      </c>
      <c r="C391" s="726" t="s">
        <v>569</v>
      </c>
      <c r="D391" s="727" t="s">
        <v>1680</v>
      </c>
      <c r="E391" s="726" t="s">
        <v>825</v>
      </c>
      <c r="F391" s="727" t="s">
        <v>1682</v>
      </c>
      <c r="G391" s="726" t="s">
        <v>583</v>
      </c>
      <c r="H391" s="726" t="s">
        <v>1576</v>
      </c>
      <c r="I391" s="726" t="s">
        <v>1576</v>
      </c>
      <c r="J391" s="726" t="s">
        <v>1577</v>
      </c>
      <c r="K391" s="726" t="s">
        <v>1578</v>
      </c>
      <c r="L391" s="728">
        <v>156.75</v>
      </c>
      <c r="M391" s="728">
        <v>0.3</v>
      </c>
      <c r="N391" s="729">
        <v>47.024999999999999</v>
      </c>
    </row>
    <row r="392" spans="1:14" ht="14.4" customHeight="1" x14ac:dyDescent="0.3">
      <c r="A392" s="724" t="s">
        <v>552</v>
      </c>
      <c r="B392" s="725" t="s">
        <v>1679</v>
      </c>
      <c r="C392" s="726" t="s">
        <v>569</v>
      </c>
      <c r="D392" s="727" t="s">
        <v>1680</v>
      </c>
      <c r="E392" s="726" t="s">
        <v>825</v>
      </c>
      <c r="F392" s="727" t="s">
        <v>1682</v>
      </c>
      <c r="G392" s="726" t="s">
        <v>583</v>
      </c>
      <c r="H392" s="726" t="s">
        <v>836</v>
      </c>
      <c r="I392" s="726" t="s">
        <v>836</v>
      </c>
      <c r="J392" s="726" t="s">
        <v>837</v>
      </c>
      <c r="K392" s="726" t="s">
        <v>838</v>
      </c>
      <c r="L392" s="728">
        <v>217.8</v>
      </c>
      <c r="M392" s="728">
        <v>17.70000000000001</v>
      </c>
      <c r="N392" s="729">
        <v>3855.0600000000022</v>
      </c>
    </row>
    <row r="393" spans="1:14" ht="14.4" customHeight="1" x14ac:dyDescent="0.3">
      <c r="A393" s="724" t="s">
        <v>552</v>
      </c>
      <c r="B393" s="725" t="s">
        <v>1679</v>
      </c>
      <c r="C393" s="726" t="s">
        <v>569</v>
      </c>
      <c r="D393" s="727" t="s">
        <v>1680</v>
      </c>
      <c r="E393" s="726" t="s">
        <v>825</v>
      </c>
      <c r="F393" s="727" t="s">
        <v>1682</v>
      </c>
      <c r="G393" s="726" t="s">
        <v>583</v>
      </c>
      <c r="H393" s="726" t="s">
        <v>1579</v>
      </c>
      <c r="I393" s="726" t="s">
        <v>1579</v>
      </c>
      <c r="J393" s="726" t="s">
        <v>1580</v>
      </c>
      <c r="K393" s="726" t="s">
        <v>1581</v>
      </c>
      <c r="L393" s="728">
        <v>152.9</v>
      </c>
      <c r="M393" s="728">
        <v>2</v>
      </c>
      <c r="N393" s="729">
        <v>305.8</v>
      </c>
    </row>
    <row r="394" spans="1:14" ht="14.4" customHeight="1" x14ac:dyDescent="0.3">
      <c r="A394" s="724" t="s">
        <v>552</v>
      </c>
      <c r="B394" s="725" t="s">
        <v>1679</v>
      </c>
      <c r="C394" s="726" t="s">
        <v>569</v>
      </c>
      <c r="D394" s="727" t="s">
        <v>1680</v>
      </c>
      <c r="E394" s="726" t="s">
        <v>825</v>
      </c>
      <c r="F394" s="727" t="s">
        <v>1682</v>
      </c>
      <c r="G394" s="726" t="s">
        <v>583</v>
      </c>
      <c r="H394" s="726" t="s">
        <v>839</v>
      </c>
      <c r="I394" s="726" t="s">
        <v>840</v>
      </c>
      <c r="J394" s="726" t="s">
        <v>841</v>
      </c>
      <c r="K394" s="726" t="s">
        <v>842</v>
      </c>
      <c r="L394" s="728">
        <v>264</v>
      </c>
      <c r="M394" s="728">
        <v>3.9</v>
      </c>
      <c r="N394" s="729">
        <v>1029.5999999999999</v>
      </c>
    </row>
    <row r="395" spans="1:14" ht="14.4" customHeight="1" x14ac:dyDescent="0.3">
      <c r="A395" s="724" t="s">
        <v>552</v>
      </c>
      <c r="B395" s="725" t="s">
        <v>1679</v>
      </c>
      <c r="C395" s="726" t="s">
        <v>569</v>
      </c>
      <c r="D395" s="727" t="s">
        <v>1680</v>
      </c>
      <c r="E395" s="726" t="s">
        <v>825</v>
      </c>
      <c r="F395" s="727" t="s">
        <v>1682</v>
      </c>
      <c r="G395" s="726" t="s">
        <v>583</v>
      </c>
      <c r="H395" s="726" t="s">
        <v>1582</v>
      </c>
      <c r="I395" s="726" t="s">
        <v>1583</v>
      </c>
      <c r="J395" s="726" t="s">
        <v>1584</v>
      </c>
      <c r="K395" s="726"/>
      <c r="L395" s="728">
        <v>155.1</v>
      </c>
      <c r="M395" s="728">
        <v>1</v>
      </c>
      <c r="N395" s="729">
        <v>155.1</v>
      </c>
    </row>
    <row r="396" spans="1:14" ht="14.4" customHeight="1" x14ac:dyDescent="0.3">
      <c r="A396" s="724" t="s">
        <v>552</v>
      </c>
      <c r="B396" s="725" t="s">
        <v>1679</v>
      </c>
      <c r="C396" s="726" t="s">
        <v>569</v>
      </c>
      <c r="D396" s="727" t="s">
        <v>1680</v>
      </c>
      <c r="E396" s="726" t="s">
        <v>825</v>
      </c>
      <c r="F396" s="727" t="s">
        <v>1682</v>
      </c>
      <c r="G396" s="726" t="s">
        <v>583</v>
      </c>
      <c r="H396" s="726" t="s">
        <v>1585</v>
      </c>
      <c r="I396" s="726" t="s">
        <v>1585</v>
      </c>
      <c r="J396" s="726" t="s">
        <v>1586</v>
      </c>
      <c r="K396" s="726" t="s">
        <v>1587</v>
      </c>
      <c r="L396" s="728">
        <v>2362.77</v>
      </c>
      <c r="M396" s="728">
        <v>1</v>
      </c>
      <c r="N396" s="729">
        <v>2362.77</v>
      </c>
    </row>
    <row r="397" spans="1:14" ht="14.4" customHeight="1" x14ac:dyDescent="0.3">
      <c r="A397" s="724" t="s">
        <v>552</v>
      </c>
      <c r="B397" s="725" t="s">
        <v>1679</v>
      </c>
      <c r="C397" s="726" t="s">
        <v>569</v>
      </c>
      <c r="D397" s="727" t="s">
        <v>1680</v>
      </c>
      <c r="E397" s="726" t="s">
        <v>825</v>
      </c>
      <c r="F397" s="727" t="s">
        <v>1682</v>
      </c>
      <c r="G397" s="726" t="s">
        <v>583</v>
      </c>
      <c r="H397" s="726" t="s">
        <v>1588</v>
      </c>
      <c r="I397" s="726" t="s">
        <v>1589</v>
      </c>
      <c r="J397" s="726" t="s">
        <v>1590</v>
      </c>
      <c r="K397" s="726" t="s">
        <v>1071</v>
      </c>
      <c r="L397" s="728">
        <v>58.72000000000002</v>
      </c>
      <c r="M397" s="728">
        <v>1</v>
      </c>
      <c r="N397" s="729">
        <v>58.72000000000002</v>
      </c>
    </row>
    <row r="398" spans="1:14" ht="14.4" customHeight="1" x14ac:dyDescent="0.3">
      <c r="A398" s="724" t="s">
        <v>552</v>
      </c>
      <c r="B398" s="725" t="s">
        <v>1679</v>
      </c>
      <c r="C398" s="726" t="s">
        <v>569</v>
      </c>
      <c r="D398" s="727" t="s">
        <v>1680</v>
      </c>
      <c r="E398" s="726" t="s">
        <v>825</v>
      </c>
      <c r="F398" s="727" t="s">
        <v>1682</v>
      </c>
      <c r="G398" s="726" t="s">
        <v>777</v>
      </c>
      <c r="H398" s="726" t="s">
        <v>843</v>
      </c>
      <c r="I398" s="726" t="s">
        <v>844</v>
      </c>
      <c r="J398" s="726" t="s">
        <v>845</v>
      </c>
      <c r="K398" s="726" t="s">
        <v>846</v>
      </c>
      <c r="L398" s="728">
        <v>114.93000000000002</v>
      </c>
      <c r="M398" s="728">
        <v>2</v>
      </c>
      <c r="N398" s="729">
        <v>229.86000000000004</v>
      </c>
    </row>
    <row r="399" spans="1:14" ht="14.4" customHeight="1" x14ac:dyDescent="0.3">
      <c r="A399" s="724" t="s">
        <v>552</v>
      </c>
      <c r="B399" s="725" t="s">
        <v>1679</v>
      </c>
      <c r="C399" s="726" t="s">
        <v>569</v>
      </c>
      <c r="D399" s="727" t="s">
        <v>1680</v>
      </c>
      <c r="E399" s="726" t="s">
        <v>825</v>
      </c>
      <c r="F399" s="727" t="s">
        <v>1682</v>
      </c>
      <c r="G399" s="726" t="s">
        <v>777</v>
      </c>
      <c r="H399" s="726" t="s">
        <v>1083</v>
      </c>
      <c r="I399" s="726" t="s">
        <v>1084</v>
      </c>
      <c r="J399" s="726" t="s">
        <v>1085</v>
      </c>
      <c r="K399" s="726" t="s">
        <v>1086</v>
      </c>
      <c r="L399" s="728">
        <v>29.303999999999995</v>
      </c>
      <c r="M399" s="728">
        <v>80</v>
      </c>
      <c r="N399" s="729">
        <v>2344.3199999999997</v>
      </c>
    </row>
    <row r="400" spans="1:14" ht="14.4" customHeight="1" x14ac:dyDescent="0.3">
      <c r="A400" s="724" t="s">
        <v>552</v>
      </c>
      <c r="B400" s="725" t="s">
        <v>1679</v>
      </c>
      <c r="C400" s="726" t="s">
        <v>569</v>
      </c>
      <c r="D400" s="727" t="s">
        <v>1680</v>
      </c>
      <c r="E400" s="726" t="s">
        <v>825</v>
      </c>
      <c r="F400" s="727" t="s">
        <v>1682</v>
      </c>
      <c r="G400" s="726" t="s">
        <v>777</v>
      </c>
      <c r="H400" s="726" t="s">
        <v>1591</v>
      </c>
      <c r="I400" s="726" t="s">
        <v>1592</v>
      </c>
      <c r="J400" s="726" t="s">
        <v>1593</v>
      </c>
      <c r="K400" s="726" t="s">
        <v>1594</v>
      </c>
      <c r="L400" s="728">
        <v>12412.950032820039</v>
      </c>
      <c r="M400" s="728">
        <v>8</v>
      </c>
      <c r="N400" s="729">
        <v>99303.600262560314</v>
      </c>
    </row>
    <row r="401" spans="1:14" ht="14.4" customHeight="1" x14ac:dyDescent="0.3">
      <c r="A401" s="724" t="s">
        <v>552</v>
      </c>
      <c r="B401" s="725" t="s">
        <v>1679</v>
      </c>
      <c r="C401" s="726" t="s">
        <v>569</v>
      </c>
      <c r="D401" s="727" t="s">
        <v>1680</v>
      </c>
      <c r="E401" s="726" t="s">
        <v>825</v>
      </c>
      <c r="F401" s="727" t="s">
        <v>1682</v>
      </c>
      <c r="G401" s="726" t="s">
        <v>777</v>
      </c>
      <c r="H401" s="726" t="s">
        <v>1595</v>
      </c>
      <c r="I401" s="726" t="s">
        <v>1595</v>
      </c>
      <c r="J401" s="726" t="s">
        <v>1596</v>
      </c>
      <c r="K401" s="726" t="s">
        <v>1597</v>
      </c>
      <c r="L401" s="728">
        <v>35.9</v>
      </c>
      <c r="M401" s="728">
        <v>10</v>
      </c>
      <c r="N401" s="729">
        <v>359</v>
      </c>
    </row>
    <row r="402" spans="1:14" ht="14.4" customHeight="1" x14ac:dyDescent="0.3">
      <c r="A402" s="724" t="s">
        <v>552</v>
      </c>
      <c r="B402" s="725" t="s">
        <v>1679</v>
      </c>
      <c r="C402" s="726" t="s">
        <v>569</v>
      </c>
      <c r="D402" s="727" t="s">
        <v>1680</v>
      </c>
      <c r="E402" s="726" t="s">
        <v>825</v>
      </c>
      <c r="F402" s="727" t="s">
        <v>1682</v>
      </c>
      <c r="G402" s="726" t="s">
        <v>777</v>
      </c>
      <c r="H402" s="726" t="s">
        <v>1087</v>
      </c>
      <c r="I402" s="726" t="s">
        <v>1087</v>
      </c>
      <c r="J402" s="726" t="s">
        <v>1088</v>
      </c>
      <c r="K402" s="726" t="s">
        <v>1089</v>
      </c>
      <c r="L402" s="728">
        <v>56.1</v>
      </c>
      <c r="M402" s="728">
        <v>3</v>
      </c>
      <c r="N402" s="729">
        <v>168.3</v>
      </c>
    </row>
    <row r="403" spans="1:14" ht="14.4" customHeight="1" x14ac:dyDescent="0.3">
      <c r="A403" s="724" t="s">
        <v>552</v>
      </c>
      <c r="B403" s="725" t="s">
        <v>1679</v>
      </c>
      <c r="C403" s="726" t="s">
        <v>569</v>
      </c>
      <c r="D403" s="727" t="s">
        <v>1680</v>
      </c>
      <c r="E403" s="726" t="s">
        <v>825</v>
      </c>
      <c r="F403" s="727" t="s">
        <v>1682</v>
      </c>
      <c r="G403" s="726" t="s">
        <v>777</v>
      </c>
      <c r="H403" s="726" t="s">
        <v>1598</v>
      </c>
      <c r="I403" s="726" t="s">
        <v>1598</v>
      </c>
      <c r="J403" s="726" t="s">
        <v>1599</v>
      </c>
      <c r="K403" s="726" t="s">
        <v>1600</v>
      </c>
      <c r="L403" s="728">
        <v>953.7</v>
      </c>
      <c r="M403" s="728">
        <v>7</v>
      </c>
      <c r="N403" s="729">
        <v>6675.9000000000005</v>
      </c>
    </row>
    <row r="404" spans="1:14" ht="14.4" customHeight="1" x14ac:dyDescent="0.3">
      <c r="A404" s="724" t="s">
        <v>552</v>
      </c>
      <c r="B404" s="725" t="s">
        <v>1679</v>
      </c>
      <c r="C404" s="726" t="s">
        <v>569</v>
      </c>
      <c r="D404" s="727" t="s">
        <v>1680</v>
      </c>
      <c r="E404" s="726" t="s">
        <v>847</v>
      </c>
      <c r="F404" s="727" t="s">
        <v>1683</v>
      </c>
      <c r="G404" s="726" t="s">
        <v>583</v>
      </c>
      <c r="H404" s="726" t="s">
        <v>1601</v>
      </c>
      <c r="I404" s="726" t="s">
        <v>1602</v>
      </c>
      <c r="J404" s="726" t="s">
        <v>1603</v>
      </c>
      <c r="K404" s="726" t="s">
        <v>1604</v>
      </c>
      <c r="L404" s="728">
        <v>108.62999999999998</v>
      </c>
      <c r="M404" s="728">
        <v>2</v>
      </c>
      <c r="N404" s="729">
        <v>217.25999999999996</v>
      </c>
    </row>
    <row r="405" spans="1:14" ht="14.4" customHeight="1" x14ac:dyDescent="0.3">
      <c r="A405" s="724" t="s">
        <v>552</v>
      </c>
      <c r="B405" s="725" t="s">
        <v>1679</v>
      </c>
      <c r="C405" s="726" t="s">
        <v>569</v>
      </c>
      <c r="D405" s="727" t="s">
        <v>1680</v>
      </c>
      <c r="E405" s="726" t="s">
        <v>847</v>
      </c>
      <c r="F405" s="727" t="s">
        <v>1683</v>
      </c>
      <c r="G405" s="726" t="s">
        <v>777</v>
      </c>
      <c r="H405" s="726" t="s">
        <v>1605</v>
      </c>
      <c r="I405" s="726" t="s">
        <v>1605</v>
      </c>
      <c r="J405" s="726" t="s">
        <v>1606</v>
      </c>
      <c r="K405" s="726" t="s">
        <v>1607</v>
      </c>
      <c r="L405" s="728">
        <v>159.5</v>
      </c>
      <c r="M405" s="728">
        <v>3</v>
      </c>
      <c r="N405" s="729">
        <v>478.5</v>
      </c>
    </row>
    <row r="406" spans="1:14" ht="14.4" customHeight="1" x14ac:dyDescent="0.3">
      <c r="A406" s="724" t="s">
        <v>552</v>
      </c>
      <c r="B406" s="725" t="s">
        <v>1679</v>
      </c>
      <c r="C406" s="726" t="s">
        <v>569</v>
      </c>
      <c r="D406" s="727" t="s">
        <v>1680</v>
      </c>
      <c r="E406" s="726" t="s">
        <v>847</v>
      </c>
      <c r="F406" s="727" t="s">
        <v>1683</v>
      </c>
      <c r="G406" s="726" t="s">
        <v>777</v>
      </c>
      <c r="H406" s="726" t="s">
        <v>1608</v>
      </c>
      <c r="I406" s="726" t="s">
        <v>1608</v>
      </c>
      <c r="J406" s="726" t="s">
        <v>1606</v>
      </c>
      <c r="K406" s="726" t="s">
        <v>1609</v>
      </c>
      <c r="L406" s="728">
        <v>308</v>
      </c>
      <c r="M406" s="728">
        <v>6</v>
      </c>
      <c r="N406" s="729">
        <v>1848</v>
      </c>
    </row>
    <row r="407" spans="1:14" ht="14.4" customHeight="1" x14ac:dyDescent="0.3">
      <c r="A407" s="724" t="s">
        <v>552</v>
      </c>
      <c r="B407" s="725" t="s">
        <v>1679</v>
      </c>
      <c r="C407" s="726" t="s">
        <v>569</v>
      </c>
      <c r="D407" s="727" t="s">
        <v>1680</v>
      </c>
      <c r="E407" s="726" t="s">
        <v>1610</v>
      </c>
      <c r="F407" s="727" t="s">
        <v>1685</v>
      </c>
      <c r="G407" s="726"/>
      <c r="H407" s="726"/>
      <c r="I407" s="726" t="s">
        <v>1611</v>
      </c>
      <c r="J407" s="726" t="s">
        <v>1612</v>
      </c>
      <c r="K407" s="726"/>
      <c r="L407" s="728">
        <v>9157.76</v>
      </c>
      <c r="M407" s="728">
        <v>2</v>
      </c>
      <c r="N407" s="729">
        <v>18315.52</v>
      </c>
    </row>
    <row r="408" spans="1:14" ht="14.4" customHeight="1" x14ac:dyDescent="0.3">
      <c r="A408" s="724" t="s">
        <v>552</v>
      </c>
      <c r="B408" s="725" t="s">
        <v>1679</v>
      </c>
      <c r="C408" s="726" t="s">
        <v>569</v>
      </c>
      <c r="D408" s="727" t="s">
        <v>1680</v>
      </c>
      <c r="E408" s="726" t="s">
        <v>1610</v>
      </c>
      <c r="F408" s="727" t="s">
        <v>1685</v>
      </c>
      <c r="G408" s="726"/>
      <c r="H408" s="726"/>
      <c r="I408" s="726" t="s">
        <v>1613</v>
      </c>
      <c r="J408" s="726" t="s">
        <v>1614</v>
      </c>
      <c r="K408" s="726"/>
      <c r="L408" s="728">
        <v>4305.3999999999996</v>
      </c>
      <c r="M408" s="728">
        <v>30</v>
      </c>
      <c r="N408" s="729">
        <v>129162</v>
      </c>
    </row>
    <row r="409" spans="1:14" ht="14.4" customHeight="1" x14ac:dyDescent="0.3">
      <c r="A409" s="724" t="s">
        <v>552</v>
      </c>
      <c r="B409" s="725" t="s">
        <v>1679</v>
      </c>
      <c r="C409" s="726" t="s">
        <v>569</v>
      </c>
      <c r="D409" s="727" t="s">
        <v>1680</v>
      </c>
      <c r="E409" s="726" t="s">
        <v>1615</v>
      </c>
      <c r="F409" s="727" t="s">
        <v>1686</v>
      </c>
      <c r="G409" s="726" t="s">
        <v>583</v>
      </c>
      <c r="H409" s="726" t="s">
        <v>1616</v>
      </c>
      <c r="I409" s="726" t="s">
        <v>1617</v>
      </c>
      <c r="J409" s="726" t="s">
        <v>1618</v>
      </c>
      <c r="K409" s="726" t="s">
        <v>1619</v>
      </c>
      <c r="L409" s="728">
        <v>4043.29</v>
      </c>
      <c r="M409" s="728">
        <v>1</v>
      </c>
      <c r="N409" s="729">
        <v>4043.29</v>
      </c>
    </row>
    <row r="410" spans="1:14" ht="14.4" customHeight="1" x14ac:dyDescent="0.3">
      <c r="A410" s="724" t="s">
        <v>552</v>
      </c>
      <c r="B410" s="725" t="s">
        <v>1679</v>
      </c>
      <c r="C410" s="726" t="s">
        <v>569</v>
      </c>
      <c r="D410" s="727" t="s">
        <v>1680</v>
      </c>
      <c r="E410" s="726" t="s">
        <v>1615</v>
      </c>
      <c r="F410" s="727" t="s">
        <v>1686</v>
      </c>
      <c r="G410" s="726" t="s">
        <v>583</v>
      </c>
      <c r="H410" s="726" t="s">
        <v>1620</v>
      </c>
      <c r="I410" s="726" t="s">
        <v>1621</v>
      </c>
      <c r="J410" s="726" t="s">
        <v>1622</v>
      </c>
      <c r="K410" s="726" t="s">
        <v>1623</v>
      </c>
      <c r="L410" s="728">
        <v>2443.1900000000005</v>
      </c>
      <c r="M410" s="728">
        <v>2</v>
      </c>
      <c r="N410" s="729">
        <v>4886.380000000001</v>
      </c>
    </row>
    <row r="411" spans="1:14" ht="14.4" customHeight="1" x14ac:dyDescent="0.3">
      <c r="A411" s="724" t="s">
        <v>552</v>
      </c>
      <c r="B411" s="725" t="s">
        <v>1679</v>
      </c>
      <c r="C411" s="726" t="s">
        <v>569</v>
      </c>
      <c r="D411" s="727" t="s">
        <v>1680</v>
      </c>
      <c r="E411" s="726" t="s">
        <v>1615</v>
      </c>
      <c r="F411" s="727" t="s">
        <v>1686</v>
      </c>
      <c r="G411" s="726" t="s">
        <v>583</v>
      </c>
      <c r="H411" s="726" t="s">
        <v>1624</v>
      </c>
      <c r="I411" s="726" t="s">
        <v>1625</v>
      </c>
      <c r="J411" s="726" t="s">
        <v>1626</v>
      </c>
      <c r="K411" s="726" t="s">
        <v>1627</v>
      </c>
      <c r="L411" s="728">
        <v>3992.9999155657511</v>
      </c>
      <c r="M411" s="728">
        <v>4</v>
      </c>
      <c r="N411" s="729">
        <v>15971.999662263004</v>
      </c>
    </row>
    <row r="412" spans="1:14" ht="14.4" customHeight="1" x14ac:dyDescent="0.3">
      <c r="A412" s="724" t="s">
        <v>552</v>
      </c>
      <c r="B412" s="725" t="s">
        <v>1679</v>
      </c>
      <c r="C412" s="726" t="s">
        <v>569</v>
      </c>
      <c r="D412" s="727" t="s">
        <v>1680</v>
      </c>
      <c r="E412" s="726" t="s">
        <v>1615</v>
      </c>
      <c r="F412" s="727" t="s">
        <v>1686</v>
      </c>
      <c r="G412" s="726" t="s">
        <v>583</v>
      </c>
      <c r="H412" s="726" t="s">
        <v>1628</v>
      </c>
      <c r="I412" s="726" t="s">
        <v>1628</v>
      </c>
      <c r="J412" s="726" t="s">
        <v>1629</v>
      </c>
      <c r="K412" s="726" t="s">
        <v>1627</v>
      </c>
      <c r="L412" s="728">
        <v>5286.599944105923</v>
      </c>
      <c r="M412" s="728">
        <v>8</v>
      </c>
      <c r="N412" s="729">
        <v>42292.799552847384</v>
      </c>
    </row>
    <row r="413" spans="1:14" ht="14.4" customHeight="1" x14ac:dyDescent="0.3">
      <c r="A413" s="724" t="s">
        <v>552</v>
      </c>
      <c r="B413" s="725" t="s">
        <v>1679</v>
      </c>
      <c r="C413" s="726" t="s">
        <v>569</v>
      </c>
      <c r="D413" s="727" t="s">
        <v>1680</v>
      </c>
      <c r="E413" s="726" t="s">
        <v>1615</v>
      </c>
      <c r="F413" s="727" t="s">
        <v>1686</v>
      </c>
      <c r="G413" s="726" t="s">
        <v>583</v>
      </c>
      <c r="H413" s="726" t="s">
        <v>1630</v>
      </c>
      <c r="I413" s="726" t="s">
        <v>1631</v>
      </c>
      <c r="J413" s="726" t="s">
        <v>1629</v>
      </c>
      <c r="K413" s="726" t="s">
        <v>1632</v>
      </c>
      <c r="L413" s="728">
        <v>2493.6999648461997</v>
      </c>
      <c r="M413" s="728">
        <v>6</v>
      </c>
      <c r="N413" s="729">
        <v>14962.199789077198</v>
      </c>
    </row>
    <row r="414" spans="1:14" ht="14.4" customHeight="1" x14ac:dyDescent="0.3">
      <c r="A414" s="724" t="s">
        <v>552</v>
      </c>
      <c r="B414" s="725" t="s">
        <v>1679</v>
      </c>
      <c r="C414" s="726" t="s">
        <v>569</v>
      </c>
      <c r="D414" s="727" t="s">
        <v>1680</v>
      </c>
      <c r="E414" s="726" t="s">
        <v>1615</v>
      </c>
      <c r="F414" s="727" t="s">
        <v>1686</v>
      </c>
      <c r="G414" s="726" t="s">
        <v>583</v>
      </c>
      <c r="H414" s="726" t="s">
        <v>1633</v>
      </c>
      <c r="I414" s="726" t="s">
        <v>1634</v>
      </c>
      <c r="J414" s="726" t="s">
        <v>1622</v>
      </c>
      <c r="K414" s="726" t="s">
        <v>1635</v>
      </c>
      <c r="L414" s="728">
        <v>1285.9000000000001</v>
      </c>
      <c r="M414" s="728">
        <v>2</v>
      </c>
      <c r="N414" s="729">
        <v>2571.8000000000002</v>
      </c>
    </row>
    <row r="415" spans="1:14" ht="14.4" customHeight="1" x14ac:dyDescent="0.3">
      <c r="A415" s="724" t="s">
        <v>552</v>
      </c>
      <c r="B415" s="725" t="s">
        <v>1679</v>
      </c>
      <c r="C415" s="726" t="s">
        <v>569</v>
      </c>
      <c r="D415" s="727" t="s">
        <v>1680</v>
      </c>
      <c r="E415" s="726" t="s">
        <v>1615</v>
      </c>
      <c r="F415" s="727" t="s">
        <v>1686</v>
      </c>
      <c r="G415" s="726" t="s">
        <v>583</v>
      </c>
      <c r="H415" s="726" t="s">
        <v>1636</v>
      </c>
      <c r="I415" s="726" t="s">
        <v>1637</v>
      </c>
      <c r="J415" s="726" t="s">
        <v>1638</v>
      </c>
      <c r="K415" s="726" t="s">
        <v>1627</v>
      </c>
      <c r="L415" s="728">
        <v>4485.7999241161724</v>
      </c>
      <c r="M415" s="728">
        <v>5</v>
      </c>
      <c r="N415" s="729">
        <v>22428.99962058086</v>
      </c>
    </row>
    <row r="416" spans="1:14" ht="14.4" customHeight="1" x14ac:dyDescent="0.3">
      <c r="A416" s="724" t="s">
        <v>552</v>
      </c>
      <c r="B416" s="725" t="s">
        <v>1679</v>
      </c>
      <c r="C416" s="726" t="s">
        <v>572</v>
      </c>
      <c r="D416" s="727" t="s">
        <v>573</v>
      </c>
      <c r="E416" s="726" t="s">
        <v>575</v>
      </c>
      <c r="F416" s="727" t="s">
        <v>1681</v>
      </c>
      <c r="G416" s="726" t="s">
        <v>583</v>
      </c>
      <c r="H416" s="726" t="s">
        <v>584</v>
      </c>
      <c r="I416" s="726" t="s">
        <v>584</v>
      </c>
      <c r="J416" s="726" t="s">
        <v>585</v>
      </c>
      <c r="K416" s="726" t="s">
        <v>586</v>
      </c>
      <c r="L416" s="728">
        <v>171.59999758094713</v>
      </c>
      <c r="M416" s="728">
        <v>6</v>
      </c>
      <c r="N416" s="729">
        <v>1029.5999854856827</v>
      </c>
    </row>
    <row r="417" spans="1:14" ht="14.4" customHeight="1" x14ac:dyDescent="0.3">
      <c r="A417" s="724" t="s">
        <v>552</v>
      </c>
      <c r="B417" s="725" t="s">
        <v>1679</v>
      </c>
      <c r="C417" s="726" t="s">
        <v>572</v>
      </c>
      <c r="D417" s="727" t="s">
        <v>573</v>
      </c>
      <c r="E417" s="726" t="s">
        <v>575</v>
      </c>
      <c r="F417" s="727" t="s">
        <v>1681</v>
      </c>
      <c r="G417" s="726" t="s">
        <v>583</v>
      </c>
      <c r="H417" s="726" t="s">
        <v>594</v>
      </c>
      <c r="I417" s="726" t="s">
        <v>595</v>
      </c>
      <c r="J417" s="726" t="s">
        <v>596</v>
      </c>
      <c r="K417" s="726" t="s">
        <v>597</v>
      </c>
      <c r="L417" s="728">
        <v>87.029946489360796</v>
      </c>
      <c r="M417" s="728">
        <v>16</v>
      </c>
      <c r="N417" s="729">
        <v>1392.4791438297727</v>
      </c>
    </row>
    <row r="418" spans="1:14" ht="14.4" customHeight="1" x14ac:dyDescent="0.3">
      <c r="A418" s="724" t="s">
        <v>552</v>
      </c>
      <c r="B418" s="725" t="s">
        <v>1679</v>
      </c>
      <c r="C418" s="726" t="s">
        <v>572</v>
      </c>
      <c r="D418" s="727" t="s">
        <v>573</v>
      </c>
      <c r="E418" s="726" t="s">
        <v>575</v>
      </c>
      <c r="F418" s="727" t="s">
        <v>1681</v>
      </c>
      <c r="G418" s="726" t="s">
        <v>583</v>
      </c>
      <c r="H418" s="726" t="s">
        <v>1107</v>
      </c>
      <c r="I418" s="726" t="s">
        <v>1108</v>
      </c>
      <c r="J418" s="726" t="s">
        <v>962</v>
      </c>
      <c r="K418" s="726" t="s">
        <v>1109</v>
      </c>
      <c r="L418" s="728">
        <v>177.21000000000006</v>
      </c>
      <c r="M418" s="728">
        <v>20</v>
      </c>
      <c r="N418" s="729">
        <v>3544.2000000000012</v>
      </c>
    </row>
    <row r="419" spans="1:14" ht="14.4" customHeight="1" x14ac:dyDescent="0.3">
      <c r="A419" s="724" t="s">
        <v>552</v>
      </c>
      <c r="B419" s="725" t="s">
        <v>1679</v>
      </c>
      <c r="C419" s="726" t="s">
        <v>572</v>
      </c>
      <c r="D419" s="727" t="s">
        <v>573</v>
      </c>
      <c r="E419" s="726" t="s">
        <v>575</v>
      </c>
      <c r="F419" s="727" t="s">
        <v>1681</v>
      </c>
      <c r="G419" s="726" t="s">
        <v>583</v>
      </c>
      <c r="H419" s="726" t="s">
        <v>1639</v>
      </c>
      <c r="I419" s="726" t="s">
        <v>715</v>
      </c>
      <c r="J419" s="726" t="s">
        <v>1640</v>
      </c>
      <c r="K419" s="726" t="s">
        <v>1641</v>
      </c>
      <c r="L419" s="728">
        <v>162.14559373721931</v>
      </c>
      <c r="M419" s="728">
        <v>18</v>
      </c>
      <c r="N419" s="729">
        <v>2918.6206872699477</v>
      </c>
    </row>
    <row r="420" spans="1:14" ht="14.4" customHeight="1" x14ac:dyDescent="0.3">
      <c r="A420" s="724" t="s">
        <v>552</v>
      </c>
      <c r="B420" s="725" t="s">
        <v>1679</v>
      </c>
      <c r="C420" s="726" t="s">
        <v>572</v>
      </c>
      <c r="D420" s="727" t="s">
        <v>573</v>
      </c>
      <c r="E420" s="726" t="s">
        <v>575</v>
      </c>
      <c r="F420" s="727" t="s">
        <v>1681</v>
      </c>
      <c r="G420" s="726" t="s">
        <v>583</v>
      </c>
      <c r="H420" s="726" t="s">
        <v>1642</v>
      </c>
      <c r="I420" s="726" t="s">
        <v>1643</v>
      </c>
      <c r="J420" s="726" t="s">
        <v>1644</v>
      </c>
      <c r="K420" s="726" t="s">
        <v>1645</v>
      </c>
      <c r="L420" s="728">
        <v>58.564967044319175</v>
      </c>
      <c r="M420" s="728">
        <v>4</v>
      </c>
      <c r="N420" s="729">
        <v>234.2598681772767</v>
      </c>
    </row>
    <row r="421" spans="1:14" ht="14.4" customHeight="1" x14ac:dyDescent="0.3">
      <c r="A421" s="724" t="s">
        <v>552</v>
      </c>
      <c r="B421" s="725" t="s">
        <v>1679</v>
      </c>
      <c r="C421" s="726" t="s">
        <v>572</v>
      </c>
      <c r="D421" s="727" t="s">
        <v>573</v>
      </c>
      <c r="E421" s="726" t="s">
        <v>575</v>
      </c>
      <c r="F421" s="727" t="s">
        <v>1681</v>
      </c>
      <c r="G421" s="726" t="s">
        <v>583</v>
      </c>
      <c r="H421" s="726" t="s">
        <v>1300</v>
      </c>
      <c r="I421" s="726" t="s">
        <v>715</v>
      </c>
      <c r="J421" s="726" t="s">
        <v>1301</v>
      </c>
      <c r="K421" s="726"/>
      <c r="L421" s="728">
        <v>242.62240848623787</v>
      </c>
      <c r="M421" s="728">
        <v>2</v>
      </c>
      <c r="N421" s="729">
        <v>485.24481697247575</v>
      </c>
    </row>
    <row r="422" spans="1:14" ht="14.4" customHeight="1" x14ac:dyDescent="0.3">
      <c r="A422" s="724" t="s">
        <v>552</v>
      </c>
      <c r="B422" s="725" t="s">
        <v>1679</v>
      </c>
      <c r="C422" s="726" t="s">
        <v>572</v>
      </c>
      <c r="D422" s="727" t="s">
        <v>573</v>
      </c>
      <c r="E422" s="726" t="s">
        <v>575</v>
      </c>
      <c r="F422" s="727" t="s">
        <v>1681</v>
      </c>
      <c r="G422" s="726" t="s">
        <v>583</v>
      </c>
      <c r="H422" s="726" t="s">
        <v>1646</v>
      </c>
      <c r="I422" s="726" t="s">
        <v>1647</v>
      </c>
      <c r="J422" s="726" t="s">
        <v>1648</v>
      </c>
      <c r="K422" s="726" t="s">
        <v>713</v>
      </c>
      <c r="L422" s="728">
        <v>36.93</v>
      </c>
      <c r="M422" s="728">
        <v>86</v>
      </c>
      <c r="N422" s="729">
        <v>3175.98</v>
      </c>
    </row>
    <row r="423" spans="1:14" ht="14.4" customHeight="1" x14ac:dyDescent="0.3">
      <c r="A423" s="724" t="s">
        <v>552</v>
      </c>
      <c r="B423" s="725" t="s">
        <v>1679</v>
      </c>
      <c r="C423" s="726" t="s">
        <v>572</v>
      </c>
      <c r="D423" s="727" t="s">
        <v>573</v>
      </c>
      <c r="E423" s="726" t="s">
        <v>575</v>
      </c>
      <c r="F423" s="727" t="s">
        <v>1681</v>
      </c>
      <c r="G423" s="726" t="s">
        <v>583</v>
      </c>
      <c r="H423" s="726" t="s">
        <v>1649</v>
      </c>
      <c r="I423" s="726" t="s">
        <v>715</v>
      </c>
      <c r="J423" s="726" t="s">
        <v>1650</v>
      </c>
      <c r="K423" s="726" t="s">
        <v>1651</v>
      </c>
      <c r="L423" s="728">
        <v>75.019960294714622</v>
      </c>
      <c r="M423" s="728">
        <v>2</v>
      </c>
      <c r="N423" s="729">
        <v>150.03992058942924</v>
      </c>
    </row>
    <row r="424" spans="1:14" ht="14.4" customHeight="1" x14ac:dyDescent="0.3">
      <c r="A424" s="724" t="s">
        <v>552</v>
      </c>
      <c r="B424" s="725" t="s">
        <v>1679</v>
      </c>
      <c r="C424" s="726" t="s">
        <v>572</v>
      </c>
      <c r="D424" s="727" t="s">
        <v>573</v>
      </c>
      <c r="E424" s="726" t="s">
        <v>575</v>
      </c>
      <c r="F424" s="727" t="s">
        <v>1681</v>
      </c>
      <c r="G424" s="726" t="s">
        <v>583</v>
      </c>
      <c r="H424" s="726" t="s">
        <v>1652</v>
      </c>
      <c r="I424" s="726" t="s">
        <v>1653</v>
      </c>
      <c r="J424" s="726" t="s">
        <v>1654</v>
      </c>
      <c r="K424" s="726" t="s">
        <v>1655</v>
      </c>
      <c r="L424" s="728">
        <v>201.30000000000004</v>
      </c>
      <c r="M424" s="728">
        <v>52</v>
      </c>
      <c r="N424" s="729">
        <v>10467.600000000002</v>
      </c>
    </row>
    <row r="425" spans="1:14" ht="14.4" customHeight="1" x14ac:dyDescent="0.3">
      <c r="A425" s="724" t="s">
        <v>552</v>
      </c>
      <c r="B425" s="725" t="s">
        <v>1679</v>
      </c>
      <c r="C425" s="726" t="s">
        <v>572</v>
      </c>
      <c r="D425" s="727" t="s">
        <v>573</v>
      </c>
      <c r="E425" s="726" t="s">
        <v>575</v>
      </c>
      <c r="F425" s="727" t="s">
        <v>1681</v>
      </c>
      <c r="G425" s="726" t="s">
        <v>583</v>
      </c>
      <c r="H425" s="726" t="s">
        <v>1343</v>
      </c>
      <c r="I425" s="726" t="s">
        <v>1344</v>
      </c>
      <c r="J425" s="726" t="s">
        <v>1345</v>
      </c>
      <c r="K425" s="726" t="s">
        <v>1346</v>
      </c>
      <c r="L425" s="728">
        <v>275.31</v>
      </c>
      <c r="M425" s="728">
        <v>14</v>
      </c>
      <c r="N425" s="729">
        <v>3854.34</v>
      </c>
    </row>
    <row r="426" spans="1:14" ht="14.4" customHeight="1" x14ac:dyDescent="0.3">
      <c r="A426" s="724" t="s">
        <v>552</v>
      </c>
      <c r="B426" s="725" t="s">
        <v>1679</v>
      </c>
      <c r="C426" s="726" t="s">
        <v>572</v>
      </c>
      <c r="D426" s="727" t="s">
        <v>573</v>
      </c>
      <c r="E426" s="726" t="s">
        <v>575</v>
      </c>
      <c r="F426" s="727" t="s">
        <v>1681</v>
      </c>
      <c r="G426" s="726" t="s">
        <v>583</v>
      </c>
      <c r="H426" s="726" t="s">
        <v>1656</v>
      </c>
      <c r="I426" s="726" t="s">
        <v>715</v>
      </c>
      <c r="J426" s="726" t="s">
        <v>1657</v>
      </c>
      <c r="K426" s="726"/>
      <c r="L426" s="728">
        <v>97.918411080945134</v>
      </c>
      <c r="M426" s="728">
        <v>4</v>
      </c>
      <c r="N426" s="729">
        <v>391.67364432378054</v>
      </c>
    </row>
    <row r="427" spans="1:14" ht="14.4" customHeight="1" x14ac:dyDescent="0.3">
      <c r="A427" s="724" t="s">
        <v>552</v>
      </c>
      <c r="B427" s="725" t="s">
        <v>1679</v>
      </c>
      <c r="C427" s="726" t="s">
        <v>572</v>
      </c>
      <c r="D427" s="727" t="s">
        <v>573</v>
      </c>
      <c r="E427" s="726" t="s">
        <v>575</v>
      </c>
      <c r="F427" s="727" t="s">
        <v>1681</v>
      </c>
      <c r="G427" s="726" t="s">
        <v>583</v>
      </c>
      <c r="H427" s="726" t="s">
        <v>725</v>
      </c>
      <c r="I427" s="726" t="s">
        <v>726</v>
      </c>
      <c r="J427" s="726" t="s">
        <v>727</v>
      </c>
      <c r="K427" s="726" t="s">
        <v>728</v>
      </c>
      <c r="L427" s="728">
        <v>1326.4898709070794</v>
      </c>
      <c r="M427" s="728">
        <v>11</v>
      </c>
      <c r="N427" s="729">
        <v>14591.388579977875</v>
      </c>
    </row>
    <row r="428" spans="1:14" ht="14.4" customHeight="1" x14ac:dyDescent="0.3">
      <c r="A428" s="724" t="s">
        <v>552</v>
      </c>
      <c r="B428" s="725" t="s">
        <v>1679</v>
      </c>
      <c r="C428" s="726" t="s">
        <v>572</v>
      </c>
      <c r="D428" s="727" t="s">
        <v>573</v>
      </c>
      <c r="E428" s="726" t="s">
        <v>575</v>
      </c>
      <c r="F428" s="727" t="s">
        <v>1681</v>
      </c>
      <c r="G428" s="726" t="s">
        <v>583</v>
      </c>
      <c r="H428" s="726" t="s">
        <v>729</v>
      </c>
      <c r="I428" s="726" t="s">
        <v>730</v>
      </c>
      <c r="J428" s="726" t="s">
        <v>731</v>
      </c>
      <c r="K428" s="726" t="s">
        <v>732</v>
      </c>
      <c r="L428" s="728">
        <v>83.129911008421402</v>
      </c>
      <c r="M428" s="728">
        <v>1</v>
      </c>
      <c r="N428" s="729">
        <v>83.129911008421402</v>
      </c>
    </row>
    <row r="429" spans="1:14" ht="14.4" customHeight="1" x14ac:dyDescent="0.3">
      <c r="A429" s="724" t="s">
        <v>552</v>
      </c>
      <c r="B429" s="725" t="s">
        <v>1679</v>
      </c>
      <c r="C429" s="726" t="s">
        <v>572</v>
      </c>
      <c r="D429" s="727" t="s">
        <v>573</v>
      </c>
      <c r="E429" s="726" t="s">
        <v>575</v>
      </c>
      <c r="F429" s="727" t="s">
        <v>1681</v>
      </c>
      <c r="G429" s="726" t="s">
        <v>583</v>
      </c>
      <c r="H429" s="726" t="s">
        <v>1658</v>
      </c>
      <c r="I429" s="726" t="s">
        <v>1659</v>
      </c>
      <c r="J429" s="726" t="s">
        <v>1644</v>
      </c>
      <c r="K429" s="726" t="s">
        <v>1660</v>
      </c>
      <c r="L429" s="728">
        <v>55.059999999999995</v>
      </c>
      <c r="M429" s="728">
        <v>6</v>
      </c>
      <c r="N429" s="729">
        <v>330.35999999999996</v>
      </c>
    </row>
    <row r="430" spans="1:14" ht="14.4" customHeight="1" x14ac:dyDescent="0.3">
      <c r="A430" s="724" t="s">
        <v>552</v>
      </c>
      <c r="B430" s="725" t="s">
        <v>1679</v>
      </c>
      <c r="C430" s="726" t="s">
        <v>572</v>
      </c>
      <c r="D430" s="727" t="s">
        <v>573</v>
      </c>
      <c r="E430" s="726" t="s">
        <v>575</v>
      </c>
      <c r="F430" s="727" t="s">
        <v>1681</v>
      </c>
      <c r="G430" s="726" t="s">
        <v>583</v>
      </c>
      <c r="H430" s="726" t="s">
        <v>1661</v>
      </c>
      <c r="I430" s="726" t="s">
        <v>1662</v>
      </c>
      <c r="J430" s="726" t="s">
        <v>1663</v>
      </c>
      <c r="K430" s="726" t="s">
        <v>1655</v>
      </c>
      <c r="L430" s="728">
        <v>246.5</v>
      </c>
      <c r="M430" s="728">
        <v>29</v>
      </c>
      <c r="N430" s="729">
        <v>7148.5</v>
      </c>
    </row>
    <row r="431" spans="1:14" ht="14.4" customHeight="1" x14ac:dyDescent="0.3">
      <c r="A431" s="724" t="s">
        <v>552</v>
      </c>
      <c r="B431" s="725" t="s">
        <v>1679</v>
      </c>
      <c r="C431" s="726" t="s">
        <v>572</v>
      </c>
      <c r="D431" s="727" t="s">
        <v>573</v>
      </c>
      <c r="E431" s="726" t="s">
        <v>575</v>
      </c>
      <c r="F431" s="727" t="s">
        <v>1681</v>
      </c>
      <c r="G431" s="726" t="s">
        <v>583</v>
      </c>
      <c r="H431" s="726" t="s">
        <v>983</v>
      </c>
      <c r="I431" s="726" t="s">
        <v>715</v>
      </c>
      <c r="J431" s="726" t="s">
        <v>984</v>
      </c>
      <c r="K431" s="726"/>
      <c r="L431" s="728">
        <v>55.413643322182971</v>
      </c>
      <c r="M431" s="728">
        <v>230</v>
      </c>
      <c r="N431" s="729">
        <v>12745.137964102083</v>
      </c>
    </row>
    <row r="432" spans="1:14" ht="14.4" customHeight="1" x14ac:dyDescent="0.3">
      <c r="A432" s="724" t="s">
        <v>552</v>
      </c>
      <c r="B432" s="725" t="s">
        <v>1679</v>
      </c>
      <c r="C432" s="726" t="s">
        <v>572</v>
      </c>
      <c r="D432" s="727" t="s">
        <v>573</v>
      </c>
      <c r="E432" s="726" t="s">
        <v>575</v>
      </c>
      <c r="F432" s="727" t="s">
        <v>1681</v>
      </c>
      <c r="G432" s="726" t="s">
        <v>583</v>
      </c>
      <c r="H432" s="726" t="s">
        <v>1664</v>
      </c>
      <c r="I432" s="726" t="s">
        <v>715</v>
      </c>
      <c r="J432" s="726" t="s">
        <v>1665</v>
      </c>
      <c r="K432" s="726"/>
      <c r="L432" s="728">
        <v>98.410918533520316</v>
      </c>
      <c r="M432" s="728">
        <v>6</v>
      </c>
      <c r="N432" s="729">
        <v>590.4655112011219</v>
      </c>
    </row>
    <row r="433" spans="1:14" ht="14.4" customHeight="1" x14ac:dyDescent="0.3">
      <c r="A433" s="724" t="s">
        <v>552</v>
      </c>
      <c r="B433" s="725" t="s">
        <v>1679</v>
      </c>
      <c r="C433" s="726" t="s">
        <v>572</v>
      </c>
      <c r="D433" s="727" t="s">
        <v>573</v>
      </c>
      <c r="E433" s="726" t="s">
        <v>575</v>
      </c>
      <c r="F433" s="727" t="s">
        <v>1681</v>
      </c>
      <c r="G433" s="726" t="s">
        <v>583</v>
      </c>
      <c r="H433" s="726" t="s">
        <v>1666</v>
      </c>
      <c r="I433" s="726" t="s">
        <v>715</v>
      </c>
      <c r="J433" s="726" t="s">
        <v>1667</v>
      </c>
      <c r="K433" s="726"/>
      <c r="L433" s="728">
        <v>602.34540005075507</v>
      </c>
      <c r="M433" s="728">
        <v>15</v>
      </c>
      <c r="N433" s="729">
        <v>9035.1810007613258</v>
      </c>
    </row>
    <row r="434" spans="1:14" ht="14.4" customHeight="1" x14ac:dyDescent="0.3">
      <c r="A434" s="724" t="s">
        <v>552</v>
      </c>
      <c r="B434" s="725" t="s">
        <v>1679</v>
      </c>
      <c r="C434" s="726" t="s">
        <v>572</v>
      </c>
      <c r="D434" s="727" t="s">
        <v>573</v>
      </c>
      <c r="E434" s="726" t="s">
        <v>575</v>
      </c>
      <c r="F434" s="727" t="s">
        <v>1681</v>
      </c>
      <c r="G434" s="726" t="s">
        <v>583</v>
      </c>
      <c r="H434" s="726" t="s">
        <v>1373</v>
      </c>
      <c r="I434" s="726" t="s">
        <v>715</v>
      </c>
      <c r="J434" s="726" t="s">
        <v>1374</v>
      </c>
      <c r="K434" s="726" t="s">
        <v>1375</v>
      </c>
      <c r="L434" s="728">
        <v>75.017111380862346</v>
      </c>
      <c r="M434" s="728">
        <v>2</v>
      </c>
      <c r="N434" s="729">
        <v>150.03422276172469</v>
      </c>
    </row>
    <row r="435" spans="1:14" ht="14.4" customHeight="1" x14ac:dyDescent="0.3">
      <c r="A435" s="724" t="s">
        <v>552</v>
      </c>
      <c r="B435" s="725" t="s">
        <v>1679</v>
      </c>
      <c r="C435" s="726" t="s">
        <v>572</v>
      </c>
      <c r="D435" s="727" t="s">
        <v>573</v>
      </c>
      <c r="E435" s="726" t="s">
        <v>575</v>
      </c>
      <c r="F435" s="727" t="s">
        <v>1681</v>
      </c>
      <c r="G435" s="726" t="s">
        <v>583</v>
      </c>
      <c r="H435" s="726" t="s">
        <v>1668</v>
      </c>
      <c r="I435" s="726" t="s">
        <v>1668</v>
      </c>
      <c r="J435" s="726" t="s">
        <v>1669</v>
      </c>
      <c r="K435" s="726" t="s">
        <v>1670</v>
      </c>
      <c r="L435" s="728">
        <v>2719.2000000000003</v>
      </c>
      <c r="M435" s="728">
        <v>70</v>
      </c>
      <c r="N435" s="729">
        <v>190344.00000000003</v>
      </c>
    </row>
    <row r="436" spans="1:14" ht="14.4" customHeight="1" x14ac:dyDescent="0.3">
      <c r="A436" s="724" t="s">
        <v>552</v>
      </c>
      <c r="B436" s="725" t="s">
        <v>1679</v>
      </c>
      <c r="C436" s="726" t="s">
        <v>572</v>
      </c>
      <c r="D436" s="727" t="s">
        <v>573</v>
      </c>
      <c r="E436" s="726" t="s">
        <v>575</v>
      </c>
      <c r="F436" s="727" t="s">
        <v>1681</v>
      </c>
      <c r="G436" s="726" t="s">
        <v>583</v>
      </c>
      <c r="H436" s="726" t="s">
        <v>1671</v>
      </c>
      <c r="I436" s="726" t="s">
        <v>1671</v>
      </c>
      <c r="J436" s="726" t="s">
        <v>1669</v>
      </c>
      <c r="K436" s="726" t="s">
        <v>1672</v>
      </c>
      <c r="L436" s="728">
        <v>4851</v>
      </c>
      <c r="M436" s="728">
        <v>37</v>
      </c>
      <c r="N436" s="729">
        <v>179487</v>
      </c>
    </row>
    <row r="437" spans="1:14" ht="14.4" customHeight="1" x14ac:dyDescent="0.3">
      <c r="A437" s="724" t="s">
        <v>552</v>
      </c>
      <c r="B437" s="725" t="s">
        <v>1679</v>
      </c>
      <c r="C437" s="726" t="s">
        <v>572</v>
      </c>
      <c r="D437" s="727" t="s">
        <v>573</v>
      </c>
      <c r="E437" s="726" t="s">
        <v>575</v>
      </c>
      <c r="F437" s="727" t="s">
        <v>1681</v>
      </c>
      <c r="G437" s="726" t="s">
        <v>583</v>
      </c>
      <c r="H437" s="726" t="s">
        <v>1673</v>
      </c>
      <c r="I437" s="726" t="s">
        <v>1673</v>
      </c>
      <c r="J437" s="726" t="s">
        <v>1674</v>
      </c>
      <c r="K437" s="726" t="s">
        <v>1675</v>
      </c>
      <c r="L437" s="728">
        <v>20745.793846153847</v>
      </c>
      <c r="M437" s="728">
        <v>13</v>
      </c>
      <c r="N437" s="729">
        <v>269695.32</v>
      </c>
    </row>
    <row r="438" spans="1:14" ht="14.4" customHeight="1" x14ac:dyDescent="0.3">
      <c r="A438" s="724" t="s">
        <v>552</v>
      </c>
      <c r="B438" s="725" t="s">
        <v>1679</v>
      </c>
      <c r="C438" s="726" t="s">
        <v>572</v>
      </c>
      <c r="D438" s="727" t="s">
        <v>573</v>
      </c>
      <c r="E438" s="726" t="s">
        <v>575</v>
      </c>
      <c r="F438" s="727" t="s">
        <v>1681</v>
      </c>
      <c r="G438" s="726" t="s">
        <v>583</v>
      </c>
      <c r="H438" s="726" t="s">
        <v>1676</v>
      </c>
      <c r="I438" s="726" t="s">
        <v>715</v>
      </c>
      <c r="J438" s="726" t="s">
        <v>1677</v>
      </c>
      <c r="K438" s="726" t="s">
        <v>1678</v>
      </c>
      <c r="L438" s="728">
        <v>14850</v>
      </c>
      <c r="M438" s="728">
        <v>1</v>
      </c>
      <c r="N438" s="729">
        <v>14850</v>
      </c>
    </row>
    <row r="439" spans="1:14" ht="14.4" customHeight="1" x14ac:dyDescent="0.3">
      <c r="A439" s="724" t="s">
        <v>552</v>
      </c>
      <c r="B439" s="725" t="s">
        <v>1679</v>
      </c>
      <c r="C439" s="726" t="s">
        <v>572</v>
      </c>
      <c r="D439" s="727" t="s">
        <v>573</v>
      </c>
      <c r="E439" s="726" t="s">
        <v>575</v>
      </c>
      <c r="F439" s="727" t="s">
        <v>1681</v>
      </c>
      <c r="G439" s="726" t="s">
        <v>777</v>
      </c>
      <c r="H439" s="726" t="s">
        <v>1054</v>
      </c>
      <c r="I439" s="726" t="s">
        <v>1054</v>
      </c>
      <c r="J439" s="726" t="s">
        <v>820</v>
      </c>
      <c r="K439" s="726" t="s">
        <v>1055</v>
      </c>
      <c r="L439" s="728">
        <v>408.94699999999995</v>
      </c>
      <c r="M439" s="728">
        <v>6</v>
      </c>
      <c r="N439" s="729">
        <v>2453.6819999999998</v>
      </c>
    </row>
    <row r="440" spans="1:14" ht="14.4" customHeight="1" thickBot="1" x14ac:dyDescent="0.35">
      <c r="A440" s="730" t="s">
        <v>552</v>
      </c>
      <c r="B440" s="731" t="s">
        <v>1679</v>
      </c>
      <c r="C440" s="732" t="s">
        <v>572</v>
      </c>
      <c r="D440" s="733" t="s">
        <v>573</v>
      </c>
      <c r="E440" s="732" t="s">
        <v>825</v>
      </c>
      <c r="F440" s="733" t="s">
        <v>1682</v>
      </c>
      <c r="G440" s="732" t="s">
        <v>583</v>
      </c>
      <c r="H440" s="732" t="s">
        <v>1548</v>
      </c>
      <c r="I440" s="732" t="s">
        <v>1549</v>
      </c>
      <c r="J440" s="732" t="s">
        <v>1550</v>
      </c>
      <c r="K440" s="732" t="s">
        <v>1551</v>
      </c>
      <c r="L440" s="734">
        <v>51.039999999999992</v>
      </c>
      <c r="M440" s="734">
        <v>4</v>
      </c>
      <c r="N440" s="735">
        <v>204.15999999999997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56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16384" width="8.88671875" style="247"/>
  </cols>
  <sheetData>
    <row r="1" spans="1:6" ht="37.200000000000003" customHeight="1" thickBot="1" x14ac:dyDescent="0.4">
      <c r="A1" s="564" t="s">
        <v>206</v>
      </c>
      <c r="B1" s="565"/>
      <c r="C1" s="565"/>
      <c r="D1" s="565"/>
      <c r="E1" s="565"/>
      <c r="F1" s="565"/>
    </row>
    <row r="2" spans="1:6" ht="14.4" customHeight="1" thickBot="1" x14ac:dyDescent="0.35">
      <c r="A2" s="374" t="s">
        <v>323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66" t="s">
        <v>161</v>
      </c>
      <c r="C3" s="567"/>
      <c r="D3" s="568" t="s">
        <v>160</v>
      </c>
      <c r="E3" s="567"/>
      <c r="F3" s="105" t="s">
        <v>3</v>
      </c>
    </row>
    <row r="4" spans="1:6" ht="14.4" customHeight="1" thickBot="1" x14ac:dyDescent="0.35">
      <c r="A4" s="736" t="s">
        <v>185</v>
      </c>
      <c r="B4" s="737" t="s">
        <v>14</v>
      </c>
      <c r="C4" s="738" t="s">
        <v>2</v>
      </c>
      <c r="D4" s="737" t="s">
        <v>14</v>
      </c>
      <c r="E4" s="738" t="s">
        <v>2</v>
      </c>
      <c r="F4" s="739" t="s">
        <v>14</v>
      </c>
    </row>
    <row r="5" spans="1:6" ht="14.4" customHeight="1" x14ac:dyDescent="0.3">
      <c r="A5" s="750" t="s">
        <v>1687</v>
      </c>
      <c r="B5" s="722">
        <v>6254.3876839182794</v>
      </c>
      <c r="C5" s="740">
        <v>1.8012986311659682E-2</v>
      </c>
      <c r="D5" s="722">
        <v>340961.09206525894</v>
      </c>
      <c r="E5" s="740">
        <v>0.98198701368834029</v>
      </c>
      <c r="F5" s="723">
        <v>347215.47974917723</v>
      </c>
    </row>
    <row r="6" spans="1:6" ht="14.4" customHeight="1" x14ac:dyDescent="0.3">
      <c r="A6" s="751" t="s">
        <v>1688</v>
      </c>
      <c r="B6" s="728">
        <v>1173.74</v>
      </c>
      <c r="C6" s="741">
        <v>5.692775258516878E-2</v>
      </c>
      <c r="D6" s="728">
        <v>19444.323188845978</v>
      </c>
      <c r="E6" s="741">
        <v>0.94307224741483109</v>
      </c>
      <c r="F6" s="729">
        <v>20618.063188845979</v>
      </c>
    </row>
    <row r="7" spans="1:6" ht="14.4" customHeight="1" x14ac:dyDescent="0.3">
      <c r="A7" s="751" t="s">
        <v>1689</v>
      </c>
      <c r="B7" s="728">
        <v>892.87</v>
      </c>
      <c r="C7" s="741">
        <v>2.6278783983919234E-2</v>
      </c>
      <c r="D7" s="728">
        <v>33083.968522907817</v>
      </c>
      <c r="E7" s="741">
        <v>0.97372121601608064</v>
      </c>
      <c r="F7" s="729">
        <v>33976.838522907819</v>
      </c>
    </row>
    <row r="8" spans="1:6" ht="14.4" customHeight="1" thickBot="1" x14ac:dyDescent="0.35">
      <c r="A8" s="752" t="s">
        <v>1690</v>
      </c>
      <c r="B8" s="743"/>
      <c r="C8" s="744">
        <v>0</v>
      </c>
      <c r="D8" s="743">
        <v>2453.6819999999998</v>
      </c>
      <c r="E8" s="744">
        <v>1</v>
      </c>
      <c r="F8" s="745">
        <v>2453.6819999999998</v>
      </c>
    </row>
    <row r="9" spans="1:6" ht="14.4" customHeight="1" thickBot="1" x14ac:dyDescent="0.35">
      <c r="A9" s="746" t="s">
        <v>3</v>
      </c>
      <c r="B9" s="747">
        <v>8320.99768391828</v>
      </c>
      <c r="C9" s="748">
        <v>2.058307536089574E-2</v>
      </c>
      <c r="D9" s="747">
        <v>395943.06577701273</v>
      </c>
      <c r="E9" s="748">
        <v>0.97941692463910424</v>
      </c>
      <c r="F9" s="749">
        <v>404264.06346093101</v>
      </c>
    </row>
    <row r="10" spans="1:6" ht="14.4" customHeight="1" thickBot="1" x14ac:dyDescent="0.35"/>
    <row r="11" spans="1:6" ht="14.4" customHeight="1" x14ac:dyDescent="0.3">
      <c r="A11" s="750" t="s">
        <v>1691</v>
      </c>
      <c r="B11" s="722">
        <v>2954</v>
      </c>
      <c r="C11" s="740">
        <v>1</v>
      </c>
      <c r="D11" s="722"/>
      <c r="E11" s="740">
        <v>0</v>
      </c>
      <c r="F11" s="723">
        <v>2954</v>
      </c>
    </row>
    <row r="12" spans="1:6" ht="14.4" customHeight="1" x14ac:dyDescent="0.3">
      <c r="A12" s="751" t="s">
        <v>1692</v>
      </c>
      <c r="B12" s="728">
        <v>1702.8</v>
      </c>
      <c r="C12" s="741">
        <v>1</v>
      </c>
      <c r="D12" s="728"/>
      <c r="E12" s="741">
        <v>0</v>
      </c>
      <c r="F12" s="729">
        <v>1702.8</v>
      </c>
    </row>
    <row r="13" spans="1:6" ht="14.4" customHeight="1" x14ac:dyDescent="0.3">
      <c r="A13" s="751" t="s">
        <v>1693</v>
      </c>
      <c r="B13" s="728">
        <v>1362.9976839182793</v>
      </c>
      <c r="C13" s="741">
        <v>0.40845518973373313</v>
      </c>
      <c r="D13" s="728">
        <v>1973.96</v>
      </c>
      <c r="E13" s="741">
        <v>0.59154481026626693</v>
      </c>
      <c r="F13" s="729">
        <v>3336.9576839182791</v>
      </c>
    </row>
    <row r="14" spans="1:6" ht="14.4" customHeight="1" x14ac:dyDescent="0.3">
      <c r="A14" s="751" t="s">
        <v>1694</v>
      </c>
      <c r="B14" s="728">
        <v>1349.66</v>
      </c>
      <c r="C14" s="741">
        <v>0.58097104656460785</v>
      </c>
      <c r="D14" s="728">
        <v>973.45060590849789</v>
      </c>
      <c r="E14" s="741">
        <v>0.41902895343539232</v>
      </c>
      <c r="F14" s="729">
        <v>2323.1106059084977</v>
      </c>
    </row>
    <row r="15" spans="1:6" ht="14.4" customHeight="1" x14ac:dyDescent="0.3">
      <c r="A15" s="751" t="s">
        <v>1695</v>
      </c>
      <c r="B15" s="728">
        <v>516.5999999999998</v>
      </c>
      <c r="C15" s="741">
        <v>0.4916067146282973</v>
      </c>
      <c r="D15" s="728">
        <v>534.24</v>
      </c>
      <c r="E15" s="741">
        <v>0.50839328537170281</v>
      </c>
      <c r="F15" s="729">
        <v>1050.8399999999997</v>
      </c>
    </row>
    <row r="16" spans="1:6" ht="14.4" customHeight="1" x14ac:dyDescent="0.3">
      <c r="A16" s="751" t="s">
        <v>1696</v>
      </c>
      <c r="B16" s="728">
        <v>220.95</v>
      </c>
      <c r="C16" s="741">
        <v>0.18833587630096227</v>
      </c>
      <c r="D16" s="728">
        <v>952.22000000000048</v>
      </c>
      <c r="E16" s="741">
        <v>0.81166412369903773</v>
      </c>
      <c r="F16" s="729">
        <v>1173.1700000000005</v>
      </c>
    </row>
    <row r="17" spans="1:6" ht="14.4" customHeight="1" x14ac:dyDescent="0.3">
      <c r="A17" s="751" t="s">
        <v>1697</v>
      </c>
      <c r="B17" s="728">
        <v>107.45</v>
      </c>
      <c r="C17" s="741">
        <v>0.13619056998358961</v>
      </c>
      <c r="D17" s="728">
        <v>681.51798811362096</v>
      </c>
      <c r="E17" s="741">
        <v>0.86380943001641031</v>
      </c>
      <c r="F17" s="729">
        <v>788.967988113621</v>
      </c>
    </row>
    <row r="18" spans="1:6" ht="14.4" customHeight="1" x14ac:dyDescent="0.3">
      <c r="A18" s="751" t="s">
        <v>1698</v>
      </c>
      <c r="B18" s="728">
        <v>106.54000000000003</v>
      </c>
      <c r="C18" s="741">
        <v>1</v>
      </c>
      <c r="D18" s="728"/>
      <c r="E18" s="741">
        <v>0</v>
      </c>
      <c r="F18" s="729">
        <v>106.54000000000003</v>
      </c>
    </row>
    <row r="19" spans="1:6" ht="14.4" customHeight="1" x14ac:dyDescent="0.3">
      <c r="A19" s="751" t="s">
        <v>1699</v>
      </c>
      <c r="B19" s="728"/>
      <c r="C19" s="741">
        <v>0</v>
      </c>
      <c r="D19" s="728">
        <v>2611.7399999999998</v>
      </c>
      <c r="E19" s="741">
        <v>1</v>
      </c>
      <c r="F19" s="729">
        <v>2611.7399999999998</v>
      </c>
    </row>
    <row r="20" spans="1:6" ht="14.4" customHeight="1" x14ac:dyDescent="0.3">
      <c r="A20" s="751" t="s">
        <v>1700</v>
      </c>
      <c r="B20" s="728"/>
      <c r="C20" s="741">
        <v>0</v>
      </c>
      <c r="D20" s="728">
        <v>40.120000000000005</v>
      </c>
      <c r="E20" s="741">
        <v>1</v>
      </c>
      <c r="F20" s="729">
        <v>40.120000000000005</v>
      </c>
    </row>
    <row r="21" spans="1:6" ht="14.4" customHeight="1" x14ac:dyDescent="0.3">
      <c r="A21" s="751" t="s">
        <v>1701</v>
      </c>
      <c r="B21" s="728"/>
      <c r="C21" s="741">
        <v>0</v>
      </c>
      <c r="D21" s="728">
        <v>626.99982866101982</v>
      </c>
      <c r="E21" s="741">
        <v>1</v>
      </c>
      <c r="F21" s="729">
        <v>626.99982866101982</v>
      </c>
    </row>
    <row r="22" spans="1:6" ht="14.4" customHeight="1" x14ac:dyDescent="0.3">
      <c r="A22" s="751" t="s">
        <v>1702</v>
      </c>
      <c r="B22" s="728"/>
      <c r="C22" s="741">
        <v>0</v>
      </c>
      <c r="D22" s="728">
        <v>85.16</v>
      </c>
      <c r="E22" s="741">
        <v>1</v>
      </c>
      <c r="F22" s="729">
        <v>85.16</v>
      </c>
    </row>
    <row r="23" spans="1:6" ht="14.4" customHeight="1" x14ac:dyDescent="0.3">
      <c r="A23" s="751" t="s">
        <v>1703</v>
      </c>
      <c r="B23" s="728"/>
      <c r="C23" s="741">
        <v>0</v>
      </c>
      <c r="D23" s="728">
        <v>155.52000000000007</v>
      </c>
      <c r="E23" s="741">
        <v>1</v>
      </c>
      <c r="F23" s="729">
        <v>155.52000000000007</v>
      </c>
    </row>
    <row r="24" spans="1:6" ht="14.4" customHeight="1" x14ac:dyDescent="0.3">
      <c r="A24" s="751" t="s">
        <v>1704</v>
      </c>
      <c r="B24" s="728"/>
      <c r="C24" s="741">
        <v>0</v>
      </c>
      <c r="D24" s="728">
        <v>39.479999999999976</v>
      </c>
      <c r="E24" s="741">
        <v>1</v>
      </c>
      <c r="F24" s="729">
        <v>39.479999999999976</v>
      </c>
    </row>
    <row r="25" spans="1:6" ht="14.4" customHeight="1" x14ac:dyDescent="0.3">
      <c r="A25" s="751" t="s">
        <v>1705</v>
      </c>
      <c r="B25" s="728"/>
      <c r="C25" s="741">
        <v>0</v>
      </c>
      <c r="D25" s="728">
        <v>133.45992856480169</v>
      </c>
      <c r="E25" s="741">
        <v>1</v>
      </c>
      <c r="F25" s="729">
        <v>133.45992856480169</v>
      </c>
    </row>
    <row r="26" spans="1:6" ht="14.4" customHeight="1" x14ac:dyDescent="0.3">
      <c r="A26" s="751" t="s">
        <v>1706</v>
      </c>
      <c r="B26" s="728"/>
      <c r="C26" s="741">
        <v>0</v>
      </c>
      <c r="D26" s="728">
        <v>24.119999999999997</v>
      </c>
      <c r="E26" s="741">
        <v>1</v>
      </c>
      <c r="F26" s="729">
        <v>24.119999999999997</v>
      </c>
    </row>
    <row r="27" spans="1:6" ht="14.4" customHeight="1" x14ac:dyDescent="0.3">
      <c r="A27" s="751" t="s">
        <v>1707</v>
      </c>
      <c r="B27" s="728"/>
      <c r="C27" s="741">
        <v>0</v>
      </c>
      <c r="D27" s="728">
        <v>98.439999999999955</v>
      </c>
      <c r="E27" s="741">
        <v>1</v>
      </c>
      <c r="F27" s="729">
        <v>98.439999999999955</v>
      </c>
    </row>
    <row r="28" spans="1:6" ht="14.4" customHeight="1" x14ac:dyDescent="0.3">
      <c r="A28" s="751" t="s">
        <v>1708</v>
      </c>
      <c r="B28" s="728"/>
      <c r="C28" s="741">
        <v>0</v>
      </c>
      <c r="D28" s="728">
        <v>2926.4399999999996</v>
      </c>
      <c r="E28" s="741">
        <v>1</v>
      </c>
      <c r="F28" s="729">
        <v>2926.4399999999996</v>
      </c>
    </row>
    <row r="29" spans="1:6" ht="14.4" customHeight="1" x14ac:dyDescent="0.3">
      <c r="A29" s="751" t="s">
        <v>1709</v>
      </c>
      <c r="B29" s="728"/>
      <c r="C29" s="741">
        <v>0</v>
      </c>
      <c r="D29" s="728">
        <v>158.97999999999999</v>
      </c>
      <c r="E29" s="741">
        <v>1</v>
      </c>
      <c r="F29" s="729">
        <v>158.97999999999999</v>
      </c>
    </row>
    <row r="30" spans="1:6" ht="14.4" customHeight="1" x14ac:dyDescent="0.3">
      <c r="A30" s="751" t="s">
        <v>1710</v>
      </c>
      <c r="B30" s="728"/>
      <c r="C30" s="741">
        <v>0</v>
      </c>
      <c r="D30" s="728">
        <v>487.34000000000003</v>
      </c>
      <c r="E30" s="741">
        <v>1</v>
      </c>
      <c r="F30" s="729">
        <v>487.34000000000003</v>
      </c>
    </row>
    <row r="31" spans="1:6" ht="14.4" customHeight="1" x14ac:dyDescent="0.3">
      <c r="A31" s="751" t="s">
        <v>1711</v>
      </c>
      <c r="B31" s="728"/>
      <c r="C31" s="741">
        <v>0</v>
      </c>
      <c r="D31" s="728">
        <v>21.67</v>
      </c>
      <c r="E31" s="741">
        <v>1</v>
      </c>
      <c r="F31" s="729">
        <v>21.67</v>
      </c>
    </row>
    <row r="32" spans="1:6" ht="14.4" customHeight="1" x14ac:dyDescent="0.3">
      <c r="A32" s="751" t="s">
        <v>1712</v>
      </c>
      <c r="B32" s="728"/>
      <c r="C32" s="741">
        <v>0</v>
      </c>
      <c r="D32" s="728">
        <v>93.070000000000007</v>
      </c>
      <c r="E32" s="741">
        <v>1</v>
      </c>
      <c r="F32" s="729">
        <v>93.070000000000007</v>
      </c>
    </row>
    <row r="33" spans="1:6" ht="14.4" customHeight="1" x14ac:dyDescent="0.3">
      <c r="A33" s="751" t="s">
        <v>1713</v>
      </c>
      <c r="B33" s="728"/>
      <c r="C33" s="741">
        <v>0</v>
      </c>
      <c r="D33" s="728">
        <v>44.120041843707398</v>
      </c>
      <c r="E33" s="741">
        <v>1</v>
      </c>
      <c r="F33" s="729">
        <v>44.120041843707398</v>
      </c>
    </row>
    <row r="34" spans="1:6" ht="14.4" customHeight="1" x14ac:dyDescent="0.3">
      <c r="A34" s="751" t="s">
        <v>1714</v>
      </c>
      <c r="B34" s="728"/>
      <c r="C34" s="741">
        <v>0</v>
      </c>
      <c r="D34" s="728">
        <v>73090.543301254191</v>
      </c>
      <c r="E34" s="741">
        <v>1</v>
      </c>
      <c r="F34" s="729">
        <v>73090.543301254191</v>
      </c>
    </row>
    <row r="35" spans="1:6" ht="14.4" customHeight="1" x14ac:dyDescent="0.3">
      <c r="A35" s="751" t="s">
        <v>1715</v>
      </c>
      <c r="B35" s="728"/>
      <c r="C35" s="741">
        <v>0</v>
      </c>
      <c r="D35" s="728">
        <v>107.46000000000002</v>
      </c>
      <c r="E35" s="741">
        <v>1</v>
      </c>
      <c r="F35" s="729">
        <v>107.46000000000002</v>
      </c>
    </row>
    <row r="36" spans="1:6" ht="14.4" customHeight="1" x14ac:dyDescent="0.3">
      <c r="A36" s="751" t="s">
        <v>1716</v>
      </c>
      <c r="B36" s="728"/>
      <c r="C36" s="741">
        <v>0</v>
      </c>
      <c r="D36" s="728">
        <v>45236.4</v>
      </c>
      <c r="E36" s="741">
        <v>1</v>
      </c>
      <c r="F36" s="729">
        <v>45236.4</v>
      </c>
    </row>
    <row r="37" spans="1:6" ht="14.4" customHeight="1" x14ac:dyDescent="0.3">
      <c r="A37" s="751" t="s">
        <v>1717</v>
      </c>
      <c r="B37" s="728"/>
      <c r="C37" s="741">
        <v>0</v>
      </c>
      <c r="D37" s="728">
        <v>5010.1000000000004</v>
      </c>
      <c r="E37" s="741">
        <v>1</v>
      </c>
      <c r="F37" s="729">
        <v>5010.1000000000004</v>
      </c>
    </row>
    <row r="38" spans="1:6" ht="14.4" customHeight="1" x14ac:dyDescent="0.3">
      <c r="A38" s="751" t="s">
        <v>1718</v>
      </c>
      <c r="B38" s="728"/>
      <c r="C38" s="741">
        <v>0</v>
      </c>
      <c r="D38" s="728">
        <v>10314.811958980688</v>
      </c>
      <c r="E38" s="741">
        <v>1</v>
      </c>
      <c r="F38" s="729">
        <v>10314.811958980688</v>
      </c>
    </row>
    <row r="39" spans="1:6" ht="14.4" customHeight="1" x14ac:dyDescent="0.3">
      <c r="A39" s="751" t="s">
        <v>1719</v>
      </c>
      <c r="B39" s="728"/>
      <c r="C39" s="741">
        <v>0</v>
      </c>
      <c r="D39" s="728">
        <v>83124.866755383599</v>
      </c>
      <c r="E39" s="741">
        <v>1</v>
      </c>
      <c r="F39" s="729">
        <v>83124.866755383599</v>
      </c>
    </row>
    <row r="40" spans="1:6" ht="14.4" customHeight="1" x14ac:dyDescent="0.3">
      <c r="A40" s="751" t="s">
        <v>1720</v>
      </c>
      <c r="B40" s="728"/>
      <c r="C40" s="741">
        <v>0</v>
      </c>
      <c r="D40" s="728">
        <v>258.66000000000014</v>
      </c>
      <c r="E40" s="741">
        <v>1</v>
      </c>
      <c r="F40" s="729">
        <v>258.66000000000014</v>
      </c>
    </row>
    <row r="41" spans="1:6" ht="14.4" customHeight="1" x14ac:dyDescent="0.3">
      <c r="A41" s="751" t="s">
        <v>1721</v>
      </c>
      <c r="B41" s="728"/>
      <c r="C41" s="741">
        <v>0</v>
      </c>
      <c r="D41" s="728">
        <v>490.31000000000006</v>
      </c>
      <c r="E41" s="741">
        <v>1</v>
      </c>
      <c r="F41" s="729">
        <v>490.31000000000006</v>
      </c>
    </row>
    <row r="42" spans="1:6" ht="14.4" customHeight="1" x14ac:dyDescent="0.3">
      <c r="A42" s="751" t="s">
        <v>1722</v>
      </c>
      <c r="B42" s="728"/>
      <c r="C42" s="741">
        <v>0</v>
      </c>
      <c r="D42" s="728">
        <v>215.89999999999998</v>
      </c>
      <c r="E42" s="741">
        <v>1</v>
      </c>
      <c r="F42" s="729">
        <v>215.89999999999998</v>
      </c>
    </row>
    <row r="43" spans="1:6" ht="14.4" customHeight="1" x14ac:dyDescent="0.3">
      <c r="A43" s="751" t="s">
        <v>1723</v>
      </c>
      <c r="B43" s="728"/>
      <c r="C43" s="741">
        <v>0</v>
      </c>
      <c r="D43" s="728">
        <v>253.51000000000022</v>
      </c>
      <c r="E43" s="741">
        <v>1</v>
      </c>
      <c r="F43" s="729">
        <v>253.51000000000022</v>
      </c>
    </row>
    <row r="44" spans="1:6" ht="14.4" customHeight="1" x14ac:dyDescent="0.3">
      <c r="A44" s="751" t="s">
        <v>1724</v>
      </c>
      <c r="B44" s="728"/>
      <c r="C44" s="741">
        <v>0</v>
      </c>
      <c r="D44" s="728">
        <v>99303.600262560314</v>
      </c>
      <c r="E44" s="741">
        <v>1</v>
      </c>
      <c r="F44" s="729">
        <v>99303.600262560314</v>
      </c>
    </row>
    <row r="45" spans="1:6" ht="14.4" customHeight="1" x14ac:dyDescent="0.3">
      <c r="A45" s="751" t="s">
        <v>1725</v>
      </c>
      <c r="B45" s="728"/>
      <c r="C45" s="741">
        <v>0</v>
      </c>
      <c r="D45" s="728">
        <v>3875.2300204998128</v>
      </c>
      <c r="E45" s="741">
        <v>1</v>
      </c>
      <c r="F45" s="729">
        <v>3875.2300204998128</v>
      </c>
    </row>
    <row r="46" spans="1:6" ht="14.4" customHeight="1" x14ac:dyDescent="0.3">
      <c r="A46" s="751" t="s">
        <v>1726</v>
      </c>
      <c r="B46" s="728"/>
      <c r="C46" s="741">
        <v>0</v>
      </c>
      <c r="D46" s="728">
        <v>847.47</v>
      </c>
      <c r="E46" s="741">
        <v>1</v>
      </c>
      <c r="F46" s="729">
        <v>847.47</v>
      </c>
    </row>
    <row r="47" spans="1:6" ht="14.4" customHeight="1" x14ac:dyDescent="0.3">
      <c r="A47" s="751" t="s">
        <v>1727</v>
      </c>
      <c r="B47" s="728"/>
      <c r="C47" s="741">
        <v>0</v>
      </c>
      <c r="D47" s="728">
        <v>180.76000000000002</v>
      </c>
      <c r="E47" s="741">
        <v>1</v>
      </c>
      <c r="F47" s="729">
        <v>180.76000000000002</v>
      </c>
    </row>
    <row r="48" spans="1:6" ht="14.4" customHeight="1" x14ac:dyDescent="0.3">
      <c r="A48" s="751" t="s">
        <v>1728</v>
      </c>
      <c r="B48" s="728"/>
      <c r="C48" s="741">
        <v>0</v>
      </c>
      <c r="D48" s="728">
        <v>403.89941424887832</v>
      </c>
      <c r="E48" s="741">
        <v>1</v>
      </c>
      <c r="F48" s="729">
        <v>403.89941424887832</v>
      </c>
    </row>
    <row r="49" spans="1:6" ht="14.4" customHeight="1" x14ac:dyDescent="0.3">
      <c r="A49" s="751" t="s">
        <v>1729</v>
      </c>
      <c r="B49" s="728"/>
      <c r="C49" s="741">
        <v>0</v>
      </c>
      <c r="D49" s="728">
        <v>75.919999999999987</v>
      </c>
      <c r="E49" s="741">
        <v>1</v>
      </c>
      <c r="F49" s="729">
        <v>75.919999999999987</v>
      </c>
    </row>
    <row r="50" spans="1:6" ht="14.4" customHeight="1" x14ac:dyDescent="0.3">
      <c r="A50" s="751" t="s">
        <v>1730</v>
      </c>
      <c r="B50" s="728"/>
      <c r="C50" s="741">
        <v>0</v>
      </c>
      <c r="D50" s="728">
        <v>352.82999999999976</v>
      </c>
      <c r="E50" s="741">
        <v>1</v>
      </c>
      <c r="F50" s="729">
        <v>352.82999999999976</v>
      </c>
    </row>
    <row r="51" spans="1:6" ht="14.4" customHeight="1" x14ac:dyDescent="0.3">
      <c r="A51" s="751" t="s">
        <v>1731</v>
      </c>
      <c r="B51" s="728"/>
      <c r="C51" s="741">
        <v>0</v>
      </c>
      <c r="D51" s="728">
        <v>7624.6902737611672</v>
      </c>
      <c r="E51" s="741">
        <v>1</v>
      </c>
      <c r="F51" s="729">
        <v>7624.6902737611672</v>
      </c>
    </row>
    <row r="52" spans="1:6" ht="14.4" customHeight="1" x14ac:dyDescent="0.3">
      <c r="A52" s="751" t="s">
        <v>1732</v>
      </c>
      <c r="B52" s="728"/>
      <c r="C52" s="741">
        <v>0</v>
      </c>
      <c r="D52" s="728">
        <v>41436.325397232366</v>
      </c>
      <c r="E52" s="741">
        <v>1</v>
      </c>
      <c r="F52" s="729">
        <v>41436.325397232366</v>
      </c>
    </row>
    <row r="53" spans="1:6" ht="14.4" customHeight="1" x14ac:dyDescent="0.3">
      <c r="A53" s="751" t="s">
        <v>1733</v>
      </c>
      <c r="B53" s="728"/>
      <c r="C53" s="741">
        <v>0</v>
      </c>
      <c r="D53" s="728">
        <v>3313.5299999999997</v>
      </c>
      <c r="E53" s="741">
        <v>1</v>
      </c>
      <c r="F53" s="729">
        <v>3313.5299999999997</v>
      </c>
    </row>
    <row r="54" spans="1:6" ht="14.4" customHeight="1" x14ac:dyDescent="0.3">
      <c r="A54" s="751" t="s">
        <v>1734</v>
      </c>
      <c r="B54" s="728"/>
      <c r="C54" s="741">
        <v>0</v>
      </c>
      <c r="D54" s="728">
        <v>6675.9</v>
      </c>
      <c r="E54" s="741">
        <v>1</v>
      </c>
      <c r="F54" s="729">
        <v>6675.9</v>
      </c>
    </row>
    <row r="55" spans="1:6" ht="14.4" customHeight="1" thickBot="1" x14ac:dyDescent="0.35">
      <c r="A55" s="752" t="s">
        <v>1735</v>
      </c>
      <c r="B55" s="743"/>
      <c r="C55" s="744">
        <v>0</v>
      </c>
      <c r="D55" s="743">
        <v>1088.3</v>
      </c>
      <c r="E55" s="744">
        <v>1</v>
      </c>
      <c r="F55" s="745">
        <v>1088.3</v>
      </c>
    </row>
    <row r="56" spans="1:6" ht="14.4" customHeight="1" thickBot="1" x14ac:dyDescent="0.35">
      <c r="A56" s="746" t="s">
        <v>3</v>
      </c>
      <c r="B56" s="747">
        <v>8320.99768391828</v>
      </c>
      <c r="C56" s="748">
        <v>2.058307536089574E-2</v>
      </c>
      <c r="D56" s="747">
        <v>395943.06577701267</v>
      </c>
      <c r="E56" s="748">
        <v>0.97941692463910424</v>
      </c>
      <c r="F56" s="749">
        <v>404264.06346093095</v>
      </c>
    </row>
  </sheetData>
  <mergeCells count="3">
    <mergeCell ref="A1:F1"/>
    <mergeCell ref="B3:C3"/>
    <mergeCell ref="D3:E3"/>
  </mergeCells>
  <conditionalFormatting sqref="C5:C1048576">
    <cfRule type="cellIs" dxfId="6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4</vt:i4>
      </vt:variant>
    </vt:vector>
  </HeadingPairs>
  <TitlesOfParts>
    <vt:vector size="3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2017-04-25T05:48:07Z</dcterms:modified>
</cp:coreProperties>
</file>